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7785" tabRatio="597" activeTab="1"/>
  </bookViews>
  <sheets>
    <sheet name="GENNAIO" sheetId="1" r:id="rId1"/>
    <sheet name="FEBBRAIO" sheetId="14" r:id="rId2"/>
    <sheet name="MARZO" sheetId="15" r:id="rId3"/>
    <sheet name="APRILE" sheetId="17" r:id="rId4"/>
    <sheet name="GIUGNO" sheetId="16" r:id="rId5"/>
  </sheets>
  <definedNames>
    <definedName name="_xlnm.Print_Area" localSheetId="0">GENNAIO!$A$1:$I$93</definedName>
  </definedNames>
  <calcPr calcId="125725"/>
</workbook>
</file>

<file path=xl/calcChain.xml><?xml version="1.0" encoding="utf-8"?>
<calcChain xmlns="http://schemas.openxmlformats.org/spreadsheetml/2006/main">
  <c r="B116" i="14"/>
  <c r="D103"/>
  <c r="D97"/>
  <c r="D87"/>
  <c r="D77"/>
  <c r="B68"/>
  <c r="D67"/>
  <c r="D57"/>
  <c r="D47"/>
  <c r="D39"/>
  <c r="B40" s="1"/>
  <c r="D29"/>
  <c r="B30" s="1"/>
  <c r="H15"/>
  <c r="F15"/>
  <c r="D15"/>
  <c r="B16"/>
  <c r="B8"/>
  <c r="D7" i="15"/>
  <c r="D6"/>
  <c r="H127" l="1"/>
  <c r="D126"/>
  <c r="D127"/>
  <c r="D2"/>
  <c r="D3"/>
  <c r="F126"/>
  <c r="D128"/>
  <c r="D113" l="1"/>
  <c r="D112"/>
  <c r="H88"/>
  <c r="D86"/>
  <c r="D64"/>
  <c r="D120"/>
  <c r="D114"/>
  <c r="H120"/>
  <c r="F120"/>
  <c r="F87"/>
  <c r="F88"/>
  <c r="B121" l="1"/>
  <c r="H17" l="1"/>
  <c r="H61"/>
  <c r="H95"/>
  <c r="H92"/>
  <c r="H12" i="14"/>
  <c r="H10"/>
  <c r="H9"/>
  <c r="D17"/>
  <c r="H34"/>
  <c r="H74"/>
  <c r="H73"/>
  <c r="H18"/>
  <c r="H35"/>
  <c r="H7" i="15"/>
  <c r="H49" i="14"/>
  <c r="H40" i="15"/>
  <c r="F54"/>
  <c r="D54"/>
  <c r="H12"/>
  <c r="H3"/>
  <c r="H2"/>
  <c r="H54" l="1"/>
  <c r="B55" s="1"/>
  <c r="F15"/>
  <c r="H14"/>
  <c r="H19" s="1"/>
  <c r="F14"/>
  <c r="F19" s="1"/>
  <c r="D14"/>
  <c r="D13"/>
  <c r="D12"/>
  <c r="D19" s="1"/>
  <c r="B20" s="1"/>
  <c r="H57" l="1"/>
  <c r="H56"/>
  <c r="H65"/>
  <c r="H64"/>
  <c r="H80" i="14"/>
  <c r="H79"/>
  <c r="H69"/>
  <c r="H90"/>
  <c r="H32"/>
  <c r="H70"/>
  <c r="D30" i="15"/>
  <c r="D29"/>
  <c r="D102"/>
  <c r="H104"/>
  <c r="D104"/>
  <c r="F102"/>
  <c r="D103"/>
  <c r="H110" l="1"/>
  <c r="F110"/>
  <c r="D110"/>
  <c r="B111" l="1"/>
  <c r="F95" l="1"/>
  <c r="D95"/>
  <c r="D96"/>
  <c r="D92" l="1"/>
  <c r="D25"/>
  <c r="H27"/>
  <c r="D26"/>
  <c r="D131"/>
  <c r="D130"/>
  <c r="D100"/>
  <c r="F93"/>
  <c r="F100" s="1"/>
  <c r="H100"/>
  <c r="D27"/>
  <c r="F27"/>
  <c r="F26"/>
  <c r="F25"/>
  <c r="B101" l="1"/>
  <c r="D22"/>
  <c r="H23"/>
  <c r="D21"/>
  <c r="D122" l="1"/>
  <c r="D123"/>
  <c r="D62"/>
  <c r="H60"/>
  <c r="D61"/>
  <c r="D60"/>
  <c r="H84"/>
  <c r="H90"/>
  <c r="F90"/>
  <c r="D90"/>
  <c r="F22"/>
  <c r="F124"/>
  <c r="F123"/>
  <c r="D23"/>
  <c r="F21"/>
  <c r="H46"/>
  <c r="F46"/>
  <c r="D46"/>
  <c r="D124"/>
  <c r="F122"/>
  <c r="H58"/>
  <c r="H67" s="1"/>
  <c r="F58"/>
  <c r="F57"/>
  <c r="F56"/>
  <c r="D56"/>
  <c r="F67" l="1"/>
  <c r="D67"/>
  <c r="B68" s="1"/>
  <c r="B91"/>
  <c r="B47"/>
  <c r="H10"/>
  <c r="D69"/>
  <c r="D70"/>
  <c r="F71"/>
  <c r="F70"/>
  <c r="F69"/>
  <c r="B144"/>
  <c r="H141"/>
  <c r="F141"/>
  <c r="D141"/>
  <c r="H133"/>
  <c r="F133"/>
  <c r="D133"/>
  <c r="H82"/>
  <c r="D10"/>
  <c r="B142" l="1"/>
  <c r="F82"/>
  <c r="D82"/>
  <c r="F10"/>
  <c r="B11" s="1"/>
  <c r="B134"/>
  <c r="B83"/>
  <c r="D36" i="14" l="1"/>
  <c r="D105"/>
  <c r="D106"/>
  <c r="H107"/>
  <c r="D34"/>
  <c r="D35"/>
  <c r="D107"/>
  <c r="F106"/>
  <c r="F105"/>
  <c r="D73"/>
  <c r="D75"/>
  <c r="D74"/>
  <c r="F73"/>
  <c r="H75"/>
  <c r="D69"/>
  <c r="D79"/>
  <c r="D81"/>
  <c r="D70"/>
  <c r="F69"/>
  <c r="D80"/>
  <c r="H71"/>
  <c r="H77"/>
  <c r="B78" s="1"/>
  <c r="F77"/>
  <c r="H81"/>
  <c r="H87"/>
  <c r="B88" s="1"/>
  <c r="F87"/>
  <c r="D3"/>
  <c r="D2"/>
  <c r="D54"/>
  <c r="D53"/>
  <c r="H54"/>
  <c r="H55"/>
  <c r="H53"/>
  <c r="H2"/>
  <c r="H7"/>
  <c r="F7"/>
  <c r="D7"/>
  <c r="F20" i="1"/>
  <c r="D19"/>
  <c r="D20"/>
  <c r="D57"/>
  <c r="D55"/>
  <c r="D56"/>
  <c r="H56"/>
  <c r="H57"/>
  <c r="H19"/>
  <c r="H23" i="14"/>
  <c r="D21"/>
  <c r="D93"/>
  <c r="F44"/>
  <c r="D45"/>
  <c r="H93"/>
  <c r="H89"/>
  <c r="D22"/>
  <c r="H39"/>
  <c r="F39"/>
  <c r="D111"/>
  <c r="D109"/>
  <c r="D110"/>
  <c r="F109"/>
  <c r="D63"/>
  <c r="D64"/>
  <c r="H65"/>
  <c r="H61"/>
  <c r="D60"/>
  <c r="D59"/>
  <c r="D61"/>
  <c r="F60"/>
  <c r="F67"/>
  <c r="H67"/>
  <c r="H91"/>
  <c r="D89"/>
  <c r="H19"/>
  <c r="D18"/>
  <c r="D91"/>
  <c r="D90"/>
  <c r="H97"/>
  <c r="B98" s="1"/>
  <c r="F97"/>
  <c r="D41"/>
  <c r="D42"/>
  <c r="H51"/>
  <c r="H57"/>
  <c r="D51"/>
  <c r="F49"/>
  <c r="F57"/>
  <c r="D49"/>
  <c r="B58"/>
  <c r="D19"/>
  <c r="D99"/>
  <c r="D100"/>
  <c r="F101"/>
  <c r="F100"/>
  <c r="F99"/>
  <c r="H110"/>
  <c r="H109"/>
  <c r="H106"/>
  <c r="H105"/>
  <c r="H26"/>
  <c r="H25"/>
  <c r="H22"/>
  <c r="H29"/>
  <c r="F113"/>
  <c r="D113"/>
  <c r="H103"/>
  <c r="F103"/>
  <c r="F47"/>
  <c r="H47"/>
  <c r="F29"/>
  <c r="B48"/>
  <c r="H113"/>
  <c r="B114"/>
  <c r="B104"/>
  <c r="H9" i="1"/>
  <c r="D98"/>
  <c r="D99"/>
  <c r="D100"/>
  <c r="D6"/>
  <c r="H124"/>
  <c r="D122"/>
  <c r="D131"/>
  <c r="H132"/>
  <c r="H129"/>
  <c r="F132"/>
  <c r="F131"/>
  <c r="D123"/>
  <c r="F123"/>
  <c r="F149"/>
  <c r="D82"/>
  <c r="F82"/>
  <c r="D68"/>
  <c r="F68"/>
  <c r="D26"/>
  <c r="H34"/>
  <c r="H166"/>
  <c r="D164"/>
  <c r="D165"/>
  <c r="F166"/>
  <c r="D33"/>
  <c r="F32"/>
  <c r="D32"/>
  <c r="F19"/>
  <c r="H23"/>
  <c r="H20"/>
  <c r="H16"/>
  <c r="H12"/>
  <c r="H15"/>
  <c r="F6"/>
  <c r="H11"/>
  <c r="F2"/>
  <c r="F9"/>
  <c r="D2"/>
  <c r="D3"/>
  <c r="F36"/>
  <c r="D36"/>
  <c r="D37"/>
  <c r="H38"/>
  <c r="H22"/>
  <c r="H24"/>
  <c r="D22"/>
  <c r="D24"/>
  <c r="F22"/>
  <c r="H98"/>
  <c r="D9"/>
  <c r="B10"/>
  <c r="F30"/>
  <c r="H30"/>
  <c r="D23"/>
  <c r="H141"/>
  <c r="H51"/>
  <c r="H89"/>
  <c r="H137"/>
  <c r="H82"/>
  <c r="H55"/>
  <c r="H36"/>
  <c r="H150"/>
  <c r="H149"/>
  <c r="H123"/>
  <c r="H122"/>
  <c r="H53"/>
  <c r="H52"/>
  <c r="H131"/>
  <c r="H165"/>
  <c r="H164"/>
  <c r="F168"/>
  <c r="D168"/>
  <c r="H95"/>
  <c r="H75"/>
  <c r="H74"/>
  <c r="H79"/>
  <c r="H78"/>
  <c r="H49"/>
  <c r="F47"/>
  <c r="F46"/>
  <c r="D46"/>
  <c r="F42"/>
  <c r="D42"/>
  <c r="D49"/>
  <c r="H145"/>
  <c r="H146"/>
  <c r="H115"/>
  <c r="H111"/>
  <c r="H147"/>
  <c r="D145"/>
  <c r="D146"/>
  <c r="D64"/>
  <c r="F147"/>
  <c r="F146"/>
  <c r="F145"/>
  <c r="F80"/>
  <c r="F79"/>
  <c r="F78"/>
  <c r="F66"/>
  <c r="F65"/>
  <c r="F64"/>
  <c r="F49"/>
  <c r="B50"/>
  <c r="H168"/>
  <c r="B169"/>
  <c r="D136"/>
  <c r="D137"/>
  <c r="H136"/>
  <c r="H139"/>
  <c r="F139"/>
  <c r="D139"/>
  <c r="B140"/>
  <c r="D61"/>
  <c r="D62"/>
  <c r="H76"/>
  <c r="D74"/>
  <c r="D75"/>
  <c r="D119"/>
  <c r="F119"/>
  <c r="F126"/>
  <c r="D120"/>
  <c r="D126"/>
  <c r="H126"/>
  <c r="F74"/>
  <c r="F86"/>
  <c r="H86"/>
  <c r="D72"/>
  <c r="F61"/>
  <c r="F72"/>
  <c r="H72"/>
  <c r="D141"/>
  <c r="D142"/>
  <c r="D143"/>
  <c r="H153"/>
  <c r="F153"/>
  <c r="D15"/>
  <c r="D16"/>
  <c r="D94"/>
  <c r="D95"/>
  <c r="H102"/>
  <c r="F102"/>
  <c r="D17"/>
  <c r="D113"/>
  <c r="D114"/>
  <c r="F113"/>
  <c r="H40"/>
  <c r="F40"/>
  <c r="D40"/>
  <c r="D102"/>
  <c r="D153"/>
  <c r="B154"/>
  <c r="D86"/>
  <c r="B127"/>
  <c r="B87"/>
  <c r="B73"/>
  <c r="B103"/>
  <c r="B41"/>
  <c r="D155"/>
  <c r="D162"/>
  <c r="F156"/>
  <c r="F155"/>
  <c r="H162"/>
  <c r="F117"/>
  <c r="H117"/>
  <c r="D117"/>
  <c r="F162"/>
  <c r="B163"/>
  <c r="B118"/>
  <c r="D51"/>
  <c r="D52"/>
  <c r="D128"/>
  <c r="D134"/>
  <c r="F134"/>
  <c r="H134"/>
  <c r="H59"/>
  <c r="F59"/>
  <c r="D11"/>
  <c r="D12"/>
  <c r="H105"/>
  <c r="H107"/>
  <c r="D105"/>
  <c r="D104"/>
  <c r="H90"/>
  <c r="F88"/>
  <c r="D88"/>
  <c r="D89"/>
  <c r="F107"/>
  <c r="D107"/>
  <c r="D30"/>
  <c r="B31"/>
  <c r="B135"/>
  <c r="D59"/>
  <c r="B60"/>
  <c r="B108"/>
  <c r="F92"/>
  <c r="H92"/>
  <c r="D92"/>
  <c r="B93"/>
  <c r="B171"/>
</calcChain>
</file>

<file path=xl/sharedStrings.xml><?xml version="1.0" encoding="utf-8"?>
<sst xmlns="http://schemas.openxmlformats.org/spreadsheetml/2006/main" count="754" uniqueCount="143">
  <si>
    <t>TRASFERTA</t>
  </si>
  <si>
    <t>DIPENDENTE</t>
  </si>
  <si>
    <t>GG TRASFERTA</t>
  </si>
  <si>
    <t>PRENOTAZIONI/PAGAMENTI ANTICIPATI (alberghi, meeting room ecc)</t>
  </si>
  <si>
    <t>TOT. PARZIALE</t>
  </si>
  <si>
    <t xml:space="preserve">TOT. COMPLESSIVO </t>
  </si>
  <si>
    <t>SPESE X VIAGGIO (autostrada/auto/treno ecc)</t>
  </si>
  <si>
    <t>SPESE VARIE in trasferta (pranzi, taxi ecc)</t>
  </si>
  <si>
    <t>TOTALE  MESE</t>
  </si>
  <si>
    <t>Russo</t>
  </si>
  <si>
    <t>Vincenzetti</t>
  </si>
  <si>
    <t>Woon</t>
  </si>
  <si>
    <t>Maglietta</t>
  </si>
  <si>
    <t>Pelliccione</t>
  </si>
  <si>
    <t>Taxi</t>
  </si>
  <si>
    <t>Extra Hotel</t>
  </si>
  <si>
    <t>Pranzi/Cene</t>
  </si>
  <si>
    <t>USA</t>
  </si>
  <si>
    <t>Bus</t>
  </si>
  <si>
    <t>Mexico</t>
  </si>
  <si>
    <t>Rodriguez</t>
  </si>
  <si>
    <t>14-18/01/2014</t>
  </si>
  <si>
    <t>Queretaro</t>
  </si>
  <si>
    <t>18-24/01/2014</t>
  </si>
  <si>
    <t>FBI</t>
  </si>
  <si>
    <t xml:space="preserve">Hotel + Extra </t>
  </si>
  <si>
    <t>08-10/01/2014</t>
  </si>
  <si>
    <t>Milano</t>
  </si>
  <si>
    <t>Meeting annuale HQ</t>
  </si>
  <si>
    <t>Extra Vari</t>
  </si>
  <si>
    <t>Demo - POC</t>
  </si>
  <si>
    <t>Metro</t>
  </si>
  <si>
    <t>Treno</t>
  </si>
  <si>
    <t>26-31/01/2014</t>
  </si>
  <si>
    <t>Delivery</t>
  </si>
  <si>
    <t>Cipro</t>
  </si>
  <si>
    <t>19-24/01/2014</t>
  </si>
  <si>
    <t>Follow-up</t>
  </si>
  <si>
    <t>Egitto</t>
  </si>
  <si>
    <t>Furlan</t>
  </si>
  <si>
    <t>28-29/01/2014</t>
  </si>
  <si>
    <t>Catanzaro</t>
  </si>
  <si>
    <t>Benzina</t>
  </si>
  <si>
    <t>Parcheggio</t>
  </si>
  <si>
    <t xml:space="preserve">Hotel </t>
  </si>
  <si>
    <t>Hotel</t>
  </si>
  <si>
    <t>Di Pasquale</t>
  </si>
  <si>
    <t>12-17/01/2014</t>
  </si>
  <si>
    <t>Sudan</t>
  </si>
  <si>
    <t>Scarafile</t>
  </si>
  <si>
    <t>Autostrada</t>
  </si>
  <si>
    <t>15-16/01/2014</t>
  </si>
  <si>
    <t xml:space="preserve">Demo - POC </t>
  </si>
  <si>
    <t>Vietnam</t>
  </si>
  <si>
    <t>27-31/01/2014</t>
  </si>
  <si>
    <t>Demo</t>
  </si>
  <si>
    <t>Qatar - Kuwait</t>
  </si>
  <si>
    <t>Shehata</t>
  </si>
  <si>
    <t>13-14/01/2014</t>
  </si>
  <si>
    <t>Lituania</t>
  </si>
  <si>
    <t>23-24/01/2014</t>
  </si>
  <si>
    <t>Albania</t>
  </si>
  <si>
    <t>Romania</t>
  </si>
  <si>
    <t>27-30/01/2014</t>
  </si>
  <si>
    <t>Turchia</t>
  </si>
  <si>
    <t>Maanna</t>
  </si>
  <si>
    <t>de Giovanni</t>
  </si>
  <si>
    <t>Volo</t>
  </si>
  <si>
    <t>12-15/01/2014</t>
  </si>
  <si>
    <t>Croazia</t>
  </si>
  <si>
    <t>Catino</t>
  </si>
  <si>
    <t>Luppi</t>
  </si>
  <si>
    <t>28-31/01/2014</t>
  </si>
  <si>
    <t>Marocco</t>
  </si>
  <si>
    <t xml:space="preserve">Volo  </t>
  </si>
  <si>
    <t>Iannelli</t>
  </si>
  <si>
    <t>Bettini</t>
  </si>
  <si>
    <t>Velasco</t>
  </si>
  <si>
    <t>13-18/01/2014</t>
  </si>
  <si>
    <t>Meeting</t>
  </si>
  <si>
    <t>Svizzera</t>
  </si>
  <si>
    <t>Hotel + Extra</t>
  </si>
  <si>
    <t>06-09/02/2014</t>
  </si>
  <si>
    <t>DEFEXPO - Fiera</t>
  </si>
  <si>
    <t>India</t>
  </si>
  <si>
    <t>27-28/02/2014</t>
  </si>
  <si>
    <t>COUNTER TERROR - Fiera</t>
  </si>
  <si>
    <t>Londra</t>
  </si>
  <si>
    <t>16-21/02/2014</t>
  </si>
  <si>
    <t>Messico</t>
  </si>
  <si>
    <t>26-28/02/2014</t>
  </si>
  <si>
    <t>Airshow</t>
  </si>
  <si>
    <t>Singapore</t>
  </si>
  <si>
    <t>24-25/02/2014</t>
  </si>
  <si>
    <t>Bangladesh</t>
  </si>
  <si>
    <t>17-18/02/2014</t>
  </si>
  <si>
    <t>Area C</t>
  </si>
  <si>
    <t xml:space="preserve">Bus </t>
  </si>
  <si>
    <t>10-12/02/2014</t>
  </si>
  <si>
    <t>Saudi</t>
  </si>
  <si>
    <t>Tickets</t>
  </si>
  <si>
    <t>Visto</t>
  </si>
  <si>
    <t>13-28/01/2014</t>
  </si>
  <si>
    <t>14-21/02/2014</t>
  </si>
  <si>
    <t>03-05/02/2014</t>
  </si>
  <si>
    <t>Follow up</t>
  </si>
  <si>
    <t>Colombia</t>
  </si>
  <si>
    <t>Pranzi/cene</t>
  </si>
  <si>
    <t>23-28/02/2014</t>
  </si>
  <si>
    <t>Ecuador</t>
  </si>
  <si>
    <t>18-19/02/2014</t>
  </si>
  <si>
    <t>Brasile</t>
  </si>
  <si>
    <t>Pranzi/Cena</t>
  </si>
  <si>
    <t>05-07/03/2014</t>
  </si>
  <si>
    <t>Pre-Sales</t>
  </si>
  <si>
    <t>Libano</t>
  </si>
  <si>
    <t>09-14/03/2014</t>
  </si>
  <si>
    <t>Extra Hotel + Pickup</t>
  </si>
  <si>
    <t>03-15/03/2014</t>
  </si>
  <si>
    <t>Pre-sales</t>
  </si>
  <si>
    <t xml:space="preserve">Training </t>
  </si>
  <si>
    <t>Treno Roma x visto</t>
  </si>
  <si>
    <t>03-05/03/2014</t>
  </si>
  <si>
    <t>ISS Fiera</t>
  </si>
  <si>
    <t>Dubai</t>
  </si>
  <si>
    <t>24-26/03/2014</t>
  </si>
  <si>
    <t>Giordania</t>
  </si>
  <si>
    <t>Rinnovo Passaporto</t>
  </si>
  <si>
    <t>10-13/03/2014</t>
  </si>
  <si>
    <t>HOSDB Fiera</t>
  </si>
  <si>
    <t>UK</t>
  </si>
  <si>
    <t>(Roma ritiro visto)</t>
  </si>
  <si>
    <t>18-24/03/2014</t>
  </si>
  <si>
    <t>Training Sudan</t>
  </si>
  <si>
    <t>Italia</t>
  </si>
  <si>
    <t>Milan</t>
  </si>
  <si>
    <t>Hotel IDEC</t>
  </si>
  <si>
    <t>02-07/03/2014</t>
  </si>
  <si>
    <t>04-05/02/2014</t>
  </si>
  <si>
    <t>Volo LAAD</t>
  </si>
  <si>
    <t>12-14/03/2014</t>
  </si>
  <si>
    <t>19-26/03/2014</t>
  </si>
  <si>
    <t>Visti</t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</si>
</sst>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8" formatCode="&quot;€&quot;\ #,##0.00;[Red]\-&quot;€&quot;\ #,##0.00"/>
    <numFmt numFmtId="164" formatCode="&quot;€&quot;\ #,##0.00"/>
  </numFmts>
  <fonts count="5">
    <font>
      <sz val="11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rgb="FFFF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8" fontId="2" fillId="0" borderId="4" xfId="0" applyNumberFormat="1" applyFont="1" applyBorder="1" applyAlignment="1">
      <alignment horizontal="center"/>
    </xf>
    <xf numFmtId="8" fontId="2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8" fontId="0" fillId="0" borderId="3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8" fontId="2" fillId="0" borderId="5" xfId="0" applyNumberFormat="1" applyFont="1" applyBorder="1" applyAlignment="1">
      <alignment horizontal="center"/>
    </xf>
    <xf numFmtId="8" fontId="2" fillId="0" borderId="8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8" fontId="1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8" fontId="4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8" fontId="0" fillId="0" borderId="0" xfId="0" applyNumberFormat="1"/>
    <xf numFmtId="164" fontId="0" fillId="0" borderId="0" xfId="0" applyNumberFormat="1"/>
    <xf numFmtId="0" fontId="0" fillId="0" borderId="0" xfId="0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workbookViewId="0">
      <selection activeCell="G21" sqref="G21"/>
    </sheetView>
  </sheetViews>
  <sheetFormatPr defaultRowHeight="15"/>
  <cols>
    <col min="1" max="1" width="17.7109375" customWidth="1"/>
    <col min="2" max="2" width="29.14062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1" max="11" width="9.7109375" bestFit="1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46" t="s">
        <v>7</v>
      </c>
      <c r="E1" s="47"/>
      <c r="F1" s="48" t="s">
        <v>6</v>
      </c>
      <c r="G1" s="49"/>
      <c r="H1" s="48" t="s">
        <v>3</v>
      </c>
      <c r="I1" s="49"/>
    </row>
    <row r="2" spans="1:11" s="1" customFormat="1">
      <c r="A2" s="43">
        <v>41642</v>
      </c>
      <c r="B2" s="8" t="s">
        <v>79</v>
      </c>
      <c r="C2" s="8" t="s">
        <v>9</v>
      </c>
      <c r="D2" s="14">
        <f>107</f>
        <v>107</v>
      </c>
      <c r="E2" s="15" t="s">
        <v>16</v>
      </c>
      <c r="F2" s="25">
        <f>246</f>
        <v>246</v>
      </c>
      <c r="G2" s="21" t="s">
        <v>32</v>
      </c>
      <c r="H2" s="29">
        <v>507.6</v>
      </c>
      <c r="I2" s="5" t="s">
        <v>67</v>
      </c>
    </row>
    <row r="3" spans="1:11" s="1" customFormat="1">
      <c r="A3" s="10"/>
      <c r="B3" s="37" t="s">
        <v>80</v>
      </c>
      <c r="C3" s="9"/>
      <c r="D3" s="16">
        <f>36.31</f>
        <v>36.31</v>
      </c>
      <c r="E3" s="17" t="s">
        <v>14</v>
      </c>
      <c r="F3" s="26"/>
      <c r="G3" s="22"/>
      <c r="H3" s="30">
        <v>293.31</v>
      </c>
      <c r="I3" s="6" t="s">
        <v>45</v>
      </c>
    </row>
    <row r="4" spans="1:11" s="1" customFormat="1">
      <c r="A4" s="9"/>
      <c r="B4" s="9"/>
      <c r="C4" s="10"/>
      <c r="D4" s="16"/>
      <c r="E4" s="17"/>
      <c r="F4" s="26"/>
      <c r="G4" s="22"/>
      <c r="H4" s="30"/>
      <c r="I4" s="6"/>
      <c r="K4" s="38"/>
    </row>
    <row r="5" spans="1:11" s="1" customFormat="1">
      <c r="A5" s="10"/>
      <c r="B5" s="13"/>
      <c r="C5" s="9"/>
      <c r="D5" s="16"/>
      <c r="E5" s="17"/>
      <c r="F5" s="26"/>
      <c r="G5" s="22"/>
      <c r="H5" s="30"/>
      <c r="I5" s="6"/>
      <c r="K5" s="38"/>
    </row>
    <row r="6" spans="1:11" s="1" customFormat="1">
      <c r="A6" s="10"/>
      <c r="B6" s="13"/>
      <c r="C6" s="9" t="s">
        <v>10</v>
      </c>
      <c r="D6" s="16">
        <f>19.6+26.44</f>
        <v>46.040000000000006</v>
      </c>
      <c r="E6" s="17" t="s">
        <v>16</v>
      </c>
      <c r="F6" s="26">
        <f>246</f>
        <v>246</v>
      </c>
      <c r="G6" s="22" t="s">
        <v>32</v>
      </c>
      <c r="H6" s="30"/>
      <c r="I6" s="6"/>
      <c r="K6" s="38"/>
    </row>
    <row r="7" spans="1:11" s="1" customFormat="1">
      <c r="A7" s="10"/>
      <c r="B7" s="13"/>
      <c r="C7" s="9"/>
      <c r="D7" s="16">
        <v>8</v>
      </c>
      <c r="E7" s="17" t="s">
        <v>14</v>
      </c>
      <c r="F7" s="26"/>
      <c r="G7" s="22"/>
      <c r="H7" s="30"/>
      <c r="I7" s="6"/>
    </row>
    <row r="8" spans="1:11" s="1" customFormat="1">
      <c r="A8" s="10"/>
      <c r="B8" s="13"/>
      <c r="C8" s="9"/>
      <c r="D8" s="16"/>
      <c r="E8" s="17"/>
      <c r="F8" s="26"/>
      <c r="G8" s="22"/>
      <c r="H8" s="30"/>
      <c r="I8" s="6"/>
    </row>
    <row r="9" spans="1:11" s="1" customFormat="1">
      <c r="A9" s="11" t="s">
        <v>4</v>
      </c>
      <c r="B9" s="10"/>
      <c r="C9" s="10"/>
      <c r="D9" s="18">
        <f>SUM(D2:D8)</f>
        <v>197.35000000000002</v>
      </c>
      <c r="E9" s="6"/>
      <c r="F9" s="27">
        <f>SUM(F2:F8)</f>
        <v>492</v>
      </c>
      <c r="G9" s="23"/>
      <c r="H9" s="31">
        <f>SUM(H2:H8)</f>
        <v>800.91000000000008</v>
      </c>
      <c r="I9" s="2"/>
    </row>
    <row r="10" spans="1:11" s="1" customFormat="1" ht="15.75" thickBot="1">
      <c r="A10" s="12" t="s">
        <v>5</v>
      </c>
      <c r="B10" s="34">
        <f>SUM(D9+F9+H9)</f>
        <v>1490.2600000000002</v>
      </c>
      <c r="C10" s="33"/>
      <c r="D10" s="19"/>
      <c r="E10" s="20"/>
      <c r="F10" s="28"/>
      <c r="G10" s="24"/>
      <c r="H10" s="32"/>
      <c r="I10" s="3"/>
    </row>
    <row r="11" spans="1:11" s="1" customFormat="1">
      <c r="A11" s="8" t="s">
        <v>26</v>
      </c>
      <c r="B11" s="8" t="s">
        <v>27</v>
      </c>
      <c r="C11" s="8" t="s">
        <v>20</v>
      </c>
      <c r="D11" s="14">
        <f>22.95</f>
        <v>22.95</v>
      </c>
      <c r="E11" s="15" t="s">
        <v>16</v>
      </c>
      <c r="F11" s="25"/>
      <c r="G11" s="21"/>
      <c r="H11" s="29">
        <f>325.45</f>
        <v>325.45</v>
      </c>
      <c r="I11" s="5" t="s">
        <v>67</v>
      </c>
    </row>
    <row r="12" spans="1:11" s="1" customFormat="1">
      <c r="A12" s="10"/>
      <c r="B12" s="37" t="s">
        <v>28</v>
      </c>
      <c r="C12" s="9"/>
      <c r="D12" s="16">
        <f>89</f>
        <v>89</v>
      </c>
      <c r="E12" s="17" t="s">
        <v>14</v>
      </c>
      <c r="F12" s="26"/>
      <c r="G12" s="22"/>
      <c r="H12" s="30">
        <f>737.5</f>
        <v>737.5</v>
      </c>
      <c r="I12" s="6" t="s">
        <v>45</v>
      </c>
    </row>
    <row r="13" spans="1:11" s="1" customFormat="1">
      <c r="A13" s="9"/>
      <c r="B13" s="9"/>
      <c r="C13" s="10"/>
      <c r="D13" s="16">
        <v>30</v>
      </c>
      <c r="E13" s="17" t="s">
        <v>29</v>
      </c>
      <c r="F13" s="26"/>
      <c r="G13" s="22"/>
      <c r="H13" s="30"/>
      <c r="I13" s="6"/>
      <c r="K13" s="38"/>
    </row>
    <row r="14" spans="1:11" s="1" customFormat="1">
      <c r="A14" s="10"/>
      <c r="B14" s="13"/>
      <c r="C14" s="9"/>
      <c r="D14" s="16"/>
      <c r="E14" s="17"/>
      <c r="F14" s="26"/>
      <c r="G14" s="22"/>
      <c r="H14" s="30"/>
      <c r="I14" s="6"/>
      <c r="K14" s="38"/>
    </row>
    <row r="15" spans="1:11" s="1" customFormat="1">
      <c r="A15" s="10"/>
      <c r="B15" s="13"/>
      <c r="C15" s="9" t="s">
        <v>11</v>
      </c>
      <c r="D15" s="16">
        <f>107.24+21.47</f>
        <v>128.70999999999998</v>
      </c>
      <c r="E15" s="17" t="s">
        <v>16</v>
      </c>
      <c r="F15" s="26">
        <v>13.8</v>
      </c>
      <c r="G15" s="22" t="s">
        <v>31</v>
      </c>
      <c r="H15" s="30">
        <f>1581.13</f>
        <v>1581.13</v>
      </c>
      <c r="I15" s="6" t="s">
        <v>67</v>
      </c>
      <c r="K15" s="38"/>
    </row>
    <row r="16" spans="1:11" s="1" customFormat="1">
      <c r="A16" s="10"/>
      <c r="B16" s="13"/>
      <c r="C16" s="9"/>
      <c r="D16" s="16">
        <f>29.8+258.3</f>
        <v>288.10000000000002</v>
      </c>
      <c r="E16" s="17" t="s">
        <v>14</v>
      </c>
      <c r="F16" s="26">
        <v>20</v>
      </c>
      <c r="G16" s="22" t="s">
        <v>18</v>
      </c>
      <c r="H16" s="30">
        <f>737.5</f>
        <v>737.5</v>
      </c>
      <c r="I16" s="6" t="s">
        <v>45</v>
      </c>
    </row>
    <row r="17" spans="1:11" s="1" customFormat="1">
      <c r="A17" s="10"/>
      <c r="B17" s="13"/>
      <c r="C17" s="9"/>
      <c r="D17" s="16">
        <f>8.68</f>
        <v>8.68</v>
      </c>
      <c r="E17" s="17" t="s">
        <v>29</v>
      </c>
      <c r="F17" s="26"/>
      <c r="G17" s="22"/>
      <c r="H17" s="30">
        <v>3</v>
      </c>
      <c r="I17" s="6" t="s">
        <v>15</v>
      </c>
    </row>
    <row r="18" spans="1:11" s="1" customFormat="1">
      <c r="A18" s="9"/>
      <c r="B18" s="9"/>
      <c r="C18" s="10"/>
      <c r="D18" s="16"/>
      <c r="E18" s="17"/>
      <c r="F18" s="26"/>
      <c r="G18" s="22"/>
      <c r="H18" s="30"/>
      <c r="I18" s="6"/>
      <c r="K18" s="39"/>
    </row>
    <row r="19" spans="1:11" s="1" customFormat="1">
      <c r="A19" s="9"/>
      <c r="B19" s="9"/>
      <c r="C19" s="10" t="s">
        <v>77</v>
      </c>
      <c r="D19" s="16">
        <f>269</f>
        <v>269</v>
      </c>
      <c r="E19" s="17" t="s">
        <v>16</v>
      </c>
      <c r="F19" s="26">
        <f>200</f>
        <v>200</v>
      </c>
      <c r="G19" s="22" t="s">
        <v>32</v>
      </c>
      <c r="H19" s="30">
        <f>699.22</f>
        <v>699.22</v>
      </c>
      <c r="I19" s="6" t="s">
        <v>67</v>
      </c>
      <c r="K19" s="39"/>
    </row>
    <row r="20" spans="1:11" s="1" customFormat="1">
      <c r="A20" s="9"/>
      <c r="B20" s="9"/>
      <c r="C20" s="10"/>
      <c r="D20" s="16">
        <f>219.9</f>
        <v>219.9</v>
      </c>
      <c r="E20" s="17" t="s">
        <v>14</v>
      </c>
      <c r="F20" s="26">
        <f>1.5</f>
        <v>1.5</v>
      </c>
      <c r="G20" s="22" t="s">
        <v>31</v>
      </c>
      <c r="H20" s="30">
        <f>737.5</f>
        <v>737.5</v>
      </c>
      <c r="I20" s="6" t="s">
        <v>45</v>
      </c>
      <c r="K20" s="39"/>
    </row>
    <row r="21" spans="1:11" s="1" customFormat="1">
      <c r="A21" s="9"/>
      <c r="B21" s="9"/>
      <c r="C21" s="10"/>
      <c r="D21" s="16"/>
      <c r="E21" s="17"/>
      <c r="F21" s="26"/>
      <c r="G21" s="22"/>
      <c r="H21" s="30"/>
      <c r="I21" s="6"/>
      <c r="K21" s="39"/>
    </row>
    <row r="22" spans="1:11" s="1" customFormat="1">
      <c r="A22" s="9"/>
      <c r="B22" s="9"/>
      <c r="C22" s="10" t="s">
        <v>12</v>
      </c>
      <c r="D22" s="16">
        <f>3.93+151.65</f>
        <v>155.58000000000001</v>
      </c>
      <c r="E22" s="17" t="s">
        <v>16</v>
      </c>
      <c r="F22" s="26">
        <f>11</f>
        <v>11</v>
      </c>
      <c r="G22" s="22" t="s">
        <v>32</v>
      </c>
      <c r="H22" s="30">
        <f>565.65+291</f>
        <v>856.65</v>
      </c>
      <c r="I22" s="6" t="s">
        <v>67</v>
      </c>
      <c r="K22" s="39"/>
    </row>
    <row r="23" spans="1:11" s="1" customFormat="1">
      <c r="A23" s="9"/>
      <c r="B23" s="9"/>
      <c r="C23" s="10"/>
      <c r="D23" s="16">
        <f>181.8</f>
        <v>181.8</v>
      </c>
      <c r="E23" s="17" t="s">
        <v>14</v>
      </c>
      <c r="F23" s="26"/>
      <c r="G23" s="22"/>
      <c r="H23" s="30">
        <f>737.5</f>
        <v>737.5</v>
      </c>
      <c r="I23" s="6" t="s">
        <v>45</v>
      </c>
      <c r="K23" s="39"/>
    </row>
    <row r="24" spans="1:11" s="1" customFormat="1">
      <c r="A24" s="9"/>
      <c r="B24" s="9"/>
      <c r="C24" s="10"/>
      <c r="D24" s="16">
        <f>49</f>
        <v>49</v>
      </c>
      <c r="E24" s="17" t="s">
        <v>29</v>
      </c>
      <c r="F24" s="26"/>
      <c r="G24" s="22"/>
      <c r="H24" s="30">
        <f>32</f>
        <v>32</v>
      </c>
      <c r="I24" s="6" t="s">
        <v>15</v>
      </c>
      <c r="K24" s="39"/>
    </row>
    <row r="25" spans="1:11" s="1" customFormat="1">
      <c r="A25" s="9"/>
      <c r="B25" s="9"/>
      <c r="C25" s="10"/>
      <c r="D25" s="16"/>
      <c r="E25" s="17"/>
      <c r="F25" s="26"/>
      <c r="G25" s="22"/>
      <c r="H25" s="30"/>
      <c r="I25" s="6"/>
      <c r="K25" s="39"/>
    </row>
    <row r="26" spans="1:11" s="1" customFormat="1">
      <c r="A26" s="9"/>
      <c r="B26" s="9"/>
      <c r="C26" s="10" t="s">
        <v>76</v>
      </c>
      <c r="D26" s="16">
        <f>148.4</f>
        <v>148.4</v>
      </c>
      <c r="E26" s="17" t="s">
        <v>16</v>
      </c>
      <c r="F26" s="26"/>
      <c r="G26" s="22"/>
      <c r="H26" s="30"/>
      <c r="I26" s="6"/>
      <c r="K26" s="39"/>
    </row>
    <row r="27" spans="1:11" s="1" customFormat="1">
      <c r="A27" s="9"/>
      <c r="B27" s="9"/>
      <c r="C27" s="10"/>
      <c r="D27" s="16"/>
      <c r="E27" s="17"/>
      <c r="F27" s="26"/>
      <c r="G27" s="22"/>
      <c r="H27" s="30"/>
      <c r="I27" s="6"/>
      <c r="K27" s="39"/>
    </row>
    <row r="28" spans="1:11" s="1" customFormat="1">
      <c r="A28" s="9"/>
      <c r="B28" s="9"/>
      <c r="C28" s="10" t="s">
        <v>9</v>
      </c>
      <c r="D28" s="16">
        <v>290</v>
      </c>
      <c r="E28" s="17" t="s">
        <v>16</v>
      </c>
      <c r="F28" s="26"/>
      <c r="G28" s="22"/>
      <c r="H28" s="30"/>
      <c r="I28" s="6"/>
      <c r="K28" s="39"/>
    </row>
    <row r="29" spans="1:11" s="1" customFormat="1">
      <c r="A29" s="9"/>
      <c r="B29" s="9"/>
      <c r="C29" s="9"/>
      <c r="D29" s="16"/>
      <c r="E29" s="17"/>
      <c r="F29" s="26"/>
      <c r="G29" s="22"/>
      <c r="H29" s="30"/>
      <c r="I29" s="2"/>
      <c r="K29" s="4"/>
    </row>
    <row r="30" spans="1:11" s="1" customFormat="1">
      <c r="A30" s="11" t="s">
        <v>4</v>
      </c>
      <c r="B30" s="10"/>
      <c r="C30" s="10"/>
      <c r="D30" s="18">
        <f>SUM(D11:D29)</f>
        <v>1881.12</v>
      </c>
      <c r="E30" s="6"/>
      <c r="F30" s="27">
        <f>SUM(F11:F29)</f>
        <v>246.3</v>
      </c>
      <c r="G30" s="23"/>
      <c r="H30" s="31">
        <f>SUM(H11:H29)</f>
        <v>6447.45</v>
      </c>
      <c r="I30" s="2"/>
    </row>
    <row r="31" spans="1:11" s="1" customFormat="1" ht="15.75" thickBot="1">
      <c r="A31" s="12" t="s">
        <v>5</v>
      </c>
      <c r="B31" s="34">
        <f>SUM(D30+F30+H30)</f>
        <v>8574.869999999999</v>
      </c>
      <c r="C31" s="33"/>
      <c r="D31" s="19"/>
      <c r="E31" s="20"/>
      <c r="F31" s="28"/>
      <c r="G31" s="24"/>
      <c r="H31" s="32"/>
      <c r="I31" s="3"/>
    </row>
    <row r="32" spans="1:11" s="1" customFormat="1">
      <c r="A32" s="8" t="s">
        <v>68</v>
      </c>
      <c r="B32" s="8" t="s">
        <v>55</v>
      </c>
      <c r="C32" s="8" t="s">
        <v>70</v>
      </c>
      <c r="D32" s="14">
        <f>15.1</f>
        <v>15.1</v>
      </c>
      <c r="E32" s="15" t="s">
        <v>16</v>
      </c>
      <c r="F32" s="25">
        <f>9.19</f>
        <v>9.19</v>
      </c>
      <c r="G32" s="21" t="s">
        <v>42</v>
      </c>
      <c r="H32" s="29">
        <v>507.6</v>
      </c>
      <c r="I32" s="5" t="s">
        <v>67</v>
      </c>
    </row>
    <row r="33" spans="1:11" s="1" customFormat="1">
      <c r="A33" s="10"/>
      <c r="B33" s="37" t="s">
        <v>69</v>
      </c>
      <c r="C33" s="9"/>
      <c r="D33" s="16">
        <f>95</f>
        <v>95</v>
      </c>
      <c r="E33" s="17" t="s">
        <v>14</v>
      </c>
      <c r="F33" s="26"/>
      <c r="G33" s="22"/>
      <c r="H33" s="30">
        <v>293.31</v>
      </c>
      <c r="I33" s="6" t="s">
        <v>45</v>
      </c>
    </row>
    <row r="34" spans="1:11" s="1" customFormat="1">
      <c r="A34" s="9"/>
      <c r="B34" s="9"/>
      <c r="C34" s="10"/>
      <c r="D34" s="16"/>
      <c r="E34" s="17"/>
      <c r="F34" s="26"/>
      <c r="G34" s="22"/>
      <c r="H34" s="30">
        <f>17.61</f>
        <v>17.61</v>
      </c>
      <c r="I34" s="6" t="s">
        <v>15</v>
      </c>
      <c r="K34" s="38"/>
    </row>
    <row r="35" spans="1:11" s="1" customFormat="1">
      <c r="A35" s="10"/>
      <c r="B35" s="13"/>
      <c r="C35" s="9"/>
      <c r="D35" s="16"/>
      <c r="E35" s="17"/>
      <c r="F35" s="26"/>
      <c r="G35" s="22"/>
      <c r="H35" s="30"/>
      <c r="I35" s="6"/>
      <c r="K35" s="38"/>
    </row>
    <row r="36" spans="1:11" s="1" customFormat="1">
      <c r="A36" s="10"/>
      <c r="B36" s="13"/>
      <c r="C36" s="9" t="s">
        <v>71</v>
      </c>
      <c r="D36" s="16">
        <f>13.5</f>
        <v>13.5</v>
      </c>
      <c r="E36" s="17" t="s">
        <v>16</v>
      </c>
      <c r="F36" s="26">
        <f>5.6</f>
        <v>5.6</v>
      </c>
      <c r="G36" s="22" t="s">
        <v>50</v>
      </c>
      <c r="H36" s="30">
        <f>472.6</f>
        <v>472.6</v>
      </c>
      <c r="I36" s="6" t="s">
        <v>67</v>
      </c>
      <c r="K36" s="38"/>
    </row>
    <row r="37" spans="1:11" s="1" customFormat="1">
      <c r="A37" s="10"/>
      <c r="B37" s="13"/>
      <c r="C37" s="9"/>
      <c r="D37" s="16">
        <f>131.41</f>
        <v>131.41</v>
      </c>
      <c r="E37" s="17" t="s">
        <v>14</v>
      </c>
      <c r="F37" s="26"/>
      <c r="G37" s="22"/>
      <c r="H37" s="30">
        <v>293.31</v>
      </c>
      <c r="I37" s="6" t="s">
        <v>45</v>
      </c>
    </row>
    <row r="38" spans="1:11" s="1" customFormat="1">
      <c r="A38" s="10"/>
      <c r="B38" s="13"/>
      <c r="C38" s="9"/>
      <c r="D38" s="16"/>
      <c r="E38" s="17"/>
      <c r="F38" s="26"/>
      <c r="G38" s="22"/>
      <c r="H38" s="30">
        <f>130.39</f>
        <v>130.38999999999999</v>
      </c>
      <c r="I38" s="6" t="s">
        <v>15</v>
      </c>
    </row>
    <row r="39" spans="1:11" s="1" customFormat="1">
      <c r="A39" s="9"/>
      <c r="B39" s="9"/>
      <c r="C39" s="9"/>
      <c r="D39" s="16"/>
      <c r="E39" s="17"/>
      <c r="F39" s="26"/>
      <c r="G39" s="22"/>
      <c r="H39" s="30"/>
      <c r="I39" s="2"/>
      <c r="K39" s="4"/>
    </row>
    <row r="40" spans="1:11" s="1" customFormat="1">
      <c r="A40" s="11" t="s">
        <v>4</v>
      </c>
      <c r="B40" s="10"/>
      <c r="C40" s="10"/>
      <c r="D40" s="18">
        <f>SUM(D32:D39)</f>
        <v>255.01</v>
      </c>
      <c r="E40" s="6"/>
      <c r="F40" s="27">
        <f>SUM(F32:F39)</f>
        <v>14.79</v>
      </c>
      <c r="G40" s="23"/>
      <c r="H40" s="31">
        <f>SUM(H32:H39)</f>
        <v>1714.8200000000002</v>
      </c>
      <c r="I40" s="2"/>
    </row>
    <row r="41" spans="1:11" s="1" customFormat="1" ht="15.75" thickBot="1">
      <c r="A41" s="12" t="s">
        <v>5</v>
      </c>
      <c r="B41" s="34">
        <f>SUM(D40+F40+H40)</f>
        <v>1984.6200000000001</v>
      </c>
      <c r="C41" s="33"/>
      <c r="D41" s="19"/>
      <c r="E41" s="20"/>
      <c r="F41" s="28"/>
      <c r="G41" s="24"/>
      <c r="H41" s="32"/>
      <c r="I41" s="3"/>
    </row>
    <row r="42" spans="1:11" s="1" customFormat="1">
      <c r="A42" s="8" t="s">
        <v>47</v>
      </c>
      <c r="B42" s="8" t="s">
        <v>37</v>
      </c>
      <c r="C42" s="8" t="s">
        <v>49</v>
      </c>
      <c r="D42" s="14">
        <f>27+3.78</f>
        <v>30.78</v>
      </c>
      <c r="E42" s="15" t="s">
        <v>16</v>
      </c>
      <c r="F42" s="25">
        <f>111.95</f>
        <v>111.95</v>
      </c>
      <c r="G42" s="21" t="s">
        <v>42</v>
      </c>
      <c r="H42" s="29">
        <v>703.7</v>
      </c>
      <c r="I42" s="5" t="s">
        <v>67</v>
      </c>
    </row>
    <row r="43" spans="1:11" s="1" customFormat="1">
      <c r="A43" s="10"/>
      <c r="B43" s="37" t="s">
        <v>48</v>
      </c>
      <c r="C43" s="9"/>
      <c r="D43" s="16"/>
      <c r="E43" s="17"/>
      <c r="F43" s="26">
        <v>10.4</v>
      </c>
      <c r="G43" s="22" t="s">
        <v>50</v>
      </c>
      <c r="H43" s="30"/>
      <c r="I43" s="6"/>
    </row>
    <row r="44" spans="1:11" s="1" customFormat="1">
      <c r="A44" s="9"/>
      <c r="B44" s="9"/>
      <c r="C44" s="10"/>
      <c r="D44" s="16"/>
      <c r="E44" s="17"/>
      <c r="F44" s="26">
        <v>68.400000000000006</v>
      </c>
      <c r="G44" s="22" t="s">
        <v>43</v>
      </c>
      <c r="H44" s="30"/>
      <c r="I44" s="6"/>
      <c r="K44" s="38"/>
    </row>
    <row r="45" spans="1:11" s="1" customFormat="1">
      <c r="A45" s="10"/>
      <c r="B45" s="13"/>
      <c r="C45" s="9"/>
      <c r="D45" s="16"/>
      <c r="E45" s="17"/>
      <c r="F45" s="26"/>
      <c r="G45" s="22"/>
      <c r="H45" s="30"/>
      <c r="I45" s="6"/>
      <c r="K45" s="38"/>
    </row>
    <row r="46" spans="1:11" s="1" customFormat="1">
      <c r="A46" s="10"/>
      <c r="B46" s="13"/>
      <c r="C46" s="9" t="s">
        <v>65</v>
      </c>
      <c r="D46" s="16">
        <f>18.96</f>
        <v>18.96</v>
      </c>
      <c r="E46" s="17" t="s">
        <v>16</v>
      </c>
      <c r="F46" s="26">
        <f>122.01</f>
        <v>122.01</v>
      </c>
      <c r="G46" s="22" t="s">
        <v>42</v>
      </c>
      <c r="H46" s="30">
        <v>731.5</v>
      </c>
      <c r="I46" s="6" t="s">
        <v>67</v>
      </c>
      <c r="K46" s="38"/>
    </row>
    <row r="47" spans="1:11" s="1" customFormat="1">
      <c r="A47" s="10"/>
      <c r="B47" s="13"/>
      <c r="C47" s="9"/>
      <c r="D47" s="16"/>
      <c r="E47" s="17"/>
      <c r="F47" s="26">
        <f>41.6</f>
        <v>41.6</v>
      </c>
      <c r="G47" s="22" t="s">
        <v>43</v>
      </c>
      <c r="H47" s="30"/>
      <c r="I47" s="6"/>
    </row>
    <row r="48" spans="1:11" s="1" customFormat="1">
      <c r="A48" s="9"/>
      <c r="B48" s="9"/>
      <c r="C48" s="9"/>
      <c r="D48" s="16"/>
      <c r="E48" s="17"/>
      <c r="F48" s="26"/>
      <c r="G48" s="22"/>
      <c r="H48" s="30"/>
      <c r="I48" s="2"/>
      <c r="K48" s="4"/>
    </row>
    <row r="49" spans="1:11" s="1" customFormat="1">
      <c r="A49" s="11" t="s">
        <v>4</v>
      </c>
      <c r="B49" s="10"/>
      <c r="C49" s="10"/>
      <c r="D49" s="18">
        <f>SUM(D42:D48)</f>
        <v>49.74</v>
      </c>
      <c r="E49" s="6"/>
      <c r="F49" s="27">
        <f>SUM(F42:F48)</f>
        <v>354.36</v>
      </c>
      <c r="G49" s="23"/>
      <c r="H49" s="31">
        <f>SUM(H42:H48)</f>
        <v>1435.2</v>
      </c>
      <c r="I49" s="2"/>
    </row>
    <row r="50" spans="1:11" s="1" customFormat="1" ht="15.75" thickBot="1">
      <c r="A50" s="12" t="s">
        <v>5</v>
      </c>
      <c r="B50" s="34">
        <f>SUM(D49+F49+H49)</f>
        <v>1839.3000000000002</v>
      </c>
      <c r="C50" s="33"/>
      <c r="D50" s="19"/>
      <c r="E50" s="20"/>
      <c r="F50" s="28"/>
      <c r="G50" s="24"/>
      <c r="H50" s="32"/>
      <c r="I50" s="3"/>
    </row>
    <row r="51" spans="1:11" s="1" customFormat="1">
      <c r="A51" s="8" t="s">
        <v>78</v>
      </c>
      <c r="B51" s="8" t="s">
        <v>30</v>
      </c>
      <c r="C51" s="8" t="s">
        <v>20</v>
      </c>
      <c r="D51" s="14">
        <f>19.65+30.6+25.93</f>
        <v>76.180000000000007</v>
      </c>
      <c r="E51" s="15" t="s">
        <v>16</v>
      </c>
      <c r="F51" s="25">
        <v>1.5</v>
      </c>
      <c r="G51" s="21" t="s">
        <v>31</v>
      </c>
      <c r="H51" s="29">
        <f>1563.51</f>
        <v>1563.51</v>
      </c>
      <c r="I51" s="5" t="s">
        <v>67</v>
      </c>
    </row>
    <row r="52" spans="1:11" s="1" customFormat="1">
      <c r="A52" s="10"/>
      <c r="B52" s="37" t="s">
        <v>19</v>
      </c>
      <c r="C52" s="9"/>
      <c r="D52" s="16">
        <f>90+111+12</f>
        <v>213</v>
      </c>
      <c r="E52" s="17" t="s">
        <v>14</v>
      </c>
      <c r="F52" s="26">
        <v>11</v>
      </c>
      <c r="G52" s="22" t="s">
        <v>32</v>
      </c>
      <c r="H52" s="30">
        <f>111.38</f>
        <v>111.38</v>
      </c>
      <c r="I52" s="6" t="s">
        <v>45</v>
      </c>
    </row>
    <row r="53" spans="1:11" s="1" customFormat="1">
      <c r="A53" s="9"/>
      <c r="B53" s="9"/>
      <c r="C53" s="10"/>
      <c r="D53" s="16">
        <v>32.119999999999997</v>
      </c>
      <c r="E53" s="17" t="s">
        <v>29</v>
      </c>
      <c r="F53" s="26"/>
      <c r="G53" s="22"/>
      <c r="H53" s="30">
        <f>222.12+441+138.89</f>
        <v>802.01</v>
      </c>
      <c r="I53" s="6" t="s">
        <v>15</v>
      </c>
      <c r="K53" s="38"/>
    </row>
    <row r="54" spans="1:11" s="1" customFormat="1">
      <c r="A54" s="10"/>
      <c r="B54" s="13"/>
      <c r="C54" s="9"/>
      <c r="D54" s="16"/>
      <c r="E54" s="17"/>
      <c r="F54" s="26"/>
      <c r="G54" s="22"/>
      <c r="H54" s="30"/>
      <c r="I54" s="6"/>
      <c r="K54" s="38"/>
    </row>
    <row r="55" spans="1:11" s="1" customFormat="1">
      <c r="A55" s="10" t="s">
        <v>102</v>
      </c>
      <c r="B55" s="13"/>
      <c r="C55" s="9" t="s">
        <v>77</v>
      </c>
      <c r="D55" s="16">
        <f>38.08+158.72</f>
        <v>196.8</v>
      </c>
      <c r="E55" s="17" t="s">
        <v>16</v>
      </c>
      <c r="F55" s="26"/>
      <c r="G55" s="22"/>
      <c r="H55" s="30">
        <f>409.37</f>
        <v>409.37</v>
      </c>
      <c r="I55" s="6" t="s">
        <v>67</v>
      </c>
      <c r="K55" s="38"/>
    </row>
    <row r="56" spans="1:11" s="1" customFormat="1">
      <c r="A56" s="10"/>
      <c r="B56" s="13"/>
      <c r="C56" s="9"/>
      <c r="D56" s="16">
        <f>678.5+115.96</f>
        <v>794.46</v>
      </c>
      <c r="E56" s="17" t="s">
        <v>14</v>
      </c>
      <c r="F56" s="26"/>
      <c r="G56" s="22"/>
      <c r="H56" s="30">
        <f>111.38+441+138.89+311.62+109.3</f>
        <v>1112.19</v>
      </c>
      <c r="I56" s="6" t="s">
        <v>45</v>
      </c>
    </row>
    <row r="57" spans="1:11" s="1" customFormat="1">
      <c r="A57" s="10"/>
      <c r="B57" s="13"/>
      <c r="C57" s="9"/>
      <c r="D57" s="16">
        <f>22.18</f>
        <v>22.18</v>
      </c>
      <c r="E57" s="17" t="s">
        <v>29</v>
      </c>
      <c r="F57" s="26"/>
      <c r="G57" s="22"/>
      <c r="H57" s="30">
        <f>23.66</f>
        <v>23.66</v>
      </c>
      <c r="I57" s="6" t="s">
        <v>15</v>
      </c>
    </row>
    <row r="58" spans="1:11" s="1" customFormat="1">
      <c r="A58" s="9"/>
      <c r="B58" s="9"/>
      <c r="C58" s="9"/>
      <c r="D58" s="16"/>
      <c r="E58" s="17"/>
      <c r="F58" s="26"/>
      <c r="G58" s="22"/>
      <c r="H58" s="30"/>
      <c r="I58" s="2"/>
      <c r="K58" s="4"/>
    </row>
    <row r="59" spans="1:11" s="1" customFormat="1">
      <c r="A59" s="11" t="s">
        <v>4</v>
      </c>
      <c r="B59" s="10"/>
      <c r="C59" s="10"/>
      <c r="D59" s="18">
        <f>SUM(D51:D58)</f>
        <v>1334.74</v>
      </c>
      <c r="E59" s="6"/>
      <c r="F59" s="27">
        <f>SUM(F51:F58)</f>
        <v>12.5</v>
      </c>
      <c r="G59" s="23"/>
      <c r="H59" s="31">
        <f>SUM(H51:H58)</f>
        <v>4022.1199999999994</v>
      </c>
      <c r="I59" s="2"/>
    </row>
    <row r="60" spans="1:11" s="1" customFormat="1" ht="15.75" thickBot="1">
      <c r="A60" s="12" t="s">
        <v>5</v>
      </c>
      <c r="B60" s="34">
        <f>SUM(D59+F59+H59)</f>
        <v>5369.36</v>
      </c>
      <c r="C60" s="33"/>
      <c r="D60" s="19"/>
      <c r="E60" s="20"/>
      <c r="F60" s="28"/>
      <c r="G60" s="24"/>
      <c r="H60" s="32"/>
      <c r="I60" s="3"/>
    </row>
    <row r="61" spans="1:11" s="1" customFormat="1">
      <c r="A61" s="8" t="s">
        <v>58</v>
      </c>
      <c r="B61" s="8" t="s">
        <v>55</v>
      </c>
      <c r="C61" s="8" t="s">
        <v>57</v>
      </c>
      <c r="D61" s="14">
        <f>9.3+140.38</f>
        <v>149.68</v>
      </c>
      <c r="E61" s="15" t="s">
        <v>16</v>
      </c>
      <c r="F61" s="25">
        <f>22</f>
        <v>22</v>
      </c>
      <c r="G61" s="21" t="s">
        <v>32</v>
      </c>
      <c r="H61" s="29">
        <v>487.15</v>
      </c>
      <c r="I61" s="5" t="s">
        <v>67</v>
      </c>
    </row>
    <row r="62" spans="1:11" s="1" customFormat="1">
      <c r="A62" s="10"/>
      <c r="B62" s="37" t="s">
        <v>59</v>
      </c>
      <c r="C62" s="9"/>
      <c r="D62" s="16">
        <f>24.5+17.29</f>
        <v>41.79</v>
      </c>
      <c r="E62" s="17" t="s">
        <v>14</v>
      </c>
      <c r="F62" s="26"/>
      <c r="G62" s="22"/>
      <c r="H62" s="30">
        <v>76</v>
      </c>
      <c r="I62" s="6" t="s">
        <v>45</v>
      </c>
    </row>
    <row r="63" spans="1:11" s="1" customFormat="1">
      <c r="A63" s="9"/>
      <c r="B63" s="9"/>
      <c r="C63" s="10"/>
      <c r="D63" s="16"/>
      <c r="E63" s="17"/>
      <c r="F63" s="26"/>
      <c r="G63" s="22"/>
      <c r="H63" s="30"/>
      <c r="I63" s="6"/>
      <c r="K63" s="38"/>
    </row>
    <row r="64" spans="1:11" s="1" customFormat="1">
      <c r="A64" s="10"/>
      <c r="B64" s="13"/>
      <c r="C64" s="9" t="s">
        <v>66</v>
      </c>
      <c r="D64" s="16">
        <f>33.9</f>
        <v>33.9</v>
      </c>
      <c r="E64" s="17" t="s">
        <v>29</v>
      </c>
      <c r="F64" s="26">
        <f>18.87</f>
        <v>18.87</v>
      </c>
      <c r="G64" s="22" t="s">
        <v>42</v>
      </c>
      <c r="H64" s="30">
        <v>487.15</v>
      </c>
      <c r="I64" s="6" t="s">
        <v>67</v>
      </c>
      <c r="K64" s="38"/>
    </row>
    <row r="65" spans="1:11" s="1" customFormat="1">
      <c r="A65" s="10"/>
      <c r="B65" s="13"/>
      <c r="C65" s="9"/>
      <c r="D65" s="16"/>
      <c r="E65" s="17"/>
      <c r="F65" s="26">
        <f>4.6</f>
        <v>4.5999999999999996</v>
      </c>
      <c r="G65" s="22" t="s">
        <v>50</v>
      </c>
      <c r="H65" s="30">
        <v>76</v>
      </c>
      <c r="I65" s="6" t="s">
        <v>45</v>
      </c>
      <c r="K65" s="38"/>
    </row>
    <row r="66" spans="1:11" s="1" customFormat="1">
      <c r="A66" s="10"/>
      <c r="B66" s="13"/>
      <c r="C66" s="9"/>
      <c r="D66" s="16"/>
      <c r="E66" s="17"/>
      <c r="F66" s="26">
        <f>55</f>
        <v>55</v>
      </c>
      <c r="G66" s="22" t="s">
        <v>43</v>
      </c>
      <c r="H66" s="30"/>
      <c r="I66" s="6"/>
    </row>
    <row r="67" spans="1:11" s="1" customFormat="1">
      <c r="A67" s="10"/>
      <c r="B67" s="13"/>
      <c r="C67" s="9"/>
      <c r="D67" s="16"/>
      <c r="E67" s="17"/>
      <c r="F67" s="26"/>
      <c r="G67" s="22"/>
      <c r="H67" s="30"/>
      <c r="I67" s="6"/>
    </row>
    <row r="68" spans="1:11" s="1" customFormat="1">
      <c r="A68" s="9"/>
      <c r="B68" s="9"/>
      <c r="C68" s="10" t="s">
        <v>76</v>
      </c>
      <c r="D68" s="16">
        <f>46.55</f>
        <v>46.55</v>
      </c>
      <c r="E68" s="17" t="s">
        <v>16</v>
      </c>
      <c r="F68" s="26">
        <f>16.84</f>
        <v>16.84</v>
      </c>
      <c r="G68" s="22" t="s">
        <v>42</v>
      </c>
      <c r="H68" s="30">
        <v>487.15</v>
      </c>
      <c r="I68" s="6" t="s">
        <v>67</v>
      </c>
      <c r="K68" s="39"/>
    </row>
    <row r="69" spans="1:11" s="1" customFormat="1">
      <c r="A69" s="9"/>
      <c r="B69" s="9"/>
      <c r="C69" s="10"/>
      <c r="D69" s="16"/>
      <c r="E69" s="17"/>
      <c r="F69" s="26">
        <v>6.6</v>
      </c>
      <c r="G69" s="22" t="s">
        <v>50</v>
      </c>
      <c r="H69" s="30">
        <v>76</v>
      </c>
      <c r="I69" s="6" t="s">
        <v>45</v>
      </c>
      <c r="K69" s="39"/>
    </row>
    <row r="70" spans="1:11" s="1" customFormat="1">
      <c r="A70" s="9"/>
      <c r="B70" s="9"/>
      <c r="C70" s="10"/>
      <c r="D70" s="16"/>
      <c r="E70" s="17"/>
      <c r="F70" s="26">
        <v>59</v>
      </c>
      <c r="G70" s="22" t="s">
        <v>43</v>
      </c>
      <c r="H70" s="30"/>
      <c r="I70" s="6"/>
      <c r="K70" s="39"/>
    </row>
    <row r="71" spans="1:11" s="1" customFormat="1">
      <c r="A71" s="9"/>
      <c r="B71" s="9"/>
      <c r="C71" s="9"/>
      <c r="D71" s="16"/>
      <c r="E71" s="17"/>
      <c r="F71" s="26"/>
      <c r="G71" s="22"/>
      <c r="H71" s="30"/>
      <c r="I71" s="2"/>
      <c r="K71" s="4"/>
    </row>
    <row r="72" spans="1:11" s="1" customFormat="1">
      <c r="A72" s="11" t="s">
        <v>4</v>
      </c>
      <c r="B72" s="10"/>
      <c r="C72" s="10"/>
      <c r="D72" s="18">
        <f>SUM(D61:D71)</f>
        <v>271.92</v>
      </c>
      <c r="E72" s="6"/>
      <c r="F72" s="27">
        <f>SUM(F61:F71)</f>
        <v>182.91</v>
      </c>
      <c r="G72" s="23"/>
      <c r="H72" s="31">
        <f>SUM(H61:H71)</f>
        <v>1689.4499999999998</v>
      </c>
      <c r="I72" s="2"/>
    </row>
    <row r="73" spans="1:11" s="1" customFormat="1" ht="15.75" thickBot="1">
      <c r="A73" s="12" t="s">
        <v>5</v>
      </c>
      <c r="B73" s="34">
        <f>SUM(D72+F72+H72)</f>
        <v>2144.2799999999997</v>
      </c>
      <c r="C73" s="33"/>
      <c r="D73" s="19"/>
      <c r="E73" s="20"/>
      <c r="F73" s="28"/>
      <c r="G73" s="24"/>
      <c r="H73" s="32"/>
      <c r="I73" s="3"/>
    </row>
    <row r="74" spans="1:11" s="1" customFormat="1">
      <c r="A74" s="8" t="s">
        <v>51</v>
      </c>
      <c r="B74" s="8" t="s">
        <v>55</v>
      </c>
      <c r="C74" s="8" t="s">
        <v>57</v>
      </c>
      <c r="D74" s="14">
        <f>13.8+86.47</f>
        <v>100.27</v>
      </c>
      <c r="E74" s="15" t="s">
        <v>16</v>
      </c>
      <c r="F74" s="25">
        <f>11</f>
        <v>11</v>
      </c>
      <c r="G74" s="21" t="s">
        <v>32</v>
      </c>
      <c r="H74" s="29">
        <f>485.84</f>
        <v>485.84</v>
      </c>
      <c r="I74" s="5" t="s">
        <v>67</v>
      </c>
    </row>
    <row r="75" spans="1:11" s="1" customFormat="1">
      <c r="A75" s="10"/>
      <c r="B75" s="37" t="s">
        <v>62</v>
      </c>
      <c r="C75" s="9"/>
      <c r="D75" s="16">
        <f>25+5.3</f>
        <v>30.3</v>
      </c>
      <c r="E75" s="17" t="s">
        <v>14</v>
      </c>
      <c r="F75" s="26"/>
      <c r="G75" s="22"/>
      <c r="H75" s="30">
        <f>75</f>
        <v>75</v>
      </c>
      <c r="I75" s="6" t="s">
        <v>45</v>
      </c>
    </row>
    <row r="76" spans="1:11" s="1" customFormat="1">
      <c r="A76" s="9"/>
      <c r="B76" s="9"/>
      <c r="C76" s="10"/>
      <c r="D76" s="16"/>
      <c r="E76" s="17"/>
      <c r="F76" s="26"/>
      <c r="G76" s="22"/>
      <c r="H76" s="30">
        <f>2.51</f>
        <v>2.5099999999999998</v>
      </c>
      <c r="I76" s="6" t="s">
        <v>15</v>
      </c>
      <c r="K76" s="38"/>
    </row>
    <row r="77" spans="1:11" s="1" customFormat="1">
      <c r="A77" s="10"/>
      <c r="B77" s="13"/>
      <c r="C77" s="9"/>
      <c r="D77" s="16"/>
      <c r="E77" s="17"/>
      <c r="F77" s="26"/>
      <c r="G77" s="22"/>
      <c r="H77" s="30"/>
      <c r="I77" s="6"/>
      <c r="K77" s="38"/>
    </row>
    <row r="78" spans="1:11" s="1" customFormat="1">
      <c r="A78" s="10"/>
      <c r="B78" s="13"/>
      <c r="C78" s="9" t="s">
        <v>66</v>
      </c>
      <c r="D78" s="16"/>
      <c r="E78" s="17"/>
      <c r="F78" s="26">
        <f>18.87</f>
        <v>18.87</v>
      </c>
      <c r="G78" s="22" t="s">
        <v>42</v>
      </c>
      <c r="H78" s="30">
        <f>485.84</f>
        <v>485.84</v>
      </c>
      <c r="I78" s="6" t="s">
        <v>67</v>
      </c>
      <c r="K78" s="38"/>
    </row>
    <row r="79" spans="1:11" s="1" customFormat="1">
      <c r="A79" s="10"/>
      <c r="B79" s="13"/>
      <c r="C79" s="9"/>
      <c r="D79" s="16"/>
      <c r="E79" s="17"/>
      <c r="F79" s="26">
        <f>5.8</f>
        <v>5.8</v>
      </c>
      <c r="G79" s="22" t="s">
        <v>50</v>
      </c>
      <c r="H79" s="30">
        <f>75</f>
        <v>75</v>
      </c>
      <c r="I79" s="6" t="s">
        <v>45</v>
      </c>
    </row>
    <row r="80" spans="1:11" s="1" customFormat="1">
      <c r="A80" s="10"/>
      <c r="B80" s="13"/>
      <c r="C80" s="9"/>
      <c r="D80" s="16"/>
      <c r="E80" s="17"/>
      <c r="F80" s="26">
        <f>59</f>
        <v>59</v>
      </c>
      <c r="G80" s="22" t="s">
        <v>43</v>
      </c>
      <c r="H80" s="30"/>
      <c r="I80" s="6"/>
    </row>
    <row r="81" spans="1:11" s="1" customFormat="1">
      <c r="A81" s="9"/>
      <c r="B81" s="9"/>
      <c r="C81" s="10"/>
      <c r="D81" s="16"/>
      <c r="E81" s="17"/>
      <c r="F81" s="26"/>
      <c r="G81" s="22"/>
      <c r="H81" s="30"/>
      <c r="I81" s="6"/>
      <c r="K81" s="39"/>
    </row>
    <row r="82" spans="1:11" s="1" customFormat="1">
      <c r="A82" s="9"/>
      <c r="B82" s="9"/>
      <c r="C82" s="10" t="s">
        <v>76</v>
      </c>
      <c r="D82" s="16">
        <f>50</f>
        <v>50</v>
      </c>
      <c r="E82" s="17" t="s">
        <v>14</v>
      </c>
      <c r="F82" s="26">
        <f>16.84</f>
        <v>16.84</v>
      </c>
      <c r="G82" s="22" t="s">
        <v>42</v>
      </c>
      <c r="H82" s="30">
        <f>485.84</f>
        <v>485.84</v>
      </c>
      <c r="I82" s="6" t="s">
        <v>67</v>
      </c>
      <c r="K82" s="39"/>
    </row>
    <row r="83" spans="1:11" s="1" customFormat="1">
      <c r="A83" s="9"/>
      <c r="B83" s="9"/>
      <c r="C83" s="10"/>
      <c r="D83" s="16"/>
      <c r="E83" s="17"/>
      <c r="F83" s="26">
        <v>5</v>
      </c>
      <c r="G83" s="22" t="s">
        <v>50</v>
      </c>
      <c r="H83" s="30">
        <v>75</v>
      </c>
      <c r="I83" s="6" t="s">
        <v>45</v>
      </c>
      <c r="K83" s="39"/>
    </row>
    <row r="84" spans="1:11" s="1" customFormat="1">
      <c r="A84" s="9"/>
      <c r="B84" s="9"/>
      <c r="C84" s="10"/>
      <c r="D84" s="16"/>
      <c r="E84" s="17"/>
      <c r="F84" s="26">
        <v>55</v>
      </c>
      <c r="G84" s="22" t="s">
        <v>43</v>
      </c>
      <c r="H84" s="30"/>
      <c r="I84" s="6"/>
      <c r="K84" s="39"/>
    </row>
    <row r="85" spans="1:11" s="1" customFormat="1">
      <c r="A85" s="9"/>
      <c r="B85" s="9"/>
      <c r="C85" s="9"/>
      <c r="D85" s="16"/>
      <c r="E85" s="17"/>
      <c r="F85" s="26"/>
      <c r="G85" s="22"/>
      <c r="H85" s="30"/>
      <c r="I85" s="2"/>
      <c r="K85" s="4"/>
    </row>
    <row r="86" spans="1:11" s="1" customFormat="1">
      <c r="A86" s="11" t="s">
        <v>4</v>
      </c>
      <c r="B86" s="10"/>
      <c r="C86" s="10"/>
      <c r="D86" s="18">
        <f>SUM(D74:D85)</f>
        <v>180.57</v>
      </c>
      <c r="E86" s="6"/>
      <c r="F86" s="27">
        <f>SUM(F74:F85)</f>
        <v>171.51</v>
      </c>
      <c r="G86" s="23"/>
      <c r="H86" s="31">
        <f>SUM(H74:H85)</f>
        <v>1685.0299999999997</v>
      </c>
      <c r="I86" s="2"/>
    </row>
    <row r="87" spans="1:11" s="1" customFormat="1" ht="15.75" thickBot="1">
      <c r="A87" s="12" t="s">
        <v>5</v>
      </c>
      <c r="B87" s="34">
        <f>SUM(D86+F86+H86)</f>
        <v>2037.1099999999997</v>
      </c>
      <c r="C87" s="33"/>
      <c r="D87" s="19"/>
      <c r="E87" s="20"/>
      <c r="F87" s="28"/>
      <c r="G87" s="24"/>
      <c r="H87" s="32"/>
      <c r="I87" s="3"/>
    </row>
    <row r="88" spans="1:11" s="1" customFormat="1">
      <c r="A88" s="8" t="s">
        <v>21</v>
      </c>
      <c r="B88" s="8" t="s">
        <v>22</v>
      </c>
      <c r="C88" s="8" t="s">
        <v>13</v>
      </c>
      <c r="D88" s="14">
        <f>2.8+688.89</f>
        <v>691.68999999999994</v>
      </c>
      <c r="E88" s="15" t="s">
        <v>16</v>
      </c>
      <c r="F88" s="25">
        <f>113.26</f>
        <v>113.26</v>
      </c>
      <c r="G88" s="21" t="s">
        <v>18</v>
      </c>
      <c r="H88" s="29"/>
      <c r="I88" s="5"/>
    </row>
    <row r="89" spans="1:11" s="1" customFormat="1">
      <c r="A89" s="10"/>
      <c r="B89" s="37" t="s">
        <v>19</v>
      </c>
      <c r="C89" s="9"/>
      <c r="D89" s="16">
        <f>35+36.73</f>
        <v>71.72999999999999</v>
      </c>
      <c r="E89" s="17" t="s">
        <v>14</v>
      </c>
      <c r="F89" s="26"/>
      <c r="G89" s="22"/>
      <c r="H89" s="30">
        <f>138.89+113.46+513</f>
        <v>765.34999999999991</v>
      </c>
      <c r="I89" s="6" t="s">
        <v>45</v>
      </c>
    </row>
    <row r="90" spans="1:11" s="1" customFormat="1">
      <c r="A90" s="9"/>
      <c r="B90" s="9"/>
      <c r="C90" s="10"/>
      <c r="D90" s="16"/>
      <c r="E90" s="17"/>
      <c r="F90" s="26"/>
      <c r="G90" s="22"/>
      <c r="H90" s="30">
        <f>60.73</f>
        <v>60.73</v>
      </c>
      <c r="I90" s="6" t="s">
        <v>15</v>
      </c>
      <c r="K90" s="38"/>
    </row>
    <row r="91" spans="1:11" s="1" customFormat="1">
      <c r="A91" s="9"/>
      <c r="B91" s="9"/>
      <c r="C91" s="9"/>
      <c r="D91" s="16"/>
      <c r="E91" s="17"/>
      <c r="F91" s="26"/>
      <c r="G91" s="22"/>
      <c r="H91" s="30"/>
      <c r="I91" s="2"/>
      <c r="K91" s="4"/>
    </row>
    <row r="92" spans="1:11" s="1" customFormat="1">
      <c r="A92" s="11" t="s">
        <v>4</v>
      </c>
      <c r="B92" s="10"/>
      <c r="C92" s="10"/>
      <c r="D92" s="18">
        <f>SUM(D88:D91)</f>
        <v>763.42</v>
      </c>
      <c r="E92" s="6"/>
      <c r="F92" s="27">
        <f>SUM(F88:F91)</f>
        <v>113.26</v>
      </c>
      <c r="G92" s="23"/>
      <c r="H92" s="31">
        <f>SUM(H88:H91)</f>
        <v>826.07999999999993</v>
      </c>
      <c r="I92" s="2"/>
    </row>
    <row r="93" spans="1:11" s="1" customFormat="1" ht="15.75" thickBot="1">
      <c r="A93" s="12" t="s">
        <v>5</v>
      </c>
      <c r="B93" s="34">
        <f>SUM(D92+F92+H92)</f>
        <v>1702.7599999999998</v>
      </c>
      <c r="C93" s="33"/>
      <c r="D93" s="19"/>
      <c r="E93" s="20"/>
      <c r="F93" s="28"/>
      <c r="G93" s="24"/>
      <c r="H93" s="32"/>
      <c r="I93" s="3"/>
    </row>
    <row r="94" spans="1:11" s="1" customFormat="1">
      <c r="A94" s="8" t="s">
        <v>51</v>
      </c>
      <c r="B94" s="8" t="s">
        <v>52</v>
      </c>
      <c r="C94" s="8" t="s">
        <v>11</v>
      </c>
      <c r="D94" s="14">
        <f>10.58</f>
        <v>10.58</v>
      </c>
      <c r="E94" s="15" t="s">
        <v>16</v>
      </c>
      <c r="F94" s="25"/>
      <c r="G94" s="21"/>
      <c r="H94" s="29">
        <v>495.11</v>
      </c>
      <c r="I94" s="5" t="s">
        <v>67</v>
      </c>
    </row>
    <row r="95" spans="1:11" s="1" customFormat="1">
      <c r="A95" s="10"/>
      <c r="B95" s="37" t="s">
        <v>53</v>
      </c>
      <c r="C95" s="9"/>
      <c r="D95" s="16">
        <f>42.61</f>
        <v>42.61</v>
      </c>
      <c r="E95" s="17" t="s">
        <v>14</v>
      </c>
      <c r="F95" s="26"/>
      <c r="G95" s="22"/>
      <c r="H95" s="30">
        <f>228.15</f>
        <v>228.15</v>
      </c>
      <c r="I95" s="6" t="s">
        <v>45</v>
      </c>
    </row>
    <row r="96" spans="1:11" s="1" customFormat="1">
      <c r="A96" s="9"/>
      <c r="B96" s="9"/>
      <c r="C96" s="10"/>
      <c r="D96" s="16"/>
      <c r="E96" s="17"/>
      <c r="F96" s="26"/>
      <c r="G96" s="22"/>
      <c r="H96" s="30">
        <v>11.25</v>
      </c>
      <c r="I96" s="6" t="s">
        <v>15</v>
      </c>
      <c r="K96" s="38"/>
    </row>
    <row r="97" spans="1:11" s="1" customFormat="1">
      <c r="A97" s="10"/>
      <c r="B97" s="13"/>
      <c r="C97" s="9"/>
      <c r="D97" s="16"/>
      <c r="E97" s="17"/>
      <c r="F97" s="26"/>
      <c r="G97" s="22"/>
      <c r="H97" s="30"/>
      <c r="I97" s="6"/>
      <c r="K97" s="38"/>
    </row>
    <row r="98" spans="1:11" s="1" customFormat="1">
      <c r="A98" s="10"/>
      <c r="B98" s="13"/>
      <c r="C98" s="9" t="s">
        <v>12</v>
      </c>
      <c r="D98" s="16">
        <f>57.24+4.66+5.41</f>
        <v>67.31</v>
      </c>
      <c r="E98" s="17" t="s">
        <v>14</v>
      </c>
      <c r="F98" s="26"/>
      <c r="G98" s="22"/>
      <c r="H98" s="30">
        <f>495.11</f>
        <v>495.11</v>
      </c>
      <c r="I98" s="6" t="s">
        <v>67</v>
      </c>
      <c r="K98" s="38"/>
    </row>
    <row r="99" spans="1:11" s="1" customFormat="1">
      <c r="A99" s="10"/>
      <c r="B99" s="13"/>
      <c r="C99" s="9"/>
      <c r="D99" s="16">
        <f>121.55</f>
        <v>121.55</v>
      </c>
      <c r="E99" s="17" t="s">
        <v>16</v>
      </c>
      <c r="F99" s="26"/>
      <c r="G99" s="22"/>
      <c r="H99" s="30">
        <v>228.15</v>
      </c>
      <c r="I99" s="6" t="s">
        <v>45</v>
      </c>
    </row>
    <row r="100" spans="1:11" s="1" customFormat="1">
      <c r="A100" s="10"/>
      <c r="B100" s="13"/>
      <c r="C100" s="9"/>
      <c r="D100" s="16">
        <f>7.17+51.51+73.98</f>
        <v>132.66</v>
      </c>
      <c r="E100" s="17" t="s">
        <v>29</v>
      </c>
      <c r="F100" s="26"/>
      <c r="G100" s="22"/>
      <c r="H100" s="30">
        <v>17.46</v>
      </c>
      <c r="I100" s="6" t="s">
        <v>15</v>
      </c>
    </row>
    <row r="101" spans="1:11" s="1" customFormat="1">
      <c r="A101" s="9"/>
      <c r="B101" s="9"/>
      <c r="C101" s="9"/>
      <c r="D101" s="16"/>
      <c r="E101" s="17"/>
      <c r="F101" s="26"/>
      <c r="G101" s="22"/>
      <c r="H101" s="30"/>
      <c r="I101" s="2"/>
      <c r="K101" s="4"/>
    </row>
    <row r="102" spans="1:11" s="1" customFormat="1">
      <c r="A102" s="11" t="s">
        <v>4</v>
      </c>
      <c r="B102" s="10"/>
      <c r="C102" s="10"/>
      <c r="D102" s="18">
        <f>SUM(D94:D101)</f>
        <v>374.71000000000004</v>
      </c>
      <c r="E102" s="6"/>
      <c r="F102" s="27">
        <f>SUM(F94:F101)</f>
        <v>0</v>
      </c>
      <c r="G102" s="23"/>
      <c r="H102" s="31">
        <f>SUM(H94:H101)</f>
        <v>1475.23</v>
      </c>
      <c r="I102" s="2"/>
    </row>
    <row r="103" spans="1:11" s="1" customFormat="1" ht="15.75" thickBot="1">
      <c r="A103" s="12" t="s">
        <v>5</v>
      </c>
      <c r="B103" s="34">
        <f>SUM(D102+F102+H102)</f>
        <v>1849.94</v>
      </c>
      <c r="C103" s="33"/>
      <c r="D103" s="19"/>
      <c r="E103" s="20"/>
      <c r="F103" s="28"/>
      <c r="G103" s="24"/>
      <c r="H103" s="32"/>
      <c r="I103" s="3"/>
    </row>
    <row r="104" spans="1:11" s="1" customFormat="1">
      <c r="A104" s="8" t="s">
        <v>23</v>
      </c>
      <c r="B104" s="8" t="s">
        <v>24</v>
      </c>
      <c r="C104" s="8" t="s">
        <v>13</v>
      </c>
      <c r="D104" s="14">
        <f>415.83</f>
        <v>415.83</v>
      </c>
      <c r="E104" s="15" t="s">
        <v>16</v>
      </c>
      <c r="F104" s="25"/>
      <c r="G104" s="21"/>
      <c r="H104" s="29">
        <v>1385.53</v>
      </c>
      <c r="I104" s="5" t="s">
        <v>67</v>
      </c>
    </row>
    <row r="105" spans="1:11" s="1" customFormat="1">
      <c r="A105" s="10"/>
      <c r="B105" s="37" t="s">
        <v>17</v>
      </c>
      <c r="C105" s="9"/>
      <c r="D105" s="16">
        <f>25+84.83</f>
        <v>109.83</v>
      </c>
      <c r="E105" s="17" t="s">
        <v>14</v>
      </c>
      <c r="F105" s="26"/>
      <c r="G105" s="22"/>
      <c r="H105" s="30">
        <f>562.66</f>
        <v>562.66</v>
      </c>
      <c r="I105" s="6" t="s">
        <v>25</v>
      </c>
    </row>
    <row r="106" spans="1:11" s="1" customFormat="1">
      <c r="A106" s="9"/>
      <c r="B106" s="9"/>
      <c r="C106" s="9"/>
      <c r="D106" s="16"/>
      <c r="E106" s="17"/>
      <c r="F106" s="26"/>
      <c r="G106" s="22"/>
      <c r="H106" s="30"/>
      <c r="I106" s="2"/>
      <c r="K106" s="4"/>
    </row>
    <row r="107" spans="1:11" s="1" customFormat="1">
      <c r="A107" s="11" t="s">
        <v>4</v>
      </c>
      <c r="B107" s="10"/>
      <c r="C107" s="10"/>
      <c r="D107" s="18">
        <f>SUM(D104:D106)</f>
        <v>525.66</v>
      </c>
      <c r="E107" s="6"/>
      <c r="F107" s="27">
        <f>SUM(F104:F106)</f>
        <v>0</v>
      </c>
      <c r="G107" s="23"/>
      <c r="H107" s="31">
        <f>SUM(H104:H106)</f>
        <v>1948.19</v>
      </c>
      <c r="I107" s="2"/>
    </row>
    <row r="108" spans="1:11" s="1" customFormat="1" ht="15.75" thickBot="1">
      <c r="A108" s="12" t="s">
        <v>5</v>
      </c>
      <c r="B108" s="34">
        <f>SUM(D107+F107+H107)</f>
        <v>2473.85</v>
      </c>
      <c r="C108" s="33"/>
      <c r="D108" s="19"/>
      <c r="E108" s="20"/>
      <c r="F108" s="28"/>
      <c r="G108" s="24"/>
      <c r="H108" s="32"/>
      <c r="I108" s="3"/>
    </row>
    <row r="109" spans="1:11" s="1" customFormat="1">
      <c r="A109" s="8" t="s">
        <v>36</v>
      </c>
      <c r="B109" s="8" t="s">
        <v>37</v>
      </c>
      <c r="C109" s="8" t="s">
        <v>39</v>
      </c>
      <c r="D109" s="14">
        <v>11.14</v>
      </c>
      <c r="E109" s="15" t="s">
        <v>29</v>
      </c>
      <c r="F109" s="25"/>
      <c r="G109" s="21"/>
      <c r="H109" s="29">
        <v>472.29</v>
      </c>
      <c r="I109" s="5" t="s">
        <v>67</v>
      </c>
    </row>
    <row r="110" spans="1:11" s="1" customFormat="1">
      <c r="A110" s="10"/>
      <c r="B110" s="37" t="s">
        <v>38</v>
      </c>
      <c r="C110" s="9"/>
      <c r="D110" s="16"/>
      <c r="E110" s="17"/>
      <c r="F110" s="26"/>
      <c r="G110" s="22"/>
      <c r="H110" s="30">
        <v>938.76</v>
      </c>
      <c r="I110" s="6" t="s">
        <v>45</v>
      </c>
    </row>
    <row r="111" spans="1:11" s="1" customFormat="1">
      <c r="A111" s="9"/>
      <c r="B111" s="9"/>
      <c r="C111" s="10"/>
      <c r="D111" s="16"/>
      <c r="E111" s="17"/>
      <c r="F111" s="26"/>
      <c r="G111" s="22"/>
      <c r="H111" s="30">
        <f>87.72+35</f>
        <v>122.72</v>
      </c>
      <c r="I111" s="6" t="s">
        <v>15</v>
      </c>
      <c r="K111" s="38"/>
    </row>
    <row r="112" spans="1:11" s="1" customFormat="1">
      <c r="A112" s="10"/>
      <c r="B112" s="13"/>
      <c r="C112" s="9"/>
      <c r="D112" s="16"/>
      <c r="E112" s="17"/>
      <c r="F112" s="26"/>
      <c r="G112" s="22"/>
      <c r="H112" s="30"/>
      <c r="I112" s="42"/>
      <c r="K112" s="38"/>
    </row>
    <row r="113" spans="1:11" s="1" customFormat="1">
      <c r="A113" s="10"/>
      <c r="B113" s="13"/>
      <c r="C113" s="9" t="s">
        <v>49</v>
      </c>
      <c r="D113" s="16">
        <f>22+4.29</f>
        <v>26.29</v>
      </c>
      <c r="E113" s="17" t="s">
        <v>16</v>
      </c>
      <c r="F113" s="26">
        <f>111.95</f>
        <v>111.95</v>
      </c>
      <c r="G113" s="22" t="s">
        <v>42</v>
      </c>
      <c r="H113" s="30">
        <v>522.29</v>
      </c>
      <c r="I113" s="6" t="s">
        <v>67</v>
      </c>
      <c r="K113" s="38"/>
    </row>
    <row r="114" spans="1:11" s="1" customFormat="1">
      <c r="A114" s="10"/>
      <c r="B114" s="13"/>
      <c r="C114" s="9"/>
      <c r="D114" s="16">
        <f>3.18</f>
        <v>3.18</v>
      </c>
      <c r="E114" s="17" t="s">
        <v>29</v>
      </c>
      <c r="F114" s="26">
        <v>10.4</v>
      </c>
      <c r="G114" s="22" t="s">
        <v>50</v>
      </c>
      <c r="H114" s="30">
        <v>938.76</v>
      </c>
      <c r="I114" s="6" t="s">
        <v>45</v>
      </c>
    </row>
    <row r="115" spans="1:11" s="1" customFormat="1">
      <c r="A115" s="10"/>
      <c r="B115" s="13"/>
      <c r="C115" s="9"/>
      <c r="D115" s="16"/>
      <c r="E115" s="17"/>
      <c r="F115" s="26">
        <v>68.400000000000006</v>
      </c>
      <c r="G115" s="22" t="s">
        <v>43</v>
      </c>
      <c r="H115" s="30">
        <f>220.73+35</f>
        <v>255.73</v>
      </c>
      <c r="I115" s="6" t="s">
        <v>15</v>
      </c>
    </row>
    <row r="116" spans="1:11" s="1" customFormat="1">
      <c r="A116" s="9"/>
      <c r="B116" s="9"/>
      <c r="C116" s="9"/>
      <c r="D116" s="16"/>
      <c r="E116" s="17"/>
      <c r="F116" s="26"/>
      <c r="G116" s="22"/>
      <c r="H116" s="30"/>
      <c r="I116" s="2"/>
      <c r="K116" s="4"/>
    </row>
    <row r="117" spans="1:11" s="1" customFormat="1">
      <c r="A117" s="11" t="s">
        <v>4</v>
      </c>
      <c r="B117" s="10"/>
      <c r="C117" s="10"/>
      <c r="D117" s="18">
        <f>SUM(D109:D116)</f>
        <v>40.61</v>
      </c>
      <c r="E117" s="6"/>
      <c r="F117" s="27">
        <f>SUM(F109:F116)</f>
        <v>190.75</v>
      </c>
      <c r="G117" s="23"/>
      <c r="H117" s="31">
        <f>SUM(H109:H116)</f>
        <v>3250.5499999999997</v>
      </c>
      <c r="I117" s="2"/>
    </row>
    <row r="118" spans="1:11" s="1" customFormat="1" ht="15.75" thickBot="1">
      <c r="A118" s="12" t="s">
        <v>5</v>
      </c>
      <c r="B118" s="34">
        <f>SUM(D117+F117+H117)</f>
        <v>3481.91</v>
      </c>
      <c r="C118" s="33"/>
      <c r="D118" s="19"/>
      <c r="E118" s="20"/>
      <c r="F118" s="28"/>
      <c r="G118" s="24"/>
      <c r="H118" s="32"/>
      <c r="I118" s="3"/>
    </row>
    <row r="119" spans="1:11" s="1" customFormat="1">
      <c r="A119" s="8" t="s">
        <v>60</v>
      </c>
      <c r="B119" s="8" t="s">
        <v>55</v>
      </c>
      <c r="C119" s="8" t="s">
        <v>57</v>
      </c>
      <c r="D119" s="14">
        <f>41.6</f>
        <v>41.6</v>
      </c>
      <c r="E119" s="15" t="s">
        <v>16</v>
      </c>
      <c r="F119" s="25">
        <f>20</f>
        <v>20</v>
      </c>
      <c r="G119" s="21" t="s">
        <v>32</v>
      </c>
      <c r="H119" s="29">
        <v>441.96</v>
      </c>
      <c r="I119" s="5" t="s">
        <v>67</v>
      </c>
    </row>
    <row r="120" spans="1:11" s="1" customFormat="1">
      <c r="A120" s="10"/>
      <c r="B120" s="37" t="s">
        <v>61</v>
      </c>
      <c r="C120" s="9"/>
      <c r="D120" s="16">
        <f>12.5</f>
        <v>12.5</v>
      </c>
      <c r="E120" s="17" t="s">
        <v>14</v>
      </c>
      <c r="F120" s="26"/>
      <c r="G120" s="22"/>
      <c r="H120" s="30">
        <v>114.1</v>
      </c>
      <c r="I120" s="6" t="s">
        <v>45</v>
      </c>
    </row>
    <row r="121" spans="1:11" s="1" customFormat="1">
      <c r="A121" s="9"/>
      <c r="B121" s="9"/>
      <c r="C121" s="10"/>
      <c r="D121" s="16"/>
      <c r="E121" s="17"/>
      <c r="F121" s="26"/>
      <c r="G121" s="22"/>
      <c r="H121" s="30"/>
      <c r="I121" s="6"/>
      <c r="K121" s="38"/>
    </row>
    <row r="122" spans="1:11" s="1" customFormat="1">
      <c r="A122" s="10"/>
      <c r="B122" s="13"/>
      <c r="C122" s="9" t="s">
        <v>75</v>
      </c>
      <c r="D122" s="16">
        <f>11+39.94</f>
        <v>50.94</v>
      </c>
      <c r="E122" s="17" t="s">
        <v>16</v>
      </c>
      <c r="F122" s="26"/>
      <c r="G122" s="22"/>
      <c r="H122" s="30">
        <f>441.96</f>
        <v>441.96</v>
      </c>
      <c r="I122" s="6" t="s">
        <v>67</v>
      </c>
      <c r="K122" s="38"/>
    </row>
    <row r="123" spans="1:11" s="1" customFormat="1">
      <c r="A123" s="10"/>
      <c r="B123" s="13"/>
      <c r="C123" s="9"/>
      <c r="D123" s="16">
        <f>76</f>
        <v>76</v>
      </c>
      <c r="E123" s="17" t="s">
        <v>14</v>
      </c>
      <c r="F123" s="26">
        <f>6.89</f>
        <v>6.89</v>
      </c>
      <c r="G123" s="22" t="s">
        <v>42</v>
      </c>
      <c r="H123" s="30">
        <f>114.1</f>
        <v>114.1</v>
      </c>
      <c r="I123" s="6" t="s">
        <v>45</v>
      </c>
      <c r="K123" s="38"/>
    </row>
    <row r="124" spans="1:11" s="1" customFormat="1">
      <c r="A124" s="10"/>
      <c r="B124" s="13"/>
      <c r="C124" s="9"/>
      <c r="D124" s="16"/>
      <c r="E124" s="17"/>
      <c r="F124" s="26">
        <v>2</v>
      </c>
      <c r="G124" s="22" t="s">
        <v>43</v>
      </c>
      <c r="H124" s="30">
        <f>14.21</f>
        <v>14.21</v>
      </c>
      <c r="I124" s="6" t="s">
        <v>15</v>
      </c>
    </row>
    <row r="125" spans="1:11" s="1" customFormat="1">
      <c r="A125" s="9"/>
      <c r="B125" s="9"/>
      <c r="C125" s="9"/>
      <c r="D125" s="16"/>
      <c r="E125" s="17"/>
      <c r="F125" s="26"/>
      <c r="G125" s="22"/>
      <c r="H125" s="30"/>
      <c r="I125" s="2"/>
      <c r="K125" s="4"/>
    </row>
    <row r="126" spans="1:11" s="1" customFormat="1">
      <c r="A126" s="11" t="s">
        <v>4</v>
      </c>
      <c r="B126" s="10"/>
      <c r="C126" s="10"/>
      <c r="D126" s="18">
        <f>SUM(D119:D125)</f>
        <v>181.04</v>
      </c>
      <c r="E126" s="6"/>
      <c r="F126" s="27">
        <f>SUM(F119:F125)</f>
        <v>28.89</v>
      </c>
      <c r="G126" s="23"/>
      <c r="H126" s="31">
        <f>SUM(H119:H125)</f>
        <v>1126.33</v>
      </c>
      <c r="I126" s="2"/>
    </row>
    <row r="127" spans="1:11" s="1" customFormat="1" ht="15.75" thickBot="1">
      <c r="A127" s="12" t="s">
        <v>5</v>
      </c>
      <c r="B127" s="34">
        <f>SUM(D126+F126+H126)</f>
        <v>1336.26</v>
      </c>
      <c r="C127" s="33"/>
      <c r="D127" s="19"/>
      <c r="E127" s="20"/>
      <c r="F127" s="28"/>
      <c r="G127" s="24"/>
      <c r="H127" s="32"/>
      <c r="I127" s="3"/>
    </row>
    <row r="128" spans="1:11" s="1" customFormat="1">
      <c r="A128" s="8" t="s">
        <v>33</v>
      </c>
      <c r="B128" s="8" t="s">
        <v>34</v>
      </c>
      <c r="C128" s="8" t="s">
        <v>20</v>
      </c>
      <c r="D128" s="14">
        <f>38.7</f>
        <v>38.700000000000003</v>
      </c>
      <c r="E128" s="15" t="s">
        <v>16</v>
      </c>
      <c r="F128" s="25"/>
      <c r="G128" s="21"/>
      <c r="H128" s="29">
        <v>476.33</v>
      </c>
      <c r="I128" s="5" t="s">
        <v>74</v>
      </c>
    </row>
    <row r="129" spans="1:11" s="1" customFormat="1">
      <c r="A129" s="10"/>
      <c r="B129" s="37" t="s">
        <v>35</v>
      </c>
      <c r="C129" s="9"/>
      <c r="D129" s="16"/>
      <c r="E129" s="17" t="s">
        <v>14</v>
      </c>
      <c r="F129" s="26"/>
      <c r="G129" s="22"/>
      <c r="H129" s="30">
        <f>446.3</f>
        <v>446.3</v>
      </c>
      <c r="I129" s="6" t="s">
        <v>81</v>
      </c>
    </row>
    <row r="130" spans="1:11" s="1" customFormat="1">
      <c r="A130" s="9"/>
      <c r="B130" s="9"/>
      <c r="C130" s="10"/>
      <c r="D130" s="16"/>
      <c r="E130" s="17"/>
      <c r="F130" s="26"/>
      <c r="G130" s="22"/>
      <c r="H130" s="30"/>
      <c r="I130" s="6"/>
      <c r="K130" s="38"/>
    </row>
    <row r="131" spans="1:11" s="1" customFormat="1">
      <c r="A131" s="10"/>
      <c r="B131" s="13"/>
      <c r="C131" s="9" t="s">
        <v>75</v>
      </c>
      <c r="D131" s="16">
        <f>34.39</f>
        <v>34.39</v>
      </c>
      <c r="E131" s="17" t="s">
        <v>16</v>
      </c>
      <c r="F131" s="26">
        <f>13.78</f>
        <v>13.78</v>
      </c>
      <c r="G131" s="22" t="s">
        <v>42</v>
      </c>
      <c r="H131" s="30">
        <f>650.01+51.5+44</f>
        <v>745.51</v>
      </c>
      <c r="I131" s="6" t="s">
        <v>67</v>
      </c>
      <c r="K131" s="38"/>
    </row>
    <row r="132" spans="1:11" s="1" customFormat="1">
      <c r="A132" s="10"/>
      <c r="B132" s="13"/>
      <c r="C132" s="9"/>
      <c r="D132" s="16">
        <v>39.9</v>
      </c>
      <c r="E132" s="17" t="s">
        <v>29</v>
      </c>
      <c r="F132" s="26">
        <f>6.9</f>
        <v>6.9</v>
      </c>
      <c r="G132" s="22" t="s">
        <v>43</v>
      </c>
      <c r="H132" s="30">
        <f>446.3</f>
        <v>446.3</v>
      </c>
      <c r="I132" s="6" t="s">
        <v>81</v>
      </c>
      <c r="K132" s="38"/>
    </row>
    <row r="133" spans="1:11" s="1" customFormat="1">
      <c r="A133" s="9"/>
      <c r="B133" s="9"/>
      <c r="C133" s="9"/>
      <c r="D133" s="16"/>
      <c r="E133" s="17"/>
      <c r="F133" s="26"/>
      <c r="G133" s="22"/>
      <c r="H133" s="30"/>
      <c r="I133" s="2"/>
      <c r="K133" s="4"/>
    </row>
    <row r="134" spans="1:11" s="1" customFormat="1">
      <c r="A134" s="11" t="s">
        <v>4</v>
      </c>
      <c r="B134" s="10"/>
      <c r="C134" s="10"/>
      <c r="D134" s="18">
        <f>SUM(D128:D133)</f>
        <v>112.99000000000001</v>
      </c>
      <c r="E134" s="6"/>
      <c r="F134" s="27">
        <f>SUM(F128:F133)</f>
        <v>20.68</v>
      </c>
      <c r="G134" s="23"/>
      <c r="H134" s="31">
        <f>SUM(H128:H133)</f>
        <v>2114.44</v>
      </c>
      <c r="I134" s="2"/>
    </row>
    <row r="135" spans="1:11" s="1" customFormat="1" ht="15.75" thickBot="1">
      <c r="A135" s="12" t="s">
        <v>5</v>
      </c>
      <c r="B135" s="34">
        <f>SUM(D134+F134+H134)</f>
        <v>2248.11</v>
      </c>
      <c r="C135" s="33"/>
      <c r="D135" s="19"/>
      <c r="E135" s="20"/>
      <c r="F135" s="28"/>
      <c r="G135" s="24"/>
      <c r="H135" s="32"/>
      <c r="I135" s="3"/>
    </row>
    <row r="136" spans="1:11" s="1" customFormat="1">
      <c r="A136" s="8" t="s">
        <v>63</v>
      </c>
      <c r="B136" s="8" t="s">
        <v>55</v>
      </c>
      <c r="C136" s="8" t="s">
        <v>65</v>
      </c>
      <c r="D136" s="14">
        <f>96.85+6.5</f>
        <v>103.35</v>
      </c>
      <c r="E136" s="15" t="s">
        <v>16</v>
      </c>
      <c r="F136" s="25"/>
      <c r="G136" s="21" t="s">
        <v>32</v>
      </c>
      <c r="H136" s="29">
        <f>455.81</f>
        <v>455.81</v>
      </c>
      <c r="I136" s="5" t="s">
        <v>45</v>
      </c>
    </row>
    <row r="137" spans="1:11" s="1" customFormat="1">
      <c r="A137" s="10"/>
      <c r="B137" s="37" t="s">
        <v>64</v>
      </c>
      <c r="C137" s="9"/>
      <c r="D137" s="16">
        <f>61.26+81</f>
        <v>142.26</v>
      </c>
      <c r="E137" s="17" t="s">
        <v>14</v>
      </c>
      <c r="F137" s="26"/>
      <c r="G137" s="22"/>
      <c r="H137" s="30">
        <f>291.14</f>
        <v>291.14</v>
      </c>
      <c r="I137" s="6" t="s">
        <v>67</v>
      </c>
    </row>
    <row r="138" spans="1:11" s="1" customFormat="1">
      <c r="A138" s="9"/>
      <c r="B138" s="9"/>
      <c r="C138" s="9"/>
      <c r="D138" s="16"/>
      <c r="E138" s="17"/>
      <c r="F138" s="26"/>
      <c r="G138" s="22"/>
      <c r="H138" s="30"/>
      <c r="I138" s="2"/>
      <c r="K138" s="4"/>
    </row>
    <row r="139" spans="1:11" s="1" customFormat="1">
      <c r="A139" s="11" t="s">
        <v>4</v>
      </c>
      <c r="B139" s="10"/>
      <c r="C139" s="10"/>
      <c r="D139" s="18">
        <f>SUM(D136:D138)</f>
        <v>245.60999999999999</v>
      </c>
      <c r="E139" s="6"/>
      <c r="F139" s="27">
        <f>SUM(F136:F138)</f>
        <v>0</v>
      </c>
      <c r="G139" s="23"/>
      <c r="H139" s="31">
        <f>SUM(H136:H138)</f>
        <v>746.95</v>
      </c>
      <c r="I139" s="2"/>
    </row>
    <row r="140" spans="1:11" s="1" customFormat="1" ht="15.75" thickBot="1">
      <c r="A140" s="12" t="s">
        <v>5</v>
      </c>
      <c r="B140" s="34">
        <f>SUM(D139+F139+H139)</f>
        <v>992.56000000000006</v>
      </c>
      <c r="C140" s="33"/>
      <c r="D140" s="19"/>
      <c r="E140" s="20"/>
      <c r="F140" s="28"/>
      <c r="G140" s="24"/>
      <c r="H140" s="32"/>
      <c r="I140" s="3"/>
    </row>
    <row r="141" spans="1:11" s="1" customFormat="1">
      <c r="A141" s="8" t="s">
        <v>54</v>
      </c>
      <c r="B141" s="8" t="s">
        <v>55</v>
      </c>
      <c r="C141" s="8" t="s">
        <v>57</v>
      </c>
      <c r="D141" s="14">
        <f>205.86+43.68+3.5</f>
        <v>253.04000000000002</v>
      </c>
      <c r="E141" s="15" t="s">
        <v>16</v>
      </c>
      <c r="F141" s="25">
        <v>21</v>
      </c>
      <c r="G141" s="21" t="s">
        <v>32</v>
      </c>
      <c r="H141" s="29">
        <f>755.72+50</f>
        <v>805.72</v>
      </c>
      <c r="I141" s="5" t="s">
        <v>67</v>
      </c>
    </row>
    <row r="142" spans="1:11" s="1" customFormat="1">
      <c r="A142" s="10"/>
      <c r="B142" s="37" t="s">
        <v>56</v>
      </c>
      <c r="C142" s="9"/>
      <c r="D142" s="16">
        <f>16.05+16.6</f>
        <v>32.650000000000006</v>
      </c>
      <c r="E142" s="17" t="s">
        <v>14</v>
      </c>
      <c r="F142" s="26"/>
      <c r="G142" s="22"/>
      <c r="H142" s="30">
        <v>143.49</v>
      </c>
      <c r="I142" s="6" t="s">
        <v>45</v>
      </c>
    </row>
    <row r="143" spans="1:11" s="1" customFormat="1">
      <c r="A143" s="9"/>
      <c r="B143" s="9"/>
      <c r="C143" s="10"/>
      <c r="D143" s="16">
        <f>2.78+20.47</f>
        <v>23.25</v>
      </c>
      <c r="E143" s="17" t="s">
        <v>29</v>
      </c>
      <c r="F143" s="26"/>
      <c r="G143" s="22"/>
      <c r="H143" s="30"/>
      <c r="I143" s="6"/>
      <c r="K143" s="38"/>
    </row>
    <row r="144" spans="1:11" s="1" customFormat="1">
      <c r="A144" s="10"/>
      <c r="B144" s="13"/>
      <c r="C144" s="9"/>
      <c r="D144" s="16"/>
      <c r="E144" s="17"/>
      <c r="F144" s="26"/>
      <c r="G144" s="22"/>
      <c r="H144" s="30"/>
      <c r="I144" s="6"/>
      <c r="K144" s="38"/>
    </row>
    <row r="145" spans="1:11" s="1" customFormat="1">
      <c r="A145" s="10"/>
      <c r="B145" s="13"/>
      <c r="C145" s="9" t="s">
        <v>66</v>
      </c>
      <c r="D145" s="16">
        <f>13.8+84.72</f>
        <v>98.52</v>
      </c>
      <c r="E145" s="17" t="s">
        <v>16</v>
      </c>
      <c r="F145" s="26">
        <f>18.87</f>
        <v>18.87</v>
      </c>
      <c r="G145" s="22" t="s">
        <v>42</v>
      </c>
      <c r="H145" s="30">
        <f>50+755.72</f>
        <v>805.72</v>
      </c>
      <c r="I145" s="6" t="s">
        <v>67</v>
      </c>
      <c r="K145" s="38"/>
    </row>
    <row r="146" spans="1:11" s="1" customFormat="1">
      <c r="A146" s="10"/>
      <c r="B146" s="13"/>
      <c r="C146" s="9"/>
      <c r="D146" s="16">
        <f>20.15</f>
        <v>20.149999999999999</v>
      </c>
      <c r="E146" s="17" t="s">
        <v>29</v>
      </c>
      <c r="F146" s="26">
        <f>5</f>
        <v>5</v>
      </c>
      <c r="G146" s="22" t="s">
        <v>50</v>
      </c>
      <c r="H146" s="30">
        <f>143.49</f>
        <v>143.49</v>
      </c>
      <c r="I146" s="6" t="s">
        <v>45</v>
      </c>
    </row>
    <row r="147" spans="1:11" s="1" customFormat="1">
      <c r="A147" s="10"/>
      <c r="B147" s="13"/>
      <c r="C147" s="9"/>
      <c r="D147" s="16"/>
      <c r="E147" s="17"/>
      <c r="F147" s="26">
        <f>39.1</f>
        <v>39.1</v>
      </c>
      <c r="G147" s="22" t="s">
        <v>43</v>
      </c>
      <c r="H147" s="30">
        <f>2.63</f>
        <v>2.63</v>
      </c>
      <c r="I147" s="6" t="s">
        <v>15</v>
      </c>
    </row>
    <row r="148" spans="1:11" s="1" customFormat="1">
      <c r="A148" s="9"/>
      <c r="B148" s="9"/>
      <c r="C148" s="10"/>
      <c r="D148" s="16"/>
      <c r="E148" s="17"/>
      <c r="F148" s="26"/>
      <c r="G148" s="22"/>
      <c r="H148" s="30"/>
      <c r="I148" s="6"/>
      <c r="K148" s="39"/>
    </row>
    <row r="149" spans="1:11" s="1" customFormat="1">
      <c r="A149" s="9"/>
      <c r="B149" s="9"/>
      <c r="C149" s="10" t="s">
        <v>76</v>
      </c>
      <c r="D149" s="16">
        <v>20.149999999999999</v>
      </c>
      <c r="E149" s="17" t="s">
        <v>29</v>
      </c>
      <c r="F149" s="26">
        <f>16.84</f>
        <v>16.84</v>
      </c>
      <c r="G149" s="22" t="s">
        <v>42</v>
      </c>
      <c r="H149" s="30">
        <f>50+755.72</f>
        <v>805.72</v>
      </c>
      <c r="I149" s="6" t="s">
        <v>67</v>
      </c>
      <c r="K149" s="39"/>
    </row>
    <row r="150" spans="1:11" s="1" customFormat="1">
      <c r="A150" s="9"/>
      <c r="B150" s="9"/>
      <c r="C150" s="10"/>
      <c r="D150" s="16"/>
      <c r="E150" s="17"/>
      <c r="F150" s="26">
        <v>6.6</v>
      </c>
      <c r="G150" s="22" t="s">
        <v>50</v>
      </c>
      <c r="H150" s="30">
        <f>160.64+143.49</f>
        <v>304.13</v>
      </c>
      <c r="I150" s="6" t="s">
        <v>45</v>
      </c>
      <c r="K150" s="39"/>
    </row>
    <row r="151" spans="1:11" s="1" customFormat="1">
      <c r="A151" s="9"/>
      <c r="B151" s="9"/>
      <c r="C151" s="10"/>
      <c r="D151" s="16"/>
      <c r="E151" s="17"/>
      <c r="F151" s="26">
        <v>39.1</v>
      </c>
      <c r="G151" s="22" t="s">
        <v>43</v>
      </c>
      <c r="H151" s="30"/>
      <c r="I151" s="6"/>
      <c r="K151" s="39"/>
    </row>
    <row r="152" spans="1:11" s="1" customFormat="1">
      <c r="A152" s="9"/>
      <c r="B152" s="9"/>
      <c r="C152" s="9"/>
      <c r="D152" s="16"/>
      <c r="E152" s="17"/>
      <c r="F152" s="26"/>
      <c r="G152" s="22"/>
      <c r="H152" s="30"/>
      <c r="I152" s="2"/>
      <c r="K152" s="4"/>
    </row>
    <row r="153" spans="1:11" s="1" customFormat="1">
      <c r="A153" s="11" t="s">
        <v>4</v>
      </c>
      <c r="B153" s="10"/>
      <c r="C153" s="10"/>
      <c r="D153" s="18">
        <f>SUM(D141:D152)</f>
        <v>447.76</v>
      </c>
      <c r="E153" s="6"/>
      <c r="F153" s="27">
        <f>SUM(F141:F152)</f>
        <v>146.51</v>
      </c>
      <c r="G153" s="23"/>
      <c r="H153" s="31">
        <f>SUM(H141:H152)</f>
        <v>3010.9000000000005</v>
      </c>
      <c r="I153" s="2"/>
    </row>
    <row r="154" spans="1:11" s="1" customFormat="1" ht="15.75" thickBot="1">
      <c r="A154" s="12" t="s">
        <v>5</v>
      </c>
      <c r="B154" s="34">
        <f>SUM(D153+F153+H153)</f>
        <v>3605.1700000000005</v>
      </c>
      <c r="C154" s="33"/>
      <c r="D154" s="19"/>
      <c r="E154" s="20"/>
      <c r="F154" s="28"/>
      <c r="G154" s="24"/>
      <c r="H154" s="32"/>
      <c r="I154" s="3"/>
    </row>
    <row r="155" spans="1:11" s="1" customFormat="1">
      <c r="A155" s="8" t="s">
        <v>40</v>
      </c>
      <c r="B155" s="8" t="s">
        <v>34</v>
      </c>
      <c r="C155" s="8" t="s">
        <v>39</v>
      </c>
      <c r="D155" s="14">
        <f>68</f>
        <v>68</v>
      </c>
      <c r="E155" s="15" t="s">
        <v>16</v>
      </c>
      <c r="F155" s="25">
        <f>6.44</f>
        <v>6.44</v>
      </c>
      <c r="G155" s="21" t="s">
        <v>42</v>
      </c>
      <c r="H155" s="29">
        <v>280.11</v>
      </c>
      <c r="I155" s="5" t="s">
        <v>67</v>
      </c>
    </row>
    <row r="156" spans="1:11" s="1" customFormat="1">
      <c r="A156" s="10"/>
      <c r="B156" s="37" t="s">
        <v>41</v>
      </c>
      <c r="C156" s="9"/>
      <c r="D156" s="16"/>
      <c r="E156" s="17"/>
      <c r="F156" s="26">
        <f>54</f>
        <v>54</v>
      </c>
      <c r="G156" s="22" t="s">
        <v>43</v>
      </c>
      <c r="H156" s="30">
        <v>67</v>
      </c>
      <c r="I156" s="6" t="s">
        <v>44</v>
      </c>
    </row>
    <row r="157" spans="1:11" s="1" customFormat="1">
      <c r="A157" s="9"/>
      <c r="B157" s="9"/>
      <c r="C157" s="10"/>
      <c r="D157" s="16"/>
      <c r="E157" s="17"/>
      <c r="F157" s="26"/>
      <c r="G157" s="22"/>
      <c r="H157" s="30"/>
      <c r="I157" s="6"/>
      <c r="K157" s="38"/>
    </row>
    <row r="158" spans="1:11" s="1" customFormat="1">
      <c r="A158" s="10"/>
      <c r="B158" s="13"/>
      <c r="C158" s="9"/>
      <c r="D158" s="16"/>
      <c r="E158" s="17"/>
      <c r="F158" s="26"/>
      <c r="G158" s="22"/>
      <c r="H158" s="30"/>
      <c r="I158" s="6"/>
      <c r="K158" s="38"/>
    </row>
    <row r="159" spans="1:11" s="1" customFormat="1">
      <c r="A159" s="10"/>
      <c r="B159" s="13"/>
      <c r="C159" s="9" t="s">
        <v>46</v>
      </c>
      <c r="D159" s="16"/>
      <c r="E159" s="17"/>
      <c r="F159" s="26"/>
      <c r="G159" s="22"/>
      <c r="H159" s="30">
        <v>280.11</v>
      </c>
      <c r="I159" s="6" t="s">
        <v>67</v>
      </c>
      <c r="K159" s="38"/>
    </row>
    <row r="160" spans="1:11" s="1" customFormat="1">
      <c r="A160" s="10"/>
      <c r="B160" s="13"/>
      <c r="C160" s="9"/>
      <c r="D160" s="16"/>
      <c r="E160" s="17"/>
      <c r="F160" s="26"/>
      <c r="G160" s="22"/>
      <c r="H160" s="30">
        <v>67</v>
      </c>
      <c r="I160" s="6" t="s">
        <v>45</v>
      </c>
    </row>
    <row r="161" spans="1:11" s="1" customFormat="1">
      <c r="A161" s="9"/>
      <c r="B161" s="9"/>
      <c r="C161" s="9"/>
      <c r="D161" s="16"/>
      <c r="E161" s="17"/>
      <c r="F161" s="26"/>
      <c r="G161" s="22"/>
      <c r="H161" s="30"/>
      <c r="I161" s="2"/>
      <c r="K161" s="4"/>
    </row>
    <row r="162" spans="1:11" s="1" customFormat="1">
      <c r="A162" s="11" t="s">
        <v>4</v>
      </c>
      <c r="B162" s="10"/>
      <c r="C162" s="10"/>
      <c r="D162" s="18">
        <f>SUM(D155:D161)</f>
        <v>68</v>
      </c>
      <c r="E162" s="6"/>
      <c r="F162" s="27">
        <f>SUM(F155:F161)</f>
        <v>60.44</v>
      </c>
      <c r="G162" s="23"/>
      <c r="H162" s="31">
        <f>SUM(H155:H161)</f>
        <v>694.22</v>
      </c>
      <c r="I162" s="2"/>
    </row>
    <row r="163" spans="1:11" s="1" customFormat="1" ht="15.75" thickBot="1">
      <c r="A163" s="12" t="s">
        <v>5</v>
      </c>
      <c r="B163" s="34">
        <f>SUM(D162+F162+H162)</f>
        <v>822.66000000000008</v>
      </c>
      <c r="C163" s="33"/>
      <c r="D163" s="19"/>
      <c r="E163" s="20"/>
      <c r="F163" s="28"/>
      <c r="G163" s="24"/>
      <c r="H163" s="32"/>
      <c r="I163" s="3"/>
    </row>
    <row r="164" spans="1:11" s="1" customFormat="1">
      <c r="A164" s="8" t="s">
        <v>72</v>
      </c>
      <c r="B164" s="8" t="s">
        <v>37</v>
      </c>
      <c r="C164" s="8" t="s">
        <v>70</v>
      </c>
      <c r="D164" s="14">
        <f>21+41.5</f>
        <v>62.5</v>
      </c>
      <c r="E164" s="15" t="s">
        <v>16</v>
      </c>
      <c r="F164" s="25">
        <v>18.37</v>
      </c>
      <c r="G164" s="21" t="s">
        <v>42</v>
      </c>
      <c r="H164" s="29">
        <f>309.25</f>
        <v>309.25</v>
      </c>
      <c r="I164" s="5" t="s">
        <v>67</v>
      </c>
    </row>
    <row r="165" spans="1:11" s="1" customFormat="1">
      <c r="A165" s="10"/>
      <c r="B165" s="37" t="s">
        <v>73</v>
      </c>
      <c r="C165" s="9"/>
      <c r="D165" s="16">
        <f>186.02</f>
        <v>186.02</v>
      </c>
      <c r="E165" s="17" t="s">
        <v>14</v>
      </c>
      <c r="F165" s="26">
        <v>117</v>
      </c>
      <c r="G165" s="22" t="s">
        <v>43</v>
      </c>
      <c r="H165" s="30">
        <f>305.3+369.01-305.3+305.29-369.01+305.29-305.29</f>
        <v>305.28999999999991</v>
      </c>
      <c r="I165" s="6" t="s">
        <v>44</v>
      </c>
    </row>
    <row r="166" spans="1:11" s="1" customFormat="1">
      <c r="A166" s="9"/>
      <c r="B166" s="9"/>
      <c r="C166" s="10"/>
      <c r="D166" s="16"/>
      <c r="E166" s="17"/>
      <c r="F166" s="26">
        <f>5.8</f>
        <v>5.8</v>
      </c>
      <c r="G166" s="22" t="s">
        <v>50</v>
      </c>
      <c r="H166" s="30">
        <f>35.05</f>
        <v>35.049999999999997</v>
      </c>
      <c r="I166" s="6" t="s">
        <v>15</v>
      </c>
      <c r="K166" s="38"/>
    </row>
    <row r="167" spans="1:11" s="1" customFormat="1">
      <c r="A167" s="9"/>
      <c r="B167" s="9"/>
      <c r="C167" s="9"/>
      <c r="D167" s="16"/>
      <c r="E167" s="17"/>
      <c r="F167" s="26"/>
      <c r="G167" s="22"/>
      <c r="H167" s="30"/>
      <c r="I167" s="2"/>
      <c r="K167" s="4"/>
    </row>
    <row r="168" spans="1:11" s="1" customFormat="1">
      <c r="A168" s="11" t="s">
        <v>4</v>
      </c>
      <c r="B168" s="10"/>
      <c r="C168" s="10"/>
      <c r="D168" s="18">
        <f>SUM(D164:D167)</f>
        <v>248.52</v>
      </c>
      <c r="E168" s="6"/>
      <c r="F168" s="27">
        <f>SUM(F164:F167)</f>
        <v>141.17000000000002</v>
      </c>
      <c r="G168" s="23"/>
      <c r="H168" s="31">
        <f>SUM(H164:H167)</f>
        <v>649.58999999999992</v>
      </c>
      <c r="I168" s="2"/>
    </row>
    <row r="169" spans="1:11" s="1" customFormat="1" ht="15.75" thickBot="1">
      <c r="A169" s="12" t="s">
        <v>5</v>
      </c>
      <c r="B169" s="34">
        <f>SUM(D168+F168+H168)</f>
        <v>1039.28</v>
      </c>
      <c r="C169" s="33"/>
      <c r="D169" s="19"/>
      <c r="E169" s="20"/>
      <c r="F169" s="28"/>
      <c r="G169" s="24"/>
      <c r="H169" s="32"/>
      <c r="I169" s="3"/>
    </row>
    <row r="170" spans="1:11" ht="15.75" thickBot="1"/>
    <row r="171" spans="1:11" ht="20.25" thickBot="1">
      <c r="A171" s="35" t="s">
        <v>8</v>
      </c>
      <c r="B171" s="36">
        <f>SUM(B10,B31,B41,B50,B60,B73,B87,B93,B103,B108,B118,B127,B135,B140,B154,B163,B169)</f>
        <v>42992.299999999996</v>
      </c>
      <c r="J171" s="1"/>
      <c r="K171" s="40"/>
    </row>
    <row r="172" spans="1:11">
      <c r="J172" s="1"/>
      <c r="K172" s="40"/>
    </row>
    <row r="173" spans="1:11">
      <c r="J173" s="1"/>
      <c r="K173" s="40"/>
    </row>
    <row r="174" spans="1:11">
      <c r="J174" s="1"/>
      <c r="K174" s="40"/>
    </row>
    <row r="175" spans="1:11">
      <c r="J175" s="1"/>
      <c r="K175" s="40"/>
    </row>
    <row r="176" spans="1:11">
      <c r="J176" s="1"/>
      <c r="K176" s="41"/>
    </row>
    <row r="177" spans="10:11">
      <c r="J177" s="1"/>
      <c r="K177" s="40"/>
    </row>
  </sheetData>
  <mergeCells count="3"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tabSelected="1" topLeftCell="A94" workbookViewId="0">
      <selection activeCell="B117" sqref="B117"/>
    </sheetView>
  </sheetViews>
  <sheetFormatPr defaultRowHeight="15"/>
  <cols>
    <col min="1" max="1" width="17.7109375" customWidth="1"/>
    <col min="2" max="2" width="29.14062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1" max="11" width="9.7109375" bestFit="1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46" t="s">
        <v>7</v>
      </c>
      <c r="E1" s="47"/>
      <c r="F1" s="48" t="s">
        <v>6</v>
      </c>
      <c r="G1" s="49"/>
      <c r="H1" s="48" t="s">
        <v>3</v>
      </c>
      <c r="I1" s="49"/>
    </row>
    <row r="2" spans="1:11" s="1" customFormat="1">
      <c r="A2" s="43" t="s">
        <v>104</v>
      </c>
      <c r="B2" s="8" t="s">
        <v>79</v>
      </c>
      <c r="C2" s="8" t="s">
        <v>77</v>
      </c>
      <c r="D2" s="14">
        <f>16.5+52.01</f>
        <v>68.509999999999991</v>
      </c>
      <c r="E2" s="15" t="s">
        <v>16</v>
      </c>
      <c r="F2" s="25"/>
      <c r="G2" s="21"/>
      <c r="H2" s="29">
        <f>413.11</f>
        <v>413.11</v>
      </c>
      <c r="I2" s="5" t="s">
        <v>67</v>
      </c>
    </row>
    <row r="3" spans="1:11" s="1" customFormat="1">
      <c r="A3" s="10"/>
      <c r="B3" s="37" t="s">
        <v>19</v>
      </c>
      <c r="C3" s="9"/>
      <c r="D3" s="16">
        <f>231.05+37.12</f>
        <v>268.17</v>
      </c>
      <c r="E3" s="17" t="s">
        <v>14</v>
      </c>
      <c r="F3" s="26"/>
      <c r="G3" s="22"/>
      <c r="H3" s="30"/>
      <c r="I3" s="6"/>
    </row>
    <row r="4" spans="1:11" s="1" customFormat="1">
      <c r="A4" s="9"/>
      <c r="B4" s="9"/>
      <c r="C4" s="10"/>
      <c r="D4" s="16"/>
      <c r="E4" s="17"/>
      <c r="F4" s="26"/>
      <c r="G4" s="22"/>
      <c r="H4" s="30"/>
      <c r="I4" s="6"/>
      <c r="K4" s="38"/>
    </row>
    <row r="5" spans="1:11" s="1" customFormat="1">
      <c r="A5" s="10"/>
      <c r="B5" s="13"/>
      <c r="C5" s="9"/>
      <c r="D5" s="16"/>
      <c r="E5" s="17"/>
      <c r="F5" s="26"/>
      <c r="G5" s="22"/>
      <c r="H5" s="30"/>
      <c r="I5" s="6"/>
      <c r="K5" s="38"/>
    </row>
    <row r="6" spans="1:11" s="1" customFormat="1">
      <c r="A6" s="9"/>
      <c r="B6" s="9"/>
      <c r="C6" s="9"/>
      <c r="D6" s="16"/>
      <c r="E6" s="17"/>
      <c r="F6" s="26"/>
      <c r="G6" s="22"/>
      <c r="H6" s="30"/>
      <c r="I6" s="2"/>
      <c r="K6" s="4"/>
    </row>
    <row r="7" spans="1:11" s="1" customFormat="1">
      <c r="A7" s="11" t="s">
        <v>4</v>
      </c>
      <c r="B7" s="10"/>
      <c r="C7" s="10"/>
      <c r="D7" s="18">
        <f>SUM(D2:D6)</f>
        <v>336.68</v>
      </c>
      <c r="E7" s="6"/>
      <c r="F7" s="27">
        <f>SUM(F2:F6)</f>
        <v>0</v>
      </c>
      <c r="G7" s="23"/>
      <c r="H7" s="31">
        <f>SUM(H2:H6)</f>
        <v>413.11</v>
      </c>
      <c r="I7" s="2"/>
    </row>
    <row r="8" spans="1:11" s="1" customFormat="1" ht="15.75" thickBot="1">
      <c r="A8" s="12" t="s">
        <v>5</v>
      </c>
      <c r="B8" s="34">
        <f>SUM(D7+F7+H7)</f>
        <v>749.79</v>
      </c>
      <c r="C8" s="33"/>
      <c r="D8" s="19"/>
      <c r="E8" s="20"/>
      <c r="F8" s="28"/>
      <c r="G8" s="24"/>
      <c r="H8" s="32"/>
      <c r="I8" s="3"/>
    </row>
    <row r="9" spans="1:11" s="1" customFormat="1">
      <c r="A9" s="43" t="s">
        <v>138</v>
      </c>
      <c r="B9" s="8" t="s">
        <v>79</v>
      </c>
      <c r="C9" s="8" t="s">
        <v>9</v>
      </c>
      <c r="D9" s="14"/>
      <c r="E9" s="15"/>
      <c r="F9" s="25"/>
      <c r="G9" s="21"/>
      <c r="H9" s="29">
        <f>1078.75+626.72-473</f>
        <v>1232.47</v>
      </c>
      <c r="I9" s="5" t="s">
        <v>67</v>
      </c>
    </row>
    <row r="10" spans="1:11" s="1" customFormat="1">
      <c r="A10" s="10"/>
      <c r="B10" s="37" t="s">
        <v>130</v>
      </c>
      <c r="C10" s="9"/>
      <c r="D10" s="16"/>
      <c r="E10" s="17"/>
      <c r="F10" s="26"/>
      <c r="G10" s="22"/>
      <c r="H10" s="30">
        <f>473.64</f>
        <v>473.64</v>
      </c>
      <c r="I10" s="6" t="s">
        <v>45</v>
      </c>
    </row>
    <row r="11" spans="1:11" s="1" customFormat="1">
      <c r="A11" s="9"/>
      <c r="B11" s="9"/>
      <c r="C11" s="10"/>
      <c r="D11" s="16"/>
      <c r="E11" s="17"/>
      <c r="F11" s="26"/>
      <c r="G11" s="22"/>
      <c r="H11" s="30"/>
      <c r="I11" s="6"/>
      <c r="K11" s="38"/>
    </row>
    <row r="12" spans="1:11" s="1" customFormat="1">
      <c r="A12" s="10"/>
      <c r="B12" s="13"/>
      <c r="C12" s="9" t="s">
        <v>10</v>
      </c>
      <c r="D12" s="16"/>
      <c r="E12" s="17"/>
      <c r="F12" s="26"/>
      <c r="G12" s="22"/>
      <c r="H12" s="30">
        <f>1078.75-473+626.72</f>
        <v>1232.47</v>
      </c>
      <c r="I12" s="6" t="s">
        <v>67</v>
      </c>
      <c r="K12" s="38"/>
    </row>
    <row r="13" spans="1:11" s="1" customFormat="1">
      <c r="A13" s="10"/>
      <c r="B13" s="13"/>
      <c r="C13" s="9"/>
      <c r="D13" s="16"/>
      <c r="E13" s="17"/>
      <c r="F13" s="26"/>
      <c r="G13" s="22"/>
      <c r="H13" s="30">
        <v>473.64</v>
      </c>
      <c r="I13" s="6" t="s">
        <v>45</v>
      </c>
      <c r="K13" s="4"/>
    </row>
    <row r="14" spans="1:11" s="1" customFormat="1">
      <c r="A14" s="10"/>
      <c r="B14" s="13"/>
      <c r="C14" s="9"/>
      <c r="D14" s="16"/>
      <c r="E14" s="17"/>
      <c r="F14" s="26"/>
      <c r="G14" s="22"/>
      <c r="H14" s="30"/>
      <c r="I14" s="6"/>
      <c r="K14" s="4"/>
    </row>
    <row r="15" spans="1:11" s="1" customFormat="1">
      <c r="A15" s="9"/>
      <c r="B15" s="9"/>
      <c r="C15" s="9"/>
      <c r="D15" s="18">
        <f>SUM(D10:D14)</f>
        <v>0</v>
      </c>
      <c r="E15" s="6"/>
      <c r="F15" s="27">
        <f>SUM(F10:F14)</f>
        <v>0</v>
      </c>
      <c r="G15" s="23"/>
      <c r="H15" s="31">
        <f>SUM(H10:H14)</f>
        <v>2179.75</v>
      </c>
      <c r="I15" s="2"/>
    </row>
    <row r="16" spans="1:11" s="1" customFormat="1" ht="15.75" thickBot="1">
      <c r="A16" s="12" t="s">
        <v>5</v>
      </c>
      <c r="B16" s="34">
        <f>SUM(D15+F15+H15)</f>
        <v>2179.75</v>
      </c>
      <c r="C16" s="33"/>
      <c r="D16" s="19"/>
      <c r="E16" s="20"/>
      <c r="F16" s="28"/>
      <c r="G16" s="24"/>
      <c r="H16" s="32"/>
      <c r="I16" s="3"/>
    </row>
    <row r="17" spans="1:11" s="1" customFormat="1">
      <c r="A17" s="43" t="s">
        <v>82</v>
      </c>
      <c r="B17" s="8" t="s">
        <v>83</v>
      </c>
      <c r="C17" s="8" t="s">
        <v>11</v>
      </c>
      <c r="D17" s="14">
        <f>47.61</f>
        <v>47.61</v>
      </c>
      <c r="E17" s="15" t="s">
        <v>16</v>
      </c>
      <c r="F17" s="25"/>
      <c r="G17" s="21"/>
      <c r="H17" s="29">
        <v>947</v>
      </c>
      <c r="I17" s="5" t="s">
        <v>45</v>
      </c>
    </row>
    <row r="18" spans="1:11" s="1" customFormat="1">
      <c r="A18" s="10"/>
      <c r="B18" s="37" t="s">
        <v>84</v>
      </c>
      <c r="C18" s="9"/>
      <c r="D18" s="16">
        <f>25.33+24.86</f>
        <v>50.19</v>
      </c>
      <c r="E18" s="17" t="s">
        <v>14</v>
      </c>
      <c r="F18" s="26"/>
      <c r="G18" s="22"/>
      <c r="H18" s="30">
        <f>725.43+549.69</f>
        <v>1275.1199999999999</v>
      </c>
      <c r="I18" s="6" t="s">
        <v>67</v>
      </c>
    </row>
    <row r="19" spans="1:11" s="1" customFormat="1">
      <c r="A19" s="9"/>
      <c r="B19" s="9"/>
      <c r="C19" s="10"/>
      <c r="D19" s="16">
        <f>8.73</f>
        <v>8.73</v>
      </c>
      <c r="E19" s="17" t="s">
        <v>29</v>
      </c>
      <c r="F19" s="26"/>
      <c r="G19" s="22"/>
      <c r="H19" s="30">
        <f>72.56</f>
        <v>72.56</v>
      </c>
      <c r="I19" s="6" t="s">
        <v>15</v>
      </c>
      <c r="K19" s="38"/>
    </row>
    <row r="20" spans="1:11" s="1" customFormat="1">
      <c r="A20" s="10"/>
      <c r="B20" s="13"/>
      <c r="C20" s="9"/>
      <c r="D20" s="16"/>
      <c r="E20" s="17"/>
      <c r="F20" s="26"/>
      <c r="G20" s="22"/>
      <c r="H20" s="30"/>
      <c r="I20" s="6"/>
      <c r="K20" s="38"/>
    </row>
    <row r="21" spans="1:11" s="1" customFormat="1">
      <c r="A21" s="10"/>
      <c r="B21" s="13"/>
      <c r="C21" s="9" t="s">
        <v>12</v>
      </c>
      <c r="D21" s="16">
        <f>157.99</f>
        <v>157.99</v>
      </c>
      <c r="E21" s="17" t="s">
        <v>16</v>
      </c>
      <c r="F21" s="26"/>
      <c r="G21" s="22"/>
      <c r="H21" s="30">
        <v>947</v>
      </c>
      <c r="I21" s="6" t="s">
        <v>45</v>
      </c>
      <c r="K21" s="38"/>
    </row>
    <row r="22" spans="1:11" s="1" customFormat="1">
      <c r="A22" s="10"/>
      <c r="B22" s="13"/>
      <c r="C22" s="9"/>
      <c r="D22" s="16">
        <f>62.8</f>
        <v>62.8</v>
      </c>
      <c r="E22" s="17" t="s">
        <v>14</v>
      </c>
      <c r="F22" s="26"/>
      <c r="G22" s="22"/>
      <c r="H22" s="30">
        <f>725.43</f>
        <v>725.43</v>
      </c>
      <c r="I22" s="6" t="s">
        <v>67</v>
      </c>
    </row>
    <row r="23" spans="1:11" s="1" customFormat="1">
      <c r="A23" s="10"/>
      <c r="B23" s="13"/>
      <c r="C23" s="9"/>
      <c r="D23" s="16"/>
      <c r="E23" s="17"/>
      <c r="F23" s="26"/>
      <c r="G23" s="22"/>
      <c r="H23" s="30">
        <f>18.24</f>
        <v>18.239999999999998</v>
      </c>
      <c r="I23" s="6" t="s">
        <v>15</v>
      </c>
    </row>
    <row r="24" spans="1:11" s="1" customFormat="1">
      <c r="A24" s="10"/>
      <c r="B24" s="13"/>
      <c r="C24" s="9"/>
      <c r="D24" s="16"/>
      <c r="E24" s="17"/>
      <c r="F24" s="26"/>
      <c r="G24" s="22"/>
      <c r="H24" s="30"/>
      <c r="I24" s="6"/>
    </row>
    <row r="25" spans="1:11" s="1" customFormat="1">
      <c r="A25" s="10"/>
      <c r="B25" s="13"/>
      <c r="C25" s="9" t="s">
        <v>76</v>
      </c>
      <c r="D25" s="16"/>
      <c r="E25" s="17"/>
      <c r="F25" s="26"/>
      <c r="G25" s="22"/>
      <c r="H25" s="30">
        <f>1136.18</f>
        <v>1136.18</v>
      </c>
      <c r="I25" s="6" t="s">
        <v>45</v>
      </c>
    </row>
    <row r="26" spans="1:11" s="1" customFormat="1">
      <c r="A26" s="10"/>
      <c r="B26" s="13"/>
      <c r="C26" s="9"/>
      <c r="D26" s="16"/>
      <c r="E26" s="17"/>
      <c r="F26" s="26"/>
      <c r="G26" s="22"/>
      <c r="H26" s="30">
        <f>973.28</f>
        <v>973.28</v>
      </c>
      <c r="I26" s="6" t="s">
        <v>67</v>
      </c>
    </row>
    <row r="27" spans="1:11" s="1" customFormat="1">
      <c r="A27" s="10"/>
      <c r="B27" s="13"/>
      <c r="C27" s="9"/>
      <c r="D27" s="16"/>
      <c r="E27" s="17"/>
      <c r="F27" s="26"/>
      <c r="G27" s="22"/>
      <c r="H27" s="30"/>
      <c r="I27" s="6"/>
    </row>
    <row r="28" spans="1:11" s="1" customFormat="1">
      <c r="A28" s="10"/>
      <c r="B28" s="13"/>
      <c r="C28" s="9"/>
      <c r="D28" s="16"/>
      <c r="E28" s="17"/>
      <c r="F28" s="26"/>
      <c r="G28" s="22"/>
      <c r="H28" s="30"/>
      <c r="I28" s="6"/>
    </row>
    <row r="29" spans="1:11" s="1" customFormat="1">
      <c r="A29" s="11" t="s">
        <v>4</v>
      </c>
      <c r="B29" s="10"/>
      <c r="C29" s="10"/>
      <c r="D29" s="18">
        <f>SUM(D17:D28)</f>
        <v>327.32</v>
      </c>
      <c r="E29" s="6"/>
      <c r="F29" s="27">
        <f>SUM(F17:F28)</f>
        <v>0</v>
      </c>
      <c r="G29" s="23"/>
      <c r="H29" s="31">
        <f>SUM(H17:H28)</f>
        <v>6094.8099999999995</v>
      </c>
      <c r="I29" s="2"/>
    </row>
    <row r="30" spans="1:11" s="1" customFormat="1" ht="15.75" thickBot="1">
      <c r="A30" s="12" t="s">
        <v>5</v>
      </c>
      <c r="B30" s="34">
        <f>SUM(D29+F29+H29)</f>
        <v>6422.1299999999992</v>
      </c>
      <c r="C30" s="33"/>
      <c r="D30" s="19"/>
      <c r="E30" s="20"/>
      <c r="F30" s="28"/>
      <c r="G30" s="24"/>
      <c r="H30" s="32"/>
      <c r="I30" s="3"/>
    </row>
    <row r="31" spans="1:11" s="1" customFormat="1">
      <c r="A31" s="43" t="s">
        <v>98</v>
      </c>
      <c r="B31" s="8" t="s">
        <v>55</v>
      </c>
      <c r="C31" s="8" t="s">
        <v>70</v>
      </c>
      <c r="D31" s="14">
        <v>213</v>
      </c>
      <c r="E31" s="15" t="s">
        <v>14</v>
      </c>
      <c r="F31" s="25"/>
      <c r="G31" s="21"/>
      <c r="H31" s="29">
        <v>315.77999999999997</v>
      </c>
      <c r="I31" s="5" t="s">
        <v>81</v>
      </c>
    </row>
    <row r="32" spans="1:11" s="1" customFormat="1">
      <c r="A32" s="10"/>
      <c r="B32" s="37" t="s">
        <v>99</v>
      </c>
      <c r="C32" s="9"/>
      <c r="D32" s="16"/>
      <c r="E32" s="17"/>
      <c r="F32" s="26"/>
      <c r="G32" s="22"/>
      <c r="H32" s="30">
        <f>1058.46+528.87</f>
        <v>1587.33</v>
      </c>
      <c r="I32" s="6" t="s">
        <v>67</v>
      </c>
    </row>
    <row r="33" spans="1:11" s="1" customFormat="1">
      <c r="A33" s="10"/>
      <c r="B33" s="37"/>
      <c r="C33" s="9"/>
      <c r="D33" s="16"/>
      <c r="E33" s="17"/>
      <c r="F33" s="26"/>
      <c r="G33" s="22"/>
      <c r="H33" s="30"/>
      <c r="I33" s="6"/>
    </row>
    <row r="34" spans="1:11" s="1" customFormat="1">
      <c r="A34" s="9"/>
      <c r="B34" s="9"/>
      <c r="C34" s="10" t="s">
        <v>65</v>
      </c>
      <c r="D34" s="16">
        <f>94.91</f>
        <v>94.91</v>
      </c>
      <c r="E34" s="17" t="s">
        <v>16</v>
      </c>
      <c r="F34" s="26"/>
      <c r="G34" s="22"/>
      <c r="H34" s="30">
        <f>1058.46+528.87</f>
        <v>1587.33</v>
      </c>
      <c r="I34" s="6" t="s">
        <v>67</v>
      </c>
      <c r="K34" s="38"/>
    </row>
    <row r="35" spans="1:11" s="1" customFormat="1">
      <c r="A35" s="10"/>
      <c r="B35" s="13"/>
      <c r="C35" s="9"/>
      <c r="D35" s="16">
        <f>60.63</f>
        <v>60.63</v>
      </c>
      <c r="E35" s="17" t="s">
        <v>14</v>
      </c>
      <c r="F35" s="26"/>
      <c r="G35" s="22"/>
      <c r="H35" s="30">
        <f>159.27</f>
        <v>159.27000000000001</v>
      </c>
      <c r="I35" s="6" t="s">
        <v>81</v>
      </c>
      <c r="K35" s="38"/>
    </row>
    <row r="36" spans="1:11" s="1" customFormat="1">
      <c r="A36" s="10"/>
      <c r="B36" s="13"/>
      <c r="C36" s="9"/>
      <c r="D36" s="16">
        <f>3.9+67.41</f>
        <v>71.31</v>
      </c>
      <c r="E36" s="17" t="s">
        <v>29</v>
      </c>
      <c r="F36" s="26"/>
      <c r="G36" s="22"/>
      <c r="H36" s="30"/>
      <c r="I36" s="6"/>
      <c r="K36" s="38"/>
    </row>
    <row r="37" spans="1:11" s="1" customFormat="1">
      <c r="A37" s="10"/>
      <c r="B37" s="13"/>
      <c r="C37" s="9"/>
      <c r="D37" s="16"/>
      <c r="E37" s="17"/>
      <c r="F37" s="26"/>
      <c r="G37" s="22"/>
      <c r="H37" s="30"/>
      <c r="I37" s="6"/>
      <c r="K37" s="38"/>
    </row>
    <row r="38" spans="1:11" s="1" customFormat="1">
      <c r="A38" s="9"/>
      <c r="B38" s="9"/>
      <c r="C38" s="9"/>
      <c r="D38" s="16"/>
      <c r="E38" s="17"/>
      <c r="F38" s="26"/>
      <c r="G38" s="22"/>
      <c r="H38" s="30"/>
      <c r="I38" s="2"/>
      <c r="K38" s="4"/>
    </row>
    <row r="39" spans="1:11" s="1" customFormat="1">
      <c r="A39" s="11" t="s">
        <v>4</v>
      </c>
      <c r="B39" s="10"/>
      <c r="C39" s="10"/>
      <c r="D39" s="18">
        <f>SUM(D31:D38)</f>
        <v>439.84999999999997</v>
      </c>
      <c r="E39" s="6"/>
      <c r="F39" s="27">
        <f>SUM(F31:F38)</f>
        <v>0</v>
      </c>
      <c r="G39" s="23"/>
      <c r="H39" s="31">
        <f>SUM(H31:H38)</f>
        <v>3649.7099999999996</v>
      </c>
      <c r="I39" s="2"/>
    </row>
    <row r="40" spans="1:11" s="1" customFormat="1" ht="15.75" thickBot="1">
      <c r="A40" s="12" t="s">
        <v>5</v>
      </c>
      <c r="B40" s="34">
        <f>SUM(D39+F39+H39)</f>
        <v>4089.5599999999995</v>
      </c>
      <c r="C40" s="33"/>
      <c r="D40" s="19"/>
      <c r="E40" s="20"/>
      <c r="F40" s="28"/>
      <c r="G40" s="24"/>
      <c r="H40" s="32"/>
      <c r="I40" s="3"/>
    </row>
    <row r="41" spans="1:11" s="1" customFormat="1">
      <c r="A41" s="43">
        <v>41683</v>
      </c>
      <c r="B41" s="8" t="s">
        <v>91</v>
      </c>
      <c r="C41" s="8" t="s">
        <v>11</v>
      </c>
      <c r="D41" s="14">
        <f>5.88</f>
        <v>5.88</v>
      </c>
      <c r="E41" s="15" t="s">
        <v>16</v>
      </c>
      <c r="F41" s="25"/>
      <c r="G41" s="21"/>
      <c r="H41" s="29"/>
      <c r="I41" s="5"/>
    </row>
    <row r="42" spans="1:11" s="1" customFormat="1">
      <c r="A42" s="10"/>
      <c r="B42" s="37" t="s">
        <v>92</v>
      </c>
      <c r="C42" s="9"/>
      <c r="D42" s="16">
        <f>50.18</f>
        <v>50.18</v>
      </c>
      <c r="E42" s="17" t="s">
        <v>14</v>
      </c>
      <c r="F42" s="26"/>
      <c r="G42" s="22"/>
      <c r="H42" s="30"/>
      <c r="I42" s="6"/>
    </row>
    <row r="43" spans="1:11" s="1" customFormat="1">
      <c r="A43" s="9"/>
      <c r="B43" s="9"/>
      <c r="C43" s="10"/>
      <c r="D43" s="16"/>
      <c r="E43" s="17"/>
      <c r="F43" s="26"/>
      <c r="G43" s="22"/>
      <c r="H43" s="30"/>
      <c r="I43" s="6"/>
      <c r="K43" s="38"/>
    </row>
    <row r="44" spans="1:11" s="1" customFormat="1">
      <c r="A44" s="10"/>
      <c r="B44" s="13"/>
      <c r="C44" s="9" t="s">
        <v>12</v>
      </c>
      <c r="D44" s="16"/>
      <c r="E44" s="17"/>
      <c r="F44" s="26">
        <f>71.79</f>
        <v>71.790000000000006</v>
      </c>
      <c r="G44" s="22" t="s">
        <v>100</v>
      </c>
      <c r="H44" s="30"/>
      <c r="I44" s="6"/>
      <c r="K44" s="38"/>
    </row>
    <row r="45" spans="1:11" s="1" customFormat="1">
      <c r="A45" s="10"/>
      <c r="B45" s="13"/>
      <c r="C45" s="9"/>
      <c r="D45" s="16">
        <f>54.67</f>
        <v>54.67</v>
      </c>
      <c r="E45" s="17" t="s">
        <v>14</v>
      </c>
      <c r="F45" s="26"/>
      <c r="G45" s="22"/>
      <c r="H45" s="30"/>
      <c r="I45" s="6"/>
      <c r="K45" s="38"/>
    </row>
    <row r="46" spans="1:11" s="1" customFormat="1">
      <c r="A46" s="9"/>
      <c r="B46" s="9"/>
      <c r="C46" s="9"/>
      <c r="D46" s="16"/>
      <c r="E46" s="17"/>
      <c r="F46" s="26"/>
      <c r="G46" s="22"/>
      <c r="H46" s="30"/>
      <c r="I46" s="2"/>
      <c r="K46" s="4"/>
    </row>
    <row r="47" spans="1:11" s="1" customFormat="1">
      <c r="A47" s="11" t="s">
        <v>4</v>
      </c>
      <c r="B47" s="10"/>
      <c r="C47" s="10"/>
      <c r="D47" s="18">
        <f>SUM(D41:D46)</f>
        <v>110.73</v>
      </c>
      <c r="E47" s="6"/>
      <c r="F47" s="27">
        <f>SUM(F41:F46)</f>
        <v>71.790000000000006</v>
      </c>
      <c r="G47" s="23"/>
      <c r="H47" s="31">
        <f>SUM(H41:H46)</f>
        <v>0</v>
      </c>
      <c r="I47" s="2"/>
    </row>
    <row r="48" spans="1:11" s="1" customFormat="1" ht="15.75" thickBot="1">
      <c r="A48" s="12" t="s">
        <v>5</v>
      </c>
      <c r="B48" s="34">
        <f>SUM(D47+F47+H47)</f>
        <v>182.52</v>
      </c>
      <c r="C48" s="33"/>
      <c r="D48" s="19"/>
      <c r="E48" s="20"/>
      <c r="F48" s="28"/>
      <c r="G48" s="24"/>
      <c r="H48" s="32"/>
      <c r="I48" s="3"/>
    </row>
    <row r="49" spans="1:11" s="1" customFormat="1">
      <c r="A49" s="8" t="s">
        <v>88</v>
      </c>
      <c r="B49" s="8" t="s">
        <v>55</v>
      </c>
      <c r="C49" s="8" t="s">
        <v>20</v>
      </c>
      <c r="D49" s="14">
        <f>87.93</f>
        <v>87.93</v>
      </c>
      <c r="E49" s="15" t="s">
        <v>16</v>
      </c>
      <c r="F49" s="25">
        <f>1.95</f>
        <v>1.95</v>
      </c>
      <c r="G49" s="21" t="s">
        <v>50</v>
      </c>
      <c r="H49" s="29">
        <f>1602.42</f>
        <v>1602.42</v>
      </c>
      <c r="I49" s="5" t="s">
        <v>67</v>
      </c>
    </row>
    <row r="50" spans="1:11" s="1" customFormat="1">
      <c r="A50" s="10"/>
      <c r="B50" s="37" t="s">
        <v>89</v>
      </c>
      <c r="C50" s="9"/>
      <c r="D50" s="16">
        <v>126.04</v>
      </c>
      <c r="E50" s="17" t="s">
        <v>14</v>
      </c>
      <c r="F50" s="26"/>
      <c r="G50" s="22"/>
      <c r="H50" s="30">
        <v>897.15</v>
      </c>
      <c r="I50" s="6" t="s">
        <v>45</v>
      </c>
    </row>
    <row r="51" spans="1:11" s="1" customFormat="1">
      <c r="A51" s="9"/>
      <c r="B51" s="9"/>
      <c r="C51" s="10"/>
      <c r="D51" s="16">
        <f>54.43+10.38</f>
        <v>64.81</v>
      </c>
      <c r="E51" s="17" t="s">
        <v>29</v>
      </c>
      <c r="F51" s="26"/>
      <c r="G51" s="22"/>
      <c r="H51" s="30">
        <f>207.22</f>
        <v>207.22</v>
      </c>
      <c r="I51" s="6" t="s">
        <v>15</v>
      </c>
      <c r="K51" s="38"/>
    </row>
    <row r="52" spans="1:11" s="1" customFormat="1">
      <c r="A52" s="10"/>
      <c r="B52" s="13"/>
      <c r="C52" s="9"/>
      <c r="D52" s="16"/>
      <c r="E52" s="17"/>
      <c r="F52" s="26"/>
      <c r="G52" s="22"/>
      <c r="H52" s="30"/>
      <c r="I52" s="6"/>
      <c r="K52" s="38"/>
    </row>
    <row r="53" spans="1:11" s="1" customFormat="1">
      <c r="A53" s="10" t="s">
        <v>103</v>
      </c>
      <c r="B53" s="13"/>
      <c r="C53" s="9" t="s">
        <v>77</v>
      </c>
      <c r="D53" s="16">
        <f>1.85+217.72</f>
        <v>219.57</v>
      </c>
      <c r="E53" s="17" t="s">
        <v>16</v>
      </c>
      <c r="F53" s="26"/>
      <c r="G53" s="22"/>
      <c r="H53" s="30">
        <f>427.67</f>
        <v>427.67</v>
      </c>
      <c r="I53" s="6" t="s">
        <v>67</v>
      </c>
      <c r="K53" s="38"/>
    </row>
    <row r="54" spans="1:11" s="1" customFormat="1">
      <c r="A54" s="10"/>
      <c r="B54" s="13"/>
      <c r="C54" s="9"/>
      <c r="D54" s="16">
        <f>237.54+185.03</f>
        <v>422.57</v>
      </c>
      <c r="E54" s="17" t="s">
        <v>14</v>
      </c>
      <c r="F54" s="26"/>
      <c r="G54" s="22"/>
      <c r="H54" s="30">
        <f>623.47+216.56</f>
        <v>840.03</v>
      </c>
      <c r="I54" s="6" t="s">
        <v>45</v>
      </c>
      <c r="K54" s="38"/>
    </row>
    <row r="55" spans="1:11" s="1" customFormat="1">
      <c r="A55" s="10"/>
      <c r="B55" s="13"/>
      <c r="C55" s="9"/>
      <c r="D55" s="16"/>
      <c r="E55" s="17"/>
      <c r="F55" s="26"/>
      <c r="G55" s="22"/>
      <c r="H55" s="30">
        <f>184.8+34.67</f>
        <v>219.47000000000003</v>
      </c>
      <c r="I55" s="6" t="s">
        <v>15</v>
      </c>
      <c r="K55" s="38"/>
    </row>
    <row r="56" spans="1:11" s="1" customFormat="1">
      <c r="A56" s="9"/>
      <c r="B56" s="9"/>
      <c r="C56" s="9"/>
      <c r="D56" s="16"/>
      <c r="E56" s="17"/>
      <c r="F56" s="26"/>
      <c r="G56" s="22"/>
      <c r="H56" s="30"/>
      <c r="I56" s="2"/>
      <c r="K56" s="4"/>
    </row>
    <row r="57" spans="1:11" s="1" customFormat="1">
      <c r="A57" s="11" t="s">
        <v>4</v>
      </c>
      <c r="B57" s="10"/>
      <c r="C57" s="10"/>
      <c r="D57" s="18">
        <f>SUM(D49:D56)</f>
        <v>920.92000000000007</v>
      </c>
      <c r="E57" s="6"/>
      <c r="F57" s="27">
        <f>SUM(F49:F56)</f>
        <v>1.95</v>
      </c>
      <c r="G57" s="23"/>
      <c r="H57" s="31">
        <f>SUM(H49:H56)</f>
        <v>4193.96</v>
      </c>
      <c r="I57" s="2"/>
    </row>
    <row r="58" spans="1:11" s="1" customFormat="1" ht="15.75" thickBot="1">
      <c r="A58" s="12" t="s">
        <v>5</v>
      </c>
      <c r="B58" s="34">
        <f>SUM(D57+F57+H57)</f>
        <v>5116.83</v>
      </c>
      <c r="C58" s="33"/>
      <c r="D58" s="19"/>
      <c r="E58" s="20"/>
      <c r="F58" s="28"/>
      <c r="G58" s="24"/>
      <c r="H58" s="32"/>
      <c r="I58" s="3"/>
    </row>
    <row r="59" spans="1:11" s="1" customFormat="1">
      <c r="A59" s="8" t="s">
        <v>95</v>
      </c>
      <c r="B59" s="8" t="s">
        <v>55</v>
      </c>
      <c r="C59" s="8" t="s">
        <v>75</v>
      </c>
      <c r="D59" s="14">
        <f>6+34.38</f>
        <v>40.380000000000003</v>
      </c>
      <c r="E59" s="15" t="s">
        <v>16</v>
      </c>
      <c r="F59" s="25">
        <v>7.66</v>
      </c>
      <c r="G59" s="21" t="s">
        <v>42</v>
      </c>
      <c r="H59" s="29">
        <v>398.34</v>
      </c>
      <c r="I59" s="5" t="s">
        <v>67</v>
      </c>
    </row>
    <row r="60" spans="1:11" s="1" customFormat="1">
      <c r="A60" s="10"/>
      <c r="B60" s="37" t="s">
        <v>61</v>
      </c>
      <c r="C60" s="9"/>
      <c r="D60" s="16">
        <f>105.8+13.98</f>
        <v>119.78</v>
      </c>
      <c r="E60" s="17" t="s">
        <v>14</v>
      </c>
      <c r="F60" s="26">
        <f>40.9</f>
        <v>40.9</v>
      </c>
      <c r="G60" s="22" t="s">
        <v>43</v>
      </c>
      <c r="H60" s="30">
        <v>188.19</v>
      </c>
      <c r="I60" s="6" t="s">
        <v>45</v>
      </c>
    </row>
    <row r="61" spans="1:11" s="1" customFormat="1">
      <c r="A61" s="9"/>
      <c r="B61" s="9"/>
      <c r="C61" s="10"/>
      <c r="D61" s="16">
        <f>20</f>
        <v>20</v>
      </c>
      <c r="E61" s="17" t="s">
        <v>29</v>
      </c>
      <c r="F61" s="26">
        <v>10</v>
      </c>
      <c r="G61" s="22" t="s">
        <v>96</v>
      </c>
      <c r="H61" s="30">
        <f>28.08</f>
        <v>28.08</v>
      </c>
      <c r="I61" s="6" t="s">
        <v>15</v>
      </c>
      <c r="K61" s="38"/>
    </row>
    <row r="62" spans="1:11" s="1" customFormat="1">
      <c r="A62" s="9"/>
      <c r="B62" s="9"/>
      <c r="C62" s="10"/>
      <c r="D62" s="16"/>
      <c r="E62" s="17"/>
      <c r="F62" s="26"/>
      <c r="G62" s="22"/>
      <c r="H62" s="30"/>
      <c r="I62" s="6"/>
      <c r="K62" s="38"/>
    </row>
    <row r="63" spans="1:11" s="1" customFormat="1">
      <c r="A63" s="9"/>
      <c r="B63" s="9"/>
      <c r="C63" s="10" t="s">
        <v>57</v>
      </c>
      <c r="D63" s="16">
        <f>44.8</f>
        <v>44.8</v>
      </c>
      <c r="E63" s="17" t="s">
        <v>16</v>
      </c>
      <c r="F63" s="26">
        <v>21</v>
      </c>
      <c r="G63" s="22" t="s">
        <v>32</v>
      </c>
      <c r="H63" s="30">
        <v>398.34</v>
      </c>
      <c r="I63" s="6" t="s">
        <v>67</v>
      </c>
      <c r="K63" s="38"/>
    </row>
    <row r="64" spans="1:11" s="1" customFormat="1">
      <c r="A64" s="9"/>
      <c r="B64" s="9"/>
      <c r="C64" s="10"/>
      <c r="D64" s="16">
        <f>11.3</f>
        <v>11.3</v>
      </c>
      <c r="E64" s="17" t="s">
        <v>14</v>
      </c>
      <c r="F64" s="26"/>
      <c r="G64" s="22"/>
      <c r="H64" s="30">
        <v>188.19</v>
      </c>
      <c r="I64" s="6" t="s">
        <v>45</v>
      </c>
      <c r="K64" s="38"/>
    </row>
    <row r="65" spans="1:11" s="1" customFormat="1">
      <c r="A65" s="10"/>
      <c r="B65" s="13"/>
      <c r="C65" s="9"/>
      <c r="D65" s="16"/>
      <c r="E65" s="17"/>
      <c r="F65" s="26"/>
      <c r="G65" s="22"/>
      <c r="H65" s="30">
        <f>45.28</f>
        <v>45.28</v>
      </c>
      <c r="I65" s="6" t="s">
        <v>15</v>
      </c>
      <c r="K65" s="38"/>
    </row>
    <row r="66" spans="1:11" s="1" customFormat="1">
      <c r="A66" s="9"/>
      <c r="B66" s="9"/>
      <c r="C66" s="9"/>
      <c r="D66" s="16"/>
      <c r="E66" s="17"/>
      <c r="F66" s="26"/>
      <c r="G66" s="22"/>
      <c r="H66" s="30"/>
      <c r="I66" s="2"/>
      <c r="K66" s="4"/>
    </row>
    <row r="67" spans="1:11" s="1" customFormat="1">
      <c r="A67" s="11" t="s">
        <v>4</v>
      </c>
      <c r="B67" s="10"/>
      <c r="C67" s="10"/>
      <c r="D67" s="18">
        <f>SUM(D59:D66)</f>
        <v>236.26</v>
      </c>
      <c r="E67" s="6"/>
      <c r="F67" s="27">
        <f>SUM(F59:F66)</f>
        <v>79.56</v>
      </c>
      <c r="G67" s="23"/>
      <c r="H67" s="31">
        <f>SUM(H59:H66)</f>
        <v>1246.42</v>
      </c>
      <c r="I67" s="2"/>
    </row>
    <row r="68" spans="1:11" s="1" customFormat="1" ht="15.75" thickBot="1">
      <c r="A68" s="12" t="s">
        <v>5</v>
      </c>
      <c r="B68" s="34">
        <f>SUM(D67+F67+H67)</f>
        <v>1562.24</v>
      </c>
      <c r="C68" s="33"/>
      <c r="D68" s="19"/>
      <c r="E68" s="20"/>
      <c r="F68" s="28"/>
      <c r="G68" s="24"/>
      <c r="H68" s="32"/>
      <c r="I68" s="3"/>
    </row>
    <row r="69" spans="1:11" s="1" customFormat="1">
      <c r="A69" s="8" t="s">
        <v>110</v>
      </c>
      <c r="B69" s="8" t="s">
        <v>55</v>
      </c>
      <c r="C69" s="8" t="s">
        <v>66</v>
      </c>
      <c r="D69" s="14">
        <f>15+66.75</f>
        <v>81.75</v>
      </c>
      <c r="E69" s="15" t="s">
        <v>16</v>
      </c>
      <c r="F69" s="25">
        <f>18.87</f>
        <v>18.87</v>
      </c>
      <c r="G69" s="21" t="s">
        <v>42</v>
      </c>
      <c r="H69" s="29">
        <f>110.87+751.48+938.91</f>
        <v>1801.26</v>
      </c>
      <c r="I69" s="5" t="s">
        <v>67</v>
      </c>
    </row>
    <row r="70" spans="1:11" s="1" customFormat="1">
      <c r="A70" s="10"/>
      <c r="B70" s="37" t="s">
        <v>111</v>
      </c>
      <c r="C70" s="9"/>
      <c r="D70" s="16">
        <f>2.72+20.5</f>
        <v>23.22</v>
      </c>
      <c r="E70" s="17" t="s">
        <v>14</v>
      </c>
      <c r="F70" s="26">
        <v>3.4</v>
      </c>
      <c r="G70" s="22" t="s">
        <v>50</v>
      </c>
      <c r="H70" s="30">
        <f>370.62+308.7</f>
        <v>679.31999999999994</v>
      </c>
      <c r="I70" s="6" t="s">
        <v>45</v>
      </c>
    </row>
    <row r="71" spans="1:11" s="1" customFormat="1">
      <c r="A71" s="9"/>
      <c r="B71" s="9"/>
      <c r="C71" s="10"/>
      <c r="D71" s="16"/>
      <c r="E71" s="17"/>
      <c r="F71" s="26">
        <v>146</v>
      </c>
      <c r="G71" s="22" t="s">
        <v>43</v>
      </c>
      <c r="H71" s="30">
        <f>2.73</f>
        <v>2.73</v>
      </c>
      <c r="I71" s="6" t="s">
        <v>15</v>
      </c>
      <c r="K71" s="38"/>
    </row>
    <row r="72" spans="1:11" s="1" customFormat="1">
      <c r="A72" s="9"/>
      <c r="B72" s="9"/>
      <c r="C72" s="10"/>
      <c r="D72" s="16"/>
      <c r="E72" s="17"/>
      <c r="F72" s="26"/>
      <c r="G72" s="22"/>
      <c r="H72" s="30"/>
      <c r="I72" s="6"/>
      <c r="K72" s="38"/>
    </row>
    <row r="73" spans="1:11" s="1" customFormat="1">
      <c r="A73" s="9"/>
      <c r="B73" s="9"/>
      <c r="C73" s="10" t="s">
        <v>71</v>
      </c>
      <c r="D73" s="16">
        <f>140.41+13.5</f>
        <v>153.91</v>
      </c>
      <c r="E73" s="17" t="s">
        <v>107</v>
      </c>
      <c r="F73" s="26">
        <f>51.5</f>
        <v>51.5</v>
      </c>
      <c r="G73" s="22" t="s">
        <v>43</v>
      </c>
      <c r="H73" s="30">
        <f>1345.68+110.87+120</f>
        <v>1576.5500000000002</v>
      </c>
      <c r="I73" s="6" t="s">
        <v>67</v>
      </c>
      <c r="K73" s="38"/>
    </row>
    <row r="74" spans="1:11" s="1" customFormat="1">
      <c r="A74" s="9"/>
      <c r="B74" s="9"/>
      <c r="C74" s="10"/>
      <c r="D74" s="16">
        <f>104.99+90</f>
        <v>194.99</v>
      </c>
      <c r="E74" s="17" t="s">
        <v>14</v>
      </c>
      <c r="F74" s="26"/>
      <c r="G74" s="22"/>
      <c r="H74" s="30">
        <f>308.7+370.62+184.8</f>
        <v>864.11999999999989</v>
      </c>
      <c r="I74" s="6" t="s">
        <v>45</v>
      </c>
      <c r="K74" s="38"/>
    </row>
    <row r="75" spans="1:11" s="1" customFormat="1">
      <c r="A75" s="10"/>
      <c r="B75" s="13"/>
      <c r="C75" s="9"/>
      <c r="D75" s="16">
        <f>26.9</f>
        <v>26.9</v>
      </c>
      <c r="E75" s="17" t="s">
        <v>29</v>
      </c>
      <c r="F75" s="26"/>
      <c r="G75" s="22"/>
      <c r="H75" s="30">
        <f>8.28</f>
        <v>8.2799999999999994</v>
      </c>
      <c r="I75" s="6" t="s">
        <v>15</v>
      </c>
      <c r="K75" s="38"/>
    </row>
    <row r="76" spans="1:11" s="1" customFormat="1">
      <c r="A76" s="9"/>
      <c r="B76" s="9"/>
      <c r="C76" s="9"/>
      <c r="D76" s="16"/>
      <c r="E76" s="17"/>
      <c r="F76" s="26"/>
      <c r="G76" s="22"/>
      <c r="H76" s="30"/>
      <c r="I76" s="2"/>
      <c r="K76" s="4"/>
    </row>
    <row r="77" spans="1:11" s="1" customFormat="1">
      <c r="A77" s="11" t="s">
        <v>4</v>
      </c>
      <c r="B77" s="10"/>
      <c r="C77" s="10"/>
      <c r="D77" s="18">
        <f>SUM(D69:D76)</f>
        <v>480.77</v>
      </c>
      <c r="E77" s="6"/>
      <c r="F77" s="27">
        <f>SUM(F69:F76)</f>
        <v>219.77</v>
      </c>
      <c r="G77" s="23"/>
      <c r="H77" s="31">
        <f>SUM(H69:H76)</f>
        <v>4932.2599999999993</v>
      </c>
      <c r="I77" s="2"/>
    </row>
    <row r="78" spans="1:11" s="1" customFormat="1" ht="15.75" thickBot="1">
      <c r="A78" s="12" t="s">
        <v>5</v>
      </c>
      <c r="B78" s="34">
        <f>SUM(D77+F77+H77)</f>
        <v>5632.7999999999993</v>
      </c>
      <c r="C78" s="33"/>
      <c r="D78" s="19"/>
      <c r="E78" s="20"/>
      <c r="F78" s="28"/>
      <c r="G78" s="24"/>
      <c r="H78" s="32"/>
      <c r="I78" s="3"/>
    </row>
    <row r="79" spans="1:11" s="1" customFormat="1">
      <c r="A79" s="8" t="s">
        <v>108</v>
      </c>
      <c r="B79" s="8" t="s">
        <v>105</v>
      </c>
      <c r="C79" s="8" t="s">
        <v>66</v>
      </c>
      <c r="D79" s="14">
        <f>88.98+67.47+15</f>
        <v>171.45</v>
      </c>
      <c r="E79" s="15" t="s">
        <v>107</v>
      </c>
      <c r="F79" s="25"/>
      <c r="G79" s="21"/>
      <c r="H79" s="29">
        <f>1952.51+284.88</f>
        <v>2237.39</v>
      </c>
      <c r="I79" s="5" t="s">
        <v>67</v>
      </c>
    </row>
    <row r="80" spans="1:11" s="1" customFormat="1">
      <c r="A80" s="10"/>
      <c r="B80" s="37" t="s">
        <v>106</v>
      </c>
      <c r="C80" s="9"/>
      <c r="D80" s="16">
        <f>35.5+21.83+63</f>
        <v>120.33</v>
      </c>
      <c r="E80" s="17" t="s">
        <v>14</v>
      </c>
      <c r="F80" s="26"/>
      <c r="G80" s="22"/>
      <c r="H80" s="30">
        <f>229.06+444</f>
        <v>673.06</v>
      </c>
      <c r="I80" s="6" t="s">
        <v>45</v>
      </c>
    </row>
    <row r="81" spans="1:11" s="1" customFormat="1">
      <c r="A81" s="9"/>
      <c r="B81" s="9" t="s">
        <v>109</v>
      </c>
      <c r="C81" s="10"/>
      <c r="D81" s="16">
        <f>6.84+39.99</f>
        <v>46.83</v>
      </c>
      <c r="E81" s="17" t="s">
        <v>29</v>
      </c>
      <c r="F81" s="26"/>
      <c r="G81" s="22"/>
      <c r="H81" s="30">
        <f>34.98+14.94</f>
        <v>49.919999999999995</v>
      </c>
      <c r="I81" s="6" t="s">
        <v>15</v>
      </c>
      <c r="K81" s="38"/>
    </row>
    <row r="82" spans="1:11" s="1" customFormat="1">
      <c r="A82" s="9"/>
      <c r="B82" s="9"/>
      <c r="C82" s="10"/>
      <c r="D82" s="16"/>
      <c r="E82" s="17"/>
      <c r="F82" s="26"/>
      <c r="G82" s="22"/>
      <c r="H82" s="30"/>
      <c r="I82" s="6"/>
      <c r="K82" s="38"/>
    </row>
    <row r="83" spans="1:11" s="1" customFormat="1">
      <c r="A83" s="9"/>
      <c r="B83" s="9"/>
      <c r="C83" s="10"/>
      <c r="D83" s="16"/>
      <c r="E83" s="17"/>
      <c r="F83" s="26"/>
      <c r="G83" s="22"/>
      <c r="H83" s="30"/>
      <c r="I83" s="6"/>
      <c r="K83" s="38"/>
    </row>
    <row r="84" spans="1:11" s="1" customFormat="1">
      <c r="A84" s="9"/>
      <c r="B84" s="9"/>
      <c r="C84" s="10"/>
      <c r="D84" s="16"/>
      <c r="E84" s="17"/>
      <c r="F84" s="26"/>
      <c r="G84" s="22"/>
      <c r="H84" s="30"/>
      <c r="I84" s="6"/>
      <c r="K84" s="38"/>
    </row>
    <row r="85" spans="1:11" s="1" customFormat="1">
      <c r="A85" s="10"/>
      <c r="B85" s="13"/>
      <c r="C85" s="9"/>
      <c r="D85" s="16"/>
      <c r="E85" s="17"/>
      <c r="F85" s="26"/>
      <c r="G85" s="22"/>
      <c r="H85" s="30"/>
      <c r="I85" s="6"/>
      <c r="K85" s="38"/>
    </row>
    <row r="86" spans="1:11" s="1" customFormat="1">
      <c r="A86" s="9"/>
      <c r="B86" s="9"/>
      <c r="C86" s="9"/>
      <c r="D86" s="16"/>
      <c r="E86" s="17"/>
      <c r="F86" s="26"/>
      <c r="G86" s="22"/>
      <c r="H86" s="30"/>
      <c r="I86" s="2"/>
      <c r="K86" s="4"/>
    </row>
    <row r="87" spans="1:11" s="1" customFormat="1">
      <c r="A87" s="11" t="s">
        <v>4</v>
      </c>
      <c r="B87" s="10"/>
      <c r="C87" s="10"/>
      <c r="D87" s="18">
        <f>SUM(D79:D86)</f>
        <v>338.60999999999996</v>
      </c>
      <c r="E87" s="6"/>
      <c r="F87" s="27">
        <f>SUM(F79:F86)</f>
        <v>0</v>
      </c>
      <c r="G87" s="23"/>
      <c r="H87" s="31">
        <f>SUM(H79:H86)</f>
        <v>2960.37</v>
      </c>
      <c r="I87" s="2"/>
    </row>
    <row r="88" spans="1:11" s="1" customFormat="1" ht="15.75" thickBot="1">
      <c r="A88" s="12" t="s">
        <v>5</v>
      </c>
      <c r="B88" s="34">
        <f>SUM(D87+F87+H87)</f>
        <v>3298.98</v>
      </c>
      <c r="C88" s="33"/>
      <c r="D88" s="19"/>
      <c r="E88" s="20"/>
      <c r="F88" s="28"/>
      <c r="G88" s="24"/>
      <c r="H88" s="32"/>
      <c r="I88" s="3"/>
    </row>
    <row r="89" spans="1:11" s="1" customFormat="1">
      <c r="A89" s="8" t="s">
        <v>93</v>
      </c>
      <c r="B89" s="8" t="s">
        <v>55</v>
      </c>
      <c r="C89" s="8" t="s">
        <v>11</v>
      </c>
      <c r="D89" s="14">
        <f>41.21+190.29</f>
        <v>231.5</v>
      </c>
      <c r="E89" s="15" t="s">
        <v>16</v>
      </c>
      <c r="F89" s="25"/>
      <c r="G89" s="21" t="s">
        <v>50</v>
      </c>
      <c r="H89" s="29">
        <f>650.27</f>
        <v>650.27</v>
      </c>
      <c r="I89" s="5" t="s">
        <v>67</v>
      </c>
    </row>
    <row r="90" spans="1:11" s="1" customFormat="1">
      <c r="A90" s="10"/>
      <c r="B90" s="37" t="s">
        <v>94</v>
      </c>
      <c r="C90" s="9"/>
      <c r="D90" s="16">
        <f>13.16</f>
        <v>13.16</v>
      </c>
      <c r="E90" s="17" t="s">
        <v>14</v>
      </c>
      <c r="F90" s="26"/>
      <c r="G90" s="22" t="s">
        <v>31</v>
      </c>
      <c r="H90" s="30">
        <f>250.92</f>
        <v>250.92</v>
      </c>
      <c r="I90" s="6" t="s">
        <v>45</v>
      </c>
    </row>
    <row r="91" spans="1:11" s="1" customFormat="1">
      <c r="A91" s="9"/>
      <c r="B91" s="9"/>
      <c r="C91" s="10"/>
      <c r="D91" s="16">
        <f>11.01</f>
        <v>11.01</v>
      </c>
      <c r="E91" s="17" t="s">
        <v>29</v>
      </c>
      <c r="F91" s="26"/>
      <c r="G91" s="22" t="s">
        <v>32</v>
      </c>
      <c r="H91" s="30">
        <f>20.65</f>
        <v>20.65</v>
      </c>
      <c r="I91" s="6" t="s">
        <v>15</v>
      </c>
      <c r="K91" s="38"/>
    </row>
    <row r="92" spans="1:11" s="1" customFormat="1">
      <c r="A92" s="9"/>
      <c r="B92" s="9"/>
      <c r="C92" s="10"/>
      <c r="D92" s="16"/>
      <c r="E92" s="17"/>
      <c r="F92" s="26"/>
      <c r="G92" s="22"/>
      <c r="H92" s="30"/>
      <c r="I92" s="6"/>
      <c r="K92" s="38"/>
    </row>
    <row r="93" spans="1:11" s="1" customFormat="1">
      <c r="A93" s="9"/>
      <c r="B93" s="9"/>
      <c r="C93" s="10" t="s">
        <v>12</v>
      </c>
      <c r="D93" s="16">
        <f>46.59</f>
        <v>46.59</v>
      </c>
      <c r="E93" s="17" t="s">
        <v>14</v>
      </c>
      <c r="F93" s="26"/>
      <c r="G93" s="22"/>
      <c r="H93" s="30">
        <f>650.27</f>
        <v>650.27</v>
      </c>
      <c r="I93" s="6" t="s">
        <v>67</v>
      </c>
      <c r="K93" s="38"/>
    </row>
    <row r="94" spans="1:11" s="1" customFormat="1">
      <c r="A94" s="9"/>
      <c r="B94" s="9"/>
      <c r="C94" s="10"/>
      <c r="D94" s="16">
        <v>163.82</v>
      </c>
      <c r="E94" s="17" t="s">
        <v>101</v>
      </c>
      <c r="F94" s="26"/>
      <c r="G94" s="22"/>
      <c r="H94" s="30">
        <v>250.92</v>
      </c>
      <c r="I94" s="6" t="s">
        <v>45</v>
      </c>
      <c r="K94" s="38"/>
    </row>
    <row r="95" spans="1:11" s="1" customFormat="1">
      <c r="A95" s="9"/>
      <c r="B95" s="9"/>
      <c r="C95" s="10"/>
      <c r="D95" s="16"/>
      <c r="E95" s="17"/>
      <c r="F95" s="26"/>
      <c r="G95" s="22"/>
      <c r="H95" s="30">
        <v>24.14</v>
      </c>
      <c r="I95" s="6" t="s">
        <v>15</v>
      </c>
      <c r="K95" s="38"/>
    </row>
    <row r="96" spans="1:11" s="1" customFormat="1">
      <c r="A96" s="9"/>
      <c r="B96" s="9"/>
      <c r="C96" s="9"/>
      <c r="D96" s="16"/>
      <c r="E96" s="17"/>
      <c r="F96" s="26"/>
      <c r="G96" s="22"/>
      <c r="H96" s="30"/>
      <c r="I96" s="2"/>
      <c r="K96" s="4"/>
    </row>
    <row r="97" spans="1:11" s="1" customFormat="1">
      <c r="A97" s="11" t="s">
        <v>4</v>
      </c>
      <c r="B97" s="10"/>
      <c r="C97" s="10"/>
      <c r="D97" s="18">
        <f>SUM(D89:D96)</f>
        <v>466.08</v>
      </c>
      <c r="E97" s="6"/>
      <c r="F97" s="27">
        <f>SUM(F89:F96)</f>
        <v>0</v>
      </c>
      <c r="G97" s="23"/>
      <c r="H97" s="31">
        <f>SUM(H89:H96)</f>
        <v>1847.17</v>
      </c>
      <c r="I97" s="2"/>
    </row>
    <row r="98" spans="1:11" s="1" customFormat="1" ht="15.75" thickBot="1">
      <c r="A98" s="12" t="s">
        <v>5</v>
      </c>
      <c r="B98" s="34">
        <f>SUM(D97+F97+H97)</f>
        <v>2313.25</v>
      </c>
      <c r="C98" s="33"/>
      <c r="D98" s="19"/>
      <c r="E98" s="20"/>
      <c r="F98" s="28"/>
      <c r="G98" s="24"/>
      <c r="H98" s="32"/>
      <c r="I98" s="3"/>
    </row>
    <row r="99" spans="1:11" s="1" customFormat="1">
      <c r="A99" s="8" t="s">
        <v>90</v>
      </c>
      <c r="B99" s="8" t="s">
        <v>79</v>
      </c>
      <c r="C99" s="8" t="s">
        <v>20</v>
      </c>
      <c r="D99" s="14">
        <f>31.2</f>
        <v>31.2</v>
      </c>
      <c r="E99" s="15" t="s">
        <v>16</v>
      </c>
      <c r="F99" s="25">
        <f>5.85</f>
        <v>5.85</v>
      </c>
      <c r="G99" s="21" t="s">
        <v>50</v>
      </c>
      <c r="H99" s="29">
        <v>267.14</v>
      </c>
      <c r="I99" s="5" t="s">
        <v>67</v>
      </c>
    </row>
    <row r="100" spans="1:11" s="1" customFormat="1">
      <c r="A100" s="10"/>
      <c r="B100" s="37" t="s">
        <v>27</v>
      </c>
      <c r="C100" s="9"/>
      <c r="D100" s="16">
        <f>20</f>
        <v>20</v>
      </c>
      <c r="E100" s="17" t="s">
        <v>14</v>
      </c>
      <c r="F100" s="26">
        <f>1.5</f>
        <v>1.5</v>
      </c>
      <c r="G100" s="22" t="s">
        <v>31</v>
      </c>
      <c r="H100" s="30"/>
      <c r="I100" s="6"/>
    </row>
    <row r="101" spans="1:11" s="1" customFormat="1">
      <c r="A101" s="9"/>
      <c r="B101" s="9"/>
      <c r="C101" s="10"/>
      <c r="D101" s="16"/>
      <c r="E101" s="17"/>
      <c r="F101" s="26">
        <f>11</f>
        <v>11</v>
      </c>
      <c r="G101" s="22" t="s">
        <v>32</v>
      </c>
      <c r="H101" s="30">
        <v>3</v>
      </c>
      <c r="I101" s="6" t="s">
        <v>15</v>
      </c>
      <c r="K101" s="38"/>
    </row>
    <row r="102" spans="1:11" s="1" customFormat="1">
      <c r="A102" s="9"/>
      <c r="B102" s="9"/>
      <c r="C102" s="9"/>
      <c r="D102" s="16"/>
      <c r="E102" s="17"/>
      <c r="F102" s="26"/>
      <c r="G102" s="22"/>
      <c r="H102" s="30"/>
      <c r="I102" s="2"/>
      <c r="K102" s="4"/>
    </row>
    <row r="103" spans="1:11" s="1" customFormat="1">
      <c r="A103" s="11" t="s">
        <v>4</v>
      </c>
      <c r="B103" s="10"/>
      <c r="C103" s="10"/>
      <c r="D103" s="18">
        <f>SUM(D99:D102)</f>
        <v>51.2</v>
      </c>
      <c r="E103" s="6"/>
      <c r="F103" s="27">
        <f>SUM(F99:F102)</f>
        <v>18.350000000000001</v>
      </c>
      <c r="G103" s="23"/>
      <c r="H103" s="31">
        <f>SUM(H99:H102)</f>
        <v>270.14</v>
      </c>
      <c r="I103" s="2"/>
    </row>
    <row r="104" spans="1:11" s="1" customFormat="1" ht="15.75" thickBot="1">
      <c r="A104" s="12" t="s">
        <v>5</v>
      </c>
      <c r="B104" s="34">
        <f>SUM(D103+F103+H103)</f>
        <v>339.69</v>
      </c>
      <c r="C104" s="33"/>
      <c r="D104" s="19"/>
      <c r="E104" s="20"/>
      <c r="F104" s="28"/>
      <c r="G104" s="24"/>
      <c r="H104" s="32"/>
      <c r="I104" s="3"/>
    </row>
    <row r="105" spans="1:11" s="1" customFormat="1">
      <c r="A105" s="8" t="s">
        <v>85</v>
      </c>
      <c r="B105" s="8" t="s">
        <v>86</v>
      </c>
      <c r="C105" s="8" t="s">
        <v>65</v>
      </c>
      <c r="D105" s="14">
        <f>79.91</f>
        <v>79.91</v>
      </c>
      <c r="E105" s="15" t="s">
        <v>112</v>
      </c>
      <c r="F105" s="25">
        <f>232.4</f>
        <v>232.4</v>
      </c>
      <c r="G105" s="21" t="s">
        <v>42</v>
      </c>
      <c r="H105" s="29">
        <f>115.37</f>
        <v>115.37</v>
      </c>
      <c r="I105" s="5" t="s">
        <v>67</v>
      </c>
    </row>
    <row r="106" spans="1:11" s="1" customFormat="1">
      <c r="A106" s="10"/>
      <c r="B106" s="37" t="s">
        <v>87</v>
      </c>
      <c r="C106" s="9"/>
      <c r="D106" s="16">
        <f>401.49</f>
        <v>401.49</v>
      </c>
      <c r="E106" s="17" t="s">
        <v>14</v>
      </c>
      <c r="F106" s="26">
        <f>76</f>
        <v>76</v>
      </c>
      <c r="G106" s="22" t="s">
        <v>43</v>
      </c>
      <c r="H106" s="30">
        <f>427.48</f>
        <v>427.48</v>
      </c>
      <c r="I106" s="6" t="s">
        <v>45</v>
      </c>
    </row>
    <row r="107" spans="1:11" s="1" customFormat="1">
      <c r="A107" s="9"/>
      <c r="B107" s="9"/>
      <c r="C107" s="10"/>
      <c r="D107" s="16">
        <f>50</f>
        <v>50</v>
      </c>
      <c r="E107" s="17" t="s">
        <v>29</v>
      </c>
      <c r="F107" s="26"/>
      <c r="G107" s="22"/>
      <c r="H107" s="30">
        <f>8.52</f>
        <v>8.52</v>
      </c>
      <c r="I107" s="6" t="s">
        <v>15</v>
      </c>
      <c r="K107" s="38"/>
    </row>
    <row r="108" spans="1:11" s="1" customFormat="1">
      <c r="A108" s="10"/>
      <c r="B108" s="13"/>
      <c r="C108" s="9"/>
      <c r="D108" s="16"/>
      <c r="E108" s="17"/>
      <c r="F108" s="26"/>
      <c r="G108" s="22"/>
      <c r="H108" s="30"/>
      <c r="I108" s="6"/>
      <c r="K108" s="38"/>
    </row>
    <row r="109" spans="1:11" s="1" customFormat="1">
      <c r="A109" s="10"/>
      <c r="B109" s="13"/>
      <c r="C109" s="9" t="s">
        <v>57</v>
      </c>
      <c r="D109" s="16">
        <f>67+118.8</f>
        <v>185.8</v>
      </c>
      <c r="E109" s="17" t="s">
        <v>16</v>
      </c>
      <c r="F109" s="26">
        <f>41.24</f>
        <v>41.24</v>
      </c>
      <c r="G109" s="22" t="s">
        <v>97</v>
      </c>
      <c r="H109" s="30">
        <f>186.55</f>
        <v>186.55</v>
      </c>
      <c r="I109" s="6" t="s">
        <v>67</v>
      </c>
      <c r="K109" s="38"/>
    </row>
    <row r="110" spans="1:11" s="1" customFormat="1">
      <c r="A110" s="10"/>
      <c r="B110" s="13"/>
      <c r="C110" s="9"/>
      <c r="D110" s="16">
        <f>44.3+13.33</f>
        <v>57.629999999999995</v>
      </c>
      <c r="E110" s="17" t="s">
        <v>14</v>
      </c>
      <c r="F110" s="26"/>
      <c r="G110" s="22"/>
      <c r="H110" s="30">
        <f>427.48</f>
        <v>427.48</v>
      </c>
      <c r="I110" s="6" t="s">
        <v>45</v>
      </c>
    </row>
    <row r="111" spans="1:11" s="1" customFormat="1">
      <c r="A111" s="10"/>
      <c r="B111" s="13"/>
      <c r="C111" s="9"/>
      <c r="D111" s="16">
        <f>65+73.7</f>
        <v>138.69999999999999</v>
      </c>
      <c r="E111" s="17" t="s">
        <v>29</v>
      </c>
      <c r="F111" s="26"/>
      <c r="G111" s="22"/>
      <c r="H111" s="30"/>
      <c r="I111" s="6"/>
    </row>
    <row r="112" spans="1:11" s="1" customFormat="1">
      <c r="A112" s="9"/>
      <c r="B112" s="9"/>
      <c r="C112" s="9"/>
      <c r="D112" s="16"/>
      <c r="E112" s="17"/>
      <c r="F112" s="26"/>
      <c r="G112" s="22"/>
      <c r="H112" s="30"/>
      <c r="I112" s="2"/>
      <c r="K112" s="4"/>
    </row>
    <row r="113" spans="1:11" s="1" customFormat="1">
      <c r="A113" s="11" t="s">
        <v>4</v>
      </c>
      <c r="B113" s="10"/>
      <c r="C113" s="10"/>
      <c r="D113" s="18">
        <f>SUM(D105:D112)</f>
        <v>913.53</v>
      </c>
      <c r="E113" s="6"/>
      <c r="F113" s="27">
        <f>SUM(F105:F112)</f>
        <v>349.64</v>
      </c>
      <c r="G113" s="23"/>
      <c r="H113" s="31">
        <f>SUM(H105:H112)</f>
        <v>1165.4000000000001</v>
      </c>
      <c r="I113" s="2"/>
    </row>
    <row r="114" spans="1:11" s="1" customFormat="1" ht="15.75" thickBot="1">
      <c r="A114" s="12" t="s">
        <v>5</v>
      </c>
      <c r="B114" s="34">
        <f>SUM(D113+F113+H113)</f>
        <v>2428.5700000000002</v>
      </c>
      <c r="C114" s="33"/>
      <c r="D114" s="19"/>
      <c r="E114" s="20"/>
      <c r="F114" s="28"/>
      <c r="G114" s="24"/>
      <c r="H114" s="32"/>
      <c r="I114" s="3"/>
    </row>
    <row r="115" spans="1:11" ht="15.75" thickBot="1"/>
    <row r="116" spans="1:11" ht="20.25" thickBot="1">
      <c r="A116" s="35" t="s">
        <v>8</v>
      </c>
      <c r="B116" s="36">
        <f>SUM(B8,B16,B30,B40,B48,B58,B68,B78,B88,B98,B104,B114)</f>
        <v>34316.11</v>
      </c>
      <c r="J116" s="1"/>
      <c r="K116" s="40"/>
    </row>
    <row r="117" spans="1:11">
      <c r="J117" s="1"/>
      <c r="K117" s="40"/>
    </row>
    <row r="118" spans="1:11">
      <c r="J118" s="1"/>
      <c r="K118" s="40"/>
    </row>
    <row r="119" spans="1:11">
      <c r="J119" s="1"/>
      <c r="K119" s="40"/>
    </row>
    <row r="120" spans="1:11">
      <c r="J120" s="1"/>
      <c r="K120" s="40"/>
    </row>
    <row r="121" spans="1:11">
      <c r="J121" s="1"/>
      <c r="K121" s="41"/>
    </row>
    <row r="122" spans="1:11">
      <c r="J122" s="1"/>
      <c r="K122" s="40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0"/>
  <sheetViews>
    <sheetView topLeftCell="A49" workbookViewId="0">
      <selection activeCell="E9" sqref="E9"/>
    </sheetView>
  </sheetViews>
  <sheetFormatPr defaultRowHeight="15"/>
  <cols>
    <col min="1" max="1" width="17.7109375" customWidth="1"/>
    <col min="2" max="2" width="29.14062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1" max="11" width="9.7109375" bestFit="1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46" t="s">
        <v>7</v>
      </c>
      <c r="E1" s="47"/>
      <c r="F1" s="48" t="s">
        <v>6</v>
      </c>
      <c r="G1" s="49"/>
      <c r="H1" s="48" t="s">
        <v>3</v>
      </c>
      <c r="I1" s="49"/>
    </row>
    <row r="2" spans="1:11" s="1" customFormat="1">
      <c r="A2" s="43" t="s">
        <v>137</v>
      </c>
      <c r="B2" s="8" t="s">
        <v>34</v>
      </c>
      <c r="C2" s="8" t="s">
        <v>70</v>
      </c>
      <c r="D2" s="14">
        <f>167.53</f>
        <v>167.53</v>
      </c>
      <c r="E2" s="15" t="s">
        <v>16</v>
      </c>
      <c r="F2" s="25"/>
      <c r="G2" s="21"/>
      <c r="H2" s="29">
        <f>1232.06</f>
        <v>1232.06</v>
      </c>
      <c r="I2" s="5" t="s">
        <v>67</v>
      </c>
    </row>
    <row r="3" spans="1:11" s="1" customFormat="1">
      <c r="A3" s="10"/>
      <c r="B3" s="37" t="s">
        <v>99</v>
      </c>
      <c r="C3" s="9"/>
      <c r="D3" s="16">
        <f>117.4+70.68</f>
        <v>188.08</v>
      </c>
      <c r="E3" s="17" t="s">
        <v>14</v>
      </c>
      <c r="F3" s="26"/>
      <c r="G3" s="22"/>
      <c r="H3" s="30">
        <f>684.7</f>
        <v>684.7</v>
      </c>
      <c r="I3" s="6" t="s">
        <v>45</v>
      </c>
    </row>
    <row r="4" spans="1:11" s="1" customFormat="1">
      <c r="A4" s="9"/>
      <c r="B4" s="9"/>
      <c r="C4" s="10"/>
      <c r="D4" s="16"/>
      <c r="E4" s="17"/>
      <c r="F4" s="26"/>
      <c r="G4" s="22"/>
      <c r="H4" s="30">
        <v>106.65</v>
      </c>
      <c r="I4" s="6" t="s">
        <v>15</v>
      </c>
      <c r="K4" s="38"/>
    </row>
    <row r="5" spans="1:11" s="1" customFormat="1">
      <c r="A5" s="9"/>
      <c r="B5" s="9"/>
      <c r="C5" s="10"/>
      <c r="D5" s="16"/>
      <c r="E5" s="17"/>
      <c r="F5" s="26"/>
      <c r="G5" s="22"/>
      <c r="H5" s="30"/>
      <c r="I5" s="6"/>
      <c r="K5" s="38"/>
    </row>
    <row r="6" spans="1:11" s="1" customFormat="1">
      <c r="A6" s="10"/>
      <c r="B6" s="13"/>
      <c r="C6" s="9" t="s">
        <v>75</v>
      </c>
      <c r="D6" s="16">
        <f>21.93</f>
        <v>21.93</v>
      </c>
      <c r="E6" s="17" t="s">
        <v>16</v>
      </c>
      <c r="F6" s="26"/>
      <c r="G6" s="22"/>
      <c r="H6" s="30">
        <v>100</v>
      </c>
      <c r="I6" s="6" t="s">
        <v>45</v>
      </c>
      <c r="K6" s="38"/>
    </row>
    <row r="7" spans="1:11" s="1" customFormat="1">
      <c r="A7" s="9"/>
      <c r="B7" s="9"/>
      <c r="C7" s="9" t="s">
        <v>131</v>
      </c>
      <c r="D7" s="16">
        <f>58.5</f>
        <v>58.5</v>
      </c>
      <c r="E7" s="17" t="s">
        <v>14</v>
      </c>
      <c r="F7" s="26"/>
      <c r="G7" s="22"/>
      <c r="H7" s="30">
        <f>116+86</f>
        <v>202</v>
      </c>
      <c r="I7" s="2" t="s">
        <v>32</v>
      </c>
      <c r="K7" s="4"/>
    </row>
    <row r="8" spans="1:11" s="1" customFormat="1">
      <c r="A8" s="9"/>
      <c r="B8" s="9"/>
      <c r="C8" s="9"/>
      <c r="D8" s="16">
        <v>50</v>
      </c>
      <c r="E8" s="17" t="s">
        <v>142</v>
      </c>
      <c r="F8" s="26"/>
      <c r="G8" s="22"/>
      <c r="H8" s="30">
        <v>13</v>
      </c>
      <c r="I8" s="2" t="s">
        <v>15</v>
      </c>
      <c r="K8" s="4"/>
    </row>
    <row r="9" spans="1:11" s="1" customFormat="1">
      <c r="A9" s="9"/>
      <c r="B9" s="9"/>
      <c r="C9" s="9"/>
      <c r="D9" s="16"/>
      <c r="E9" s="17"/>
      <c r="F9" s="26"/>
      <c r="G9" s="22"/>
      <c r="H9" s="30"/>
      <c r="I9" s="2"/>
      <c r="K9" s="4"/>
    </row>
    <row r="10" spans="1:11" s="1" customFormat="1">
      <c r="A10" s="11" t="s">
        <v>4</v>
      </c>
      <c r="B10" s="10"/>
      <c r="C10" s="10"/>
      <c r="D10" s="18">
        <f>SUM(D2:D7)</f>
        <v>436.04</v>
      </c>
      <c r="E10" s="6"/>
      <c r="F10" s="27">
        <f>SUM(F2:F7)</f>
        <v>0</v>
      </c>
      <c r="G10" s="23"/>
      <c r="H10" s="31">
        <f>SUM(H2:H7)</f>
        <v>2325.41</v>
      </c>
      <c r="I10" s="2"/>
    </row>
    <row r="11" spans="1:11" s="1" customFormat="1" ht="15.75" thickBot="1">
      <c r="A11" s="12" t="s">
        <v>5</v>
      </c>
      <c r="B11" s="34">
        <f>SUM(D10+F10+H10)</f>
        <v>2761.45</v>
      </c>
      <c r="C11" s="33"/>
      <c r="D11" s="19"/>
      <c r="E11" s="20"/>
      <c r="F11" s="28"/>
      <c r="G11" s="24"/>
      <c r="H11" s="32"/>
      <c r="I11" s="3"/>
    </row>
    <row r="12" spans="1:11" s="1" customFormat="1">
      <c r="A12" s="43" t="s">
        <v>118</v>
      </c>
      <c r="B12" s="8" t="s">
        <v>119</v>
      </c>
      <c r="C12" s="8" t="s">
        <v>20</v>
      </c>
      <c r="D12" s="14">
        <f>59.05+53.36+113.87</f>
        <v>226.28</v>
      </c>
      <c r="E12" s="15" t="s">
        <v>16</v>
      </c>
      <c r="F12" s="25">
        <v>3.9</v>
      </c>
      <c r="G12" s="21" t="s">
        <v>50</v>
      </c>
      <c r="H12" s="29">
        <f>1558.38</f>
        <v>1558.38</v>
      </c>
      <c r="I12" s="5" t="s">
        <v>67</v>
      </c>
    </row>
    <row r="13" spans="1:11" s="1" customFormat="1">
      <c r="A13" s="10"/>
      <c r="B13" s="37" t="s">
        <v>19</v>
      </c>
      <c r="C13" s="9"/>
      <c r="D13" s="16">
        <f>7.6+98.53+75.62</f>
        <v>181.75</v>
      </c>
      <c r="E13" s="17" t="s">
        <v>14</v>
      </c>
      <c r="F13" s="26">
        <v>2.4500000000000002</v>
      </c>
      <c r="G13" s="22" t="s">
        <v>43</v>
      </c>
      <c r="H13" s="30"/>
      <c r="I13" s="6"/>
    </row>
    <row r="14" spans="1:11" s="1" customFormat="1">
      <c r="A14" s="9"/>
      <c r="B14" s="9" t="s">
        <v>106</v>
      </c>
      <c r="C14" s="10"/>
      <c r="D14" s="16">
        <f>57.81+10.59</f>
        <v>68.400000000000006</v>
      </c>
      <c r="E14" s="17" t="s">
        <v>29</v>
      </c>
      <c r="F14" s="26">
        <f>14.4</f>
        <v>14.4</v>
      </c>
      <c r="G14" s="22" t="s">
        <v>32</v>
      </c>
      <c r="H14" s="30">
        <f>74.32</f>
        <v>74.319999999999993</v>
      </c>
      <c r="I14" s="6" t="s">
        <v>15</v>
      </c>
      <c r="K14" s="38"/>
    </row>
    <row r="15" spans="1:11" s="1" customFormat="1">
      <c r="A15" s="10"/>
      <c r="B15" s="13"/>
      <c r="C15" s="9"/>
      <c r="D15" s="16"/>
      <c r="E15" s="17"/>
      <c r="F15" s="26">
        <f>3</f>
        <v>3</v>
      </c>
      <c r="G15" s="22" t="s">
        <v>31</v>
      </c>
      <c r="H15" s="30"/>
      <c r="I15" s="6"/>
      <c r="K15" s="38"/>
    </row>
    <row r="16" spans="1:11" s="1" customFormat="1">
      <c r="A16" s="10"/>
      <c r="B16" s="13"/>
      <c r="C16" s="9"/>
      <c r="D16" s="16"/>
      <c r="E16" s="17"/>
      <c r="F16" s="26"/>
      <c r="G16" s="22"/>
      <c r="H16" s="30"/>
      <c r="I16" s="6"/>
      <c r="K16" s="38"/>
    </row>
    <row r="17" spans="1:11" s="1" customFormat="1">
      <c r="A17" s="10"/>
      <c r="B17" s="13"/>
      <c r="C17" s="9" t="s">
        <v>77</v>
      </c>
      <c r="D17" s="16"/>
      <c r="E17" s="17"/>
      <c r="F17" s="26"/>
      <c r="G17" s="22"/>
      <c r="H17" s="30">
        <f>380.32</f>
        <v>380.32</v>
      </c>
      <c r="I17" s="6" t="s">
        <v>67</v>
      </c>
      <c r="K17" s="38"/>
    </row>
    <row r="18" spans="1:11" s="1" customFormat="1">
      <c r="A18" s="9"/>
      <c r="B18" s="9"/>
      <c r="C18" s="9"/>
      <c r="D18" s="16"/>
      <c r="E18" s="17"/>
      <c r="F18" s="26"/>
      <c r="G18" s="22"/>
      <c r="H18" s="30"/>
      <c r="I18" s="2"/>
      <c r="K18" s="4"/>
    </row>
    <row r="19" spans="1:11" s="1" customFormat="1">
      <c r="A19" s="11" t="s">
        <v>4</v>
      </c>
      <c r="B19" s="10"/>
      <c r="C19" s="10"/>
      <c r="D19" s="18">
        <f>SUM(D12:D18)</f>
        <v>476.42999999999995</v>
      </c>
      <c r="E19" s="6"/>
      <c r="F19" s="27">
        <f>SUM(F12:F18)</f>
        <v>23.75</v>
      </c>
      <c r="G19" s="23"/>
      <c r="H19" s="31">
        <f>SUM(H12:H18)</f>
        <v>2013.02</v>
      </c>
      <c r="I19" s="2"/>
    </row>
    <row r="20" spans="1:11" s="1" customFormat="1" ht="15.75" thickBot="1">
      <c r="A20" s="12" t="s">
        <v>5</v>
      </c>
      <c r="B20" s="34">
        <f>SUM(D19+F19+H19)</f>
        <v>2513.1999999999998</v>
      </c>
      <c r="C20" s="33"/>
      <c r="D20" s="19"/>
      <c r="E20" s="20"/>
      <c r="F20" s="28"/>
      <c r="G20" s="24"/>
      <c r="H20" s="32"/>
      <c r="I20" s="3"/>
    </row>
    <row r="21" spans="1:11" s="1" customFormat="1">
      <c r="A21" s="43" t="s">
        <v>122</v>
      </c>
      <c r="B21" s="8" t="s">
        <v>123</v>
      </c>
      <c r="C21" s="8" t="s">
        <v>65</v>
      </c>
      <c r="D21" s="14">
        <f>287.66</f>
        <v>287.66000000000003</v>
      </c>
      <c r="E21" s="15" t="s">
        <v>16</v>
      </c>
      <c r="F21" s="25">
        <f>92.6</f>
        <v>92.6</v>
      </c>
      <c r="G21" s="21" t="s">
        <v>43</v>
      </c>
      <c r="H21" s="29">
        <v>725.78</v>
      </c>
      <c r="I21" s="5" t="s">
        <v>67</v>
      </c>
    </row>
    <row r="22" spans="1:11" s="1" customFormat="1">
      <c r="A22" s="10"/>
      <c r="B22" s="37" t="s">
        <v>124</v>
      </c>
      <c r="C22" s="9"/>
      <c r="D22" s="16">
        <f>30+13.01</f>
        <v>43.01</v>
      </c>
      <c r="E22" s="17" t="s">
        <v>14</v>
      </c>
      <c r="F22" s="26">
        <f>116.2</f>
        <v>116.2</v>
      </c>
      <c r="G22" s="22" t="s">
        <v>42</v>
      </c>
      <c r="H22" s="30">
        <v>834.81</v>
      </c>
      <c r="I22" s="6" t="s">
        <v>45</v>
      </c>
    </row>
    <row r="23" spans="1:11" s="1" customFormat="1">
      <c r="A23" s="9"/>
      <c r="B23" s="9"/>
      <c r="C23" s="10"/>
      <c r="D23" s="16">
        <f>10</f>
        <v>10</v>
      </c>
      <c r="E23" s="17" t="s">
        <v>29</v>
      </c>
      <c r="F23" s="26"/>
      <c r="G23" s="22"/>
      <c r="H23" s="30">
        <f>144.7</f>
        <v>144.69999999999999</v>
      </c>
      <c r="I23" s="6" t="s">
        <v>15</v>
      </c>
      <c r="K23" s="38"/>
    </row>
    <row r="24" spans="1:11" s="1" customFormat="1">
      <c r="A24" s="10"/>
      <c r="B24" s="13"/>
      <c r="C24" s="9"/>
      <c r="D24" s="16"/>
      <c r="E24" s="17"/>
      <c r="F24" s="26"/>
      <c r="G24" s="22"/>
      <c r="H24" s="30"/>
      <c r="I24" s="6"/>
      <c r="K24" s="38"/>
    </row>
    <row r="25" spans="1:11" s="1" customFormat="1">
      <c r="A25" s="10"/>
      <c r="B25" s="13"/>
      <c r="C25" s="9" t="s">
        <v>76</v>
      </c>
      <c r="D25" s="16">
        <f>13.9+11.3</f>
        <v>25.200000000000003</v>
      </c>
      <c r="E25" s="17" t="s">
        <v>16</v>
      </c>
      <c r="F25" s="26">
        <f>39.1</f>
        <v>39.1</v>
      </c>
      <c r="G25" s="22" t="s">
        <v>43</v>
      </c>
      <c r="H25" s="30">
        <v>725.28</v>
      </c>
      <c r="I25" s="6" t="s">
        <v>67</v>
      </c>
      <c r="K25" s="38"/>
    </row>
    <row r="26" spans="1:11" s="1" customFormat="1">
      <c r="A26" s="10"/>
      <c r="B26" s="13"/>
      <c r="C26" s="9"/>
      <c r="D26" s="16">
        <f>13.64</f>
        <v>13.64</v>
      </c>
      <c r="E26" s="17" t="s">
        <v>14</v>
      </c>
      <c r="F26" s="26">
        <f>16.22</f>
        <v>16.22</v>
      </c>
      <c r="G26" s="22" t="s">
        <v>42</v>
      </c>
      <c r="H26" s="30">
        <v>1531.23</v>
      </c>
      <c r="I26" s="6" t="s">
        <v>45</v>
      </c>
      <c r="K26" s="38"/>
    </row>
    <row r="27" spans="1:11" s="1" customFormat="1">
      <c r="A27" s="10"/>
      <c r="B27" s="13"/>
      <c r="C27" s="9"/>
      <c r="D27" s="16">
        <f>10</f>
        <v>10</v>
      </c>
      <c r="E27" s="17" t="s">
        <v>29</v>
      </c>
      <c r="F27" s="26">
        <f>5.8</f>
        <v>5.8</v>
      </c>
      <c r="G27" s="22" t="s">
        <v>50</v>
      </c>
      <c r="H27" s="30">
        <f>926.53</f>
        <v>926.53</v>
      </c>
      <c r="I27" s="6" t="s">
        <v>15</v>
      </c>
      <c r="K27" s="38"/>
    </row>
    <row r="28" spans="1:11" s="1" customFormat="1">
      <c r="A28" s="10"/>
      <c r="B28" s="13"/>
      <c r="C28" s="9"/>
      <c r="D28" s="16"/>
      <c r="E28" s="17"/>
      <c r="F28" s="26"/>
      <c r="G28" s="22"/>
      <c r="H28" s="30"/>
      <c r="I28" s="6"/>
      <c r="K28" s="38"/>
    </row>
    <row r="29" spans="1:11" s="1" customFormat="1">
      <c r="A29" s="10"/>
      <c r="B29" s="13"/>
      <c r="C29" s="9" t="s">
        <v>57</v>
      </c>
      <c r="D29" s="16">
        <f>4+90.75</f>
        <v>94.75</v>
      </c>
      <c r="E29" s="17" t="s">
        <v>107</v>
      </c>
      <c r="F29" s="26">
        <v>21</v>
      </c>
      <c r="G29" s="22" t="s">
        <v>32</v>
      </c>
      <c r="H29" s="30">
        <v>745.78</v>
      </c>
      <c r="I29" s="6" t="s">
        <v>67</v>
      </c>
      <c r="K29" s="38"/>
    </row>
    <row r="30" spans="1:11" s="1" customFormat="1">
      <c r="A30" s="10"/>
      <c r="B30" s="13"/>
      <c r="C30" s="9"/>
      <c r="D30" s="16">
        <f>17.3+34.65</f>
        <v>51.95</v>
      </c>
      <c r="E30" s="17" t="s">
        <v>14</v>
      </c>
      <c r="F30" s="26"/>
      <c r="G30" s="22"/>
      <c r="H30" s="30">
        <v>1007.65</v>
      </c>
      <c r="I30" s="6" t="s">
        <v>45</v>
      </c>
      <c r="K30" s="38"/>
    </row>
    <row r="31" spans="1:11" s="1" customFormat="1">
      <c r="A31" s="10"/>
      <c r="B31" s="13"/>
      <c r="C31" s="9"/>
      <c r="D31" s="16">
        <v>4.0999999999999996</v>
      </c>
      <c r="E31" s="17" t="s">
        <v>29</v>
      </c>
      <c r="F31" s="26"/>
      <c r="G31" s="22"/>
      <c r="H31" s="30">
        <v>59.39</v>
      </c>
      <c r="I31" s="6" t="s">
        <v>15</v>
      </c>
      <c r="K31" s="38"/>
    </row>
    <row r="32" spans="1:11" s="1" customFormat="1">
      <c r="A32" s="10"/>
      <c r="B32" s="13"/>
      <c r="C32" s="9"/>
      <c r="D32" s="16"/>
      <c r="E32" s="17"/>
      <c r="F32" s="26"/>
      <c r="G32" s="22"/>
      <c r="H32" s="30"/>
      <c r="I32" s="6"/>
      <c r="K32" s="38"/>
    </row>
    <row r="33" spans="1:11" s="1" customFormat="1">
      <c r="A33" s="10"/>
      <c r="B33" s="13"/>
      <c r="C33" s="9" t="s">
        <v>12</v>
      </c>
      <c r="D33" s="16"/>
      <c r="E33" s="17"/>
      <c r="F33" s="26"/>
      <c r="G33" s="22"/>
      <c r="H33" s="30">
        <v>358.42</v>
      </c>
      <c r="I33" s="6" t="s">
        <v>67</v>
      </c>
      <c r="K33" s="38"/>
    </row>
    <row r="34" spans="1:11" s="1" customFormat="1">
      <c r="A34" s="10"/>
      <c r="B34" s="13"/>
      <c r="C34" s="9"/>
      <c r="D34" s="16"/>
      <c r="E34" s="17"/>
      <c r="F34" s="26"/>
      <c r="G34" s="22"/>
      <c r="H34" s="30">
        <v>834.81</v>
      </c>
      <c r="I34" s="6" t="s">
        <v>45</v>
      </c>
      <c r="K34" s="38"/>
    </row>
    <row r="35" spans="1:11" s="1" customFormat="1">
      <c r="A35" s="10"/>
      <c r="B35" s="13"/>
      <c r="C35" s="9"/>
      <c r="D35" s="16"/>
      <c r="E35" s="17"/>
      <c r="F35" s="26"/>
      <c r="G35" s="22"/>
      <c r="H35" s="30"/>
      <c r="I35" s="6"/>
      <c r="K35" s="38"/>
    </row>
    <row r="36" spans="1:11" s="1" customFormat="1">
      <c r="A36" s="10"/>
      <c r="B36" s="13"/>
      <c r="C36" s="9" t="s">
        <v>13</v>
      </c>
      <c r="D36" s="16">
        <v>49.89</v>
      </c>
      <c r="E36" s="17" t="s">
        <v>16</v>
      </c>
      <c r="F36" s="26">
        <v>22</v>
      </c>
      <c r="G36" s="22" t="s">
        <v>32</v>
      </c>
      <c r="H36" s="30">
        <v>725.78</v>
      </c>
      <c r="I36" s="6" t="s">
        <v>67</v>
      </c>
      <c r="K36" s="38"/>
    </row>
    <row r="37" spans="1:11" s="1" customFormat="1">
      <c r="A37" s="10"/>
      <c r="B37" s="13"/>
      <c r="C37" s="9"/>
      <c r="D37" s="16">
        <v>52.75</v>
      </c>
      <c r="E37" s="17" t="s">
        <v>14</v>
      </c>
      <c r="F37" s="26"/>
      <c r="G37" s="22"/>
      <c r="H37" s="30">
        <v>833.4</v>
      </c>
      <c r="I37" s="6" t="s">
        <v>45</v>
      </c>
      <c r="K37" s="38"/>
    </row>
    <row r="38" spans="1:11" s="1" customFormat="1">
      <c r="A38" s="10"/>
      <c r="B38" s="13"/>
      <c r="C38" s="9"/>
      <c r="D38" s="16">
        <v>40.29</v>
      </c>
      <c r="E38" s="17" t="s">
        <v>29</v>
      </c>
      <c r="F38" s="26"/>
      <c r="G38" s="22"/>
      <c r="H38" s="30">
        <v>87.69</v>
      </c>
      <c r="I38" s="6" t="s">
        <v>15</v>
      </c>
      <c r="K38" s="38"/>
    </row>
    <row r="39" spans="1:11" s="1" customFormat="1">
      <c r="A39" s="10"/>
      <c r="B39" s="13"/>
      <c r="C39" s="9"/>
      <c r="D39" s="16"/>
      <c r="E39" s="17"/>
      <c r="F39" s="26"/>
      <c r="G39" s="22"/>
      <c r="H39" s="30"/>
      <c r="I39" s="6"/>
      <c r="K39" s="38"/>
    </row>
    <row r="40" spans="1:11" s="1" customFormat="1">
      <c r="A40" s="10"/>
      <c r="B40" s="13"/>
      <c r="C40" s="9" t="s">
        <v>9</v>
      </c>
      <c r="D40" s="16"/>
      <c r="E40" s="17"/>
      <c r="F40" s="26"/>
      <c r="G40" s="22"/>
      <c r="H40" s="30">
        <f>2688.72</f>
        <v>2688.72</v>
      </c>
      <c r="I40" s="6" t="s">
        <v>67</v>
      </c>
      <c r="K40" s="38"/>
    </row>
    <row r="41" spans="1:11" s="1" customFormat="1">
      <c r="A41" s="10"/>
      <c r="B41" s="13"/>
      <c r="C41" s="9"/>
      <c r="D41" s="16"/>
      <c r="E41" s="17"/>
      <c r="F41" s="26"/>
      <c r="G41" s="22"/>
      <c r="H41" s="30">
        <v>414.33</v>
      </c>
      <c r="I41" s="6" t="s">
        <v>45</v>
      </c>
      <c r="K41" s="38"/>
    </row>
    <row r="42" spans="1:11" s="1" customFormat="1">
      <c r="A42" s="10"/>
      <c r="B42" s="13"/>
      <c r="C42" s="9"/>
      <c r="D42" s="16"/>
      <c r="E42" s="17"/>
      <c r="F42" s="26"/>
      <c r="G42" s="22"/>
      <c r="H42" s="30"/>
      <c r="I42" s="6"/>
      <c r="K42" s="38"/>
    </row>
    <row r="43" spans="1:11" s="1" customFormat="1">
      <c r="A43" s="10"/>
      <c r="B43" s="13"/>
      <c r="C43" s="9" t="s">
        <v>11</v>
      </c>
      <c r="D43" s="16"/>
      <c r="E43" s="17"/>
      <c r="F43" s="26"/>
      <c r="G43" s="22"/>
      <c r="H43" s="30">
        <v>358.42</v>
      </c>
      <c r="I43" s="6" t="s">
        <v>67</v>
      </c>
      <c r="K43" s="38"/>
    </row>
    <row r="44" spans="1:11" s="1" customFormat="1">
      <c r="A44" s="10"/>
      <c r="B44" s="13"/>
      <c r="C44" s="9"/>
      <c r="D44" s="16"/>
      <c r="E44" s="17"/>
      <c r="F44" s="26"/>
      <c r="G44" s="22"/>
      <c r="H44" s="30">
        <v>834.81</v>
      </c>
      <c r="I44" s="6" t="s">
        <v>45</v>
      </c>
      <c r="K44" s="38"/>
    </row>
    <row r="45" spans="1:11" s="1" customFormat="1">
      <c r="A45" s="9"/>
      <c r="B45" s="9"/>
      <c r="C45" s="9"/>
      <c r="D45" s="16"/>
      <c r="E45" s="17"/>
      <c r="F45" s="26"/>
      <c r="G45" s="22"/>
      <c r="H45" s="30"/>
      <c r="I45" s="2"/>
      <c r="K45" s="4"/>
    </row>
    <row r="46" spans="1:11" s="1" customFormat="1">
      <c r="A46" s="11" t="s">
        <v>4</v>
      </c>
      <c r="B46" s="10"/>
      <c r="C46" s="10"/>
      <c r="D46" s="18">
        <f>SUM(D21:D45)</f>
        <v>683.24</v>
      </c>
      <c r="E46" s="6"/>
      <c r="F46" s="27">
        <f>SUM(F21:F45)</f>
        <v>312.92</v>
      </c>
      <c r="G46" s="23"/>
      <c r="H46" s="31">
        <f>SUM(H21:H45)</f>
        <v>13837.529999999999</v>
      </c>
      <c r="I46" s="2"/>
    </row>
    <row r="47" spans="1:11" s="1" customFormat="1" ht="15.75" thickBot="1">
      <c r="A47" s="12" t="s">
        <v>5</v>
      </c>
      <c r="B47" s="34">
        <f>SUM(D46+F46+H46)</f>
        <v>14833.689999999999</v>
      </c>
      <c r="C47" s="33"/>
      <c r="D47" s="19"/>
      <c r="E47" s="20"/>
      <c r="F47" s="28"/>
      <c r="G47" s="24"/>
      <c r="H47" s="32"/>
      <c r="I47" s="3"/>
    </row>
    <row r="48" spans="1:11" s="1" customFormat="1">
      <c r="A48" s="43"/>
      <c r="B48" s="8"/>
      <c r="C48" s="8"/>
      <c r="D48" s="14"/>
      <c r="E48" s="15"/>
      <c r="F48" s="25"/>
      <c r="G48" s="21"/>
      <c r="H48" s="29"/>
      <c r="I48" s="5"/>
    </row>
    <row r="49" spans="1:11" s="1" customFormat="1">
      <c r="A49" s="10"/>
      <c r="B49" s="37"/>
      <c r="C49" s="9"/>
      <c r="D49" s="16"/>
      <c r="E49" s="17"/>
      <c r="F49" s="26"/>
      <c r="G49" s="22"/>
      <c r="H49" s="30"/>
      <c r="I49" s="6"/>
    </row>
    <row r="50" spans="1:11" s="1" customFormat="1">
      <c r="A50" s="9"/>
      <c r="B50" s="9"/>
      <c r="C50" s="10"/>
      <c r="D50" s="16"/>
      <c r="E50" s="17"/>
      <c r="F50" s="26"/>
      <c r="G50" s="22"/>
      <c r="H50" s="30"/>
      <c r="I50" s="6"/>
      <c r="K50" s="38"/>
    </row>
    <row r="51" spans="1:11" s="1" customFormat="1">
      <c r="A51" s="10"/>
      <c r="B51" s="13"/>
      <c r="C51" s="9"/>
      <c r="D51" s="16"/>
      <c r="E51" s="17"/>
      <c r="F51" s="26"/>
      <c r="G51" s="22"/>
      <c r="H51" s="30"/>
      <c r="I51" s="6"/>
      <c r="K51" s="38"/>
    </row>
    <row r="52" spans="1:11" s="1" customFormat="1">
      <c r="A52" s="10"/>
      <c r="B52" s="13"/>
      <c r="C52" s="9"/>
      <c r="D52" s="16"/>
      <c r="E52" s="17"/>
      <c r="F52" s="26"/>
      <c r="G52" s="22"/>
      <c r="H52" s="30"/>
      <c r="I52" s="6"/>
      <c r="K52" s="38"/>
    </row>
    <row r="53" spans="1:11" s="1" customFormat="1">
      <c r="A53" s="9"/>
      <c r="B53" s="9"/>
      <c r="C53" s="9"/>
      <c r="D53" s="16"/>
      <c r="E53" s="17"/>
      <c r="F53" s="26"/>
      <c r="G53" s="22"/>
      <c r="H53" s="30"/>
      <c r="I53" s="2"/>
      <c r="K53" s="4"/>
    </row>
    <row r="54" spans="1:11" s="1" customFormat="1">
      <c r="A54" s="11" t="s">
        <v>4</v>
      </c>
      <c r="B54" s="10"/>
      <c r="C54" s="10"/>
      <c r="D54" s="18">
        <f>SUM(D48:D53)</f>
        <v>0</v>
      </c>
      <c r="E54" s="6"/>
      <c r="F54" s="27">
        <f>SUM(F48:F53)</f>
        <v>0</v>
      </c>
      <c r="G54" s="23"/>
      <c r="H54" s="31">
        <f>SUM(H48:H53)</f>
        <v>0</v>
      </c>
      <c r="I54" s="2"/>
    </row>
    <row r="55" spans="1:11" s="1" customFormat="1" ht="15.75" thickBot="1">
      <c r="A55" s="12" t="s">
        <v>5</v>
      </c>
      <c r="B55" s="34">
        <f>SUM(D54+F54+H54)</f>
        <v>0</v>
      </c>
      <c r="C55" s="33"/>
      <c r="D55" s="19"/>
      <c r="E55" s="20"/>
      <c r="F55" s="28"/>
      <c r="G55" s="24"/>
      <c r="H55" s="32"/>
      <c r="I55" s="3"/>
    </row>
    <row r="56" spans="1:11" s="1" customFormat="1">
      <c r="A56" s="43" t="s">
        <v>113</v>
      </c>
      <c r="B56" s="8" t="s">
        <v>114</v>
      </c>
      <c r="C56" s="8" t="s">
        <v>49</v>
      </c>
      <c r="D56" s="14">
        <f>13.5+24.43</f>
        <v>37.93</v>
      </c>
      <c r="E56" s="15" t="s">
        <v>16</v>
      </c>
      <c r="F56" s="25">
        <f>111.95</f>
        <v>111.95</v>
      </c>
      <c r="G56" s="21" t="s">
        <v>42</v>
      </c>
      <c r="H56" s="29">
        <f>467.98</f>
        <v>467.98</v>
      </c>
      <c r="I56" s="5" t="s">
        <v>67</v>
      </c>
    </row>
    <row r="57" spans="1:11" s="1" customFormat="1">
      <c r="A57" s="10"/>
      <c r="B57" s="37" t="s">
        <v>115</v>
      </c>
      <c r="C57" s="9"/>
      <c r="D57" s="16"/>
      <c r="E57" s="17"/>
      <c r="F57" s="26">
        <f>10.4</f>
        <v>10.4</v>
      </c>
      <c r="G57" s="22" t="s">
        <v>50</v>
      </c>
      <c r="H57" s="30">
        <f>252.52</f>
        <v>252.52</v>
      </c>
      <c r="I57" s="6" t="s">
        <v>45</v>
      </c>
    </row>
    <row r="58" spans="1:11" s="1" customFormat="1">
      <c r="A58" s="9"/>
      <c r="B58" s="9"/>
      <c r="C58" s="10"/>
      <c r="D58" s="16"/>
      <c r="E58" s="17"/>
      <c r="F58" s="26">
        <f>68.4</f>
        <v>68.400000000000006</v>
      </c>
      <c r="G58" s="22" t="s">
        <v>43</v>
      </c>
      <c r="H58" s="30">
        <f>105.94</f>
        <v>105.94</v>
      </c>
      <c r="I58" s="6" t="s">
        <v>117</v>
      </c>
      <c r="K58" s="38"/>
    </row>
    <row r="59" spans="1:11" s="1" customFormat="1">
      <c r="A59" s="10"/>
      <c r="B59" s="13"/>
      <c r="C59" s="9"/>
      <c r="D59" s="16"/>
      <c r="E59" s="17"/>
      <c r="F59" s="26"/>
      <c r="G59" s="22"/>
      <c r="H59" s="30"/>
      <c r="I59" s="6"/>
      <c r="K59" s="38"/>
    </row>
    <row r="60" spans="1:11" s="1" customFormat="1">
      <c r="A60" s="10"/>
      <c r="B60" s="13"/>
      <c r="C60" s="9" t="s">
        <v>65</v>
      </c>
      <c r="D60" s="16">
        <f>131.88</f>
        <v>131.88</v>
      </c>
      <c r="E60" s="17" t="s">
        <v>16</v>
      </c>
      <c r="F60" s="26"/>
      <c r="G60" s="22"/>
      <c r="H60" s="30">
        <f>388.83</f>
        <v>388.83</v>
      </c>
      <c r="I60" s="6" t="s">
        <v>81</v>
      </c>
      <c r="K60" s="38"/>
    </row>
    <row r="61" spans="1:11" s="1" customFormat="1">
      <c r="A61" s="10"/>
      <c r="B61" s="13"/>
      <c r="C61" s="9"/>
      <c r="D61" s="16">
        <f>141.51</f>
        <v>141.51</v>
      </c>
      <c r="E61" s="17" t="s">
        <v>14</v>
      </c>
      <c r="F61" s="26"/>
      <c r="G61" s="22"/>
      <c r="H61" s="30">
        <f>748.95</f>
        <v>748.95</v>
      </c>
      <c r="I61" s="6" t="s">
        <v>67</v>
      </c>
      <c r="K61" s="38"/>
    </row>
    <row r="62" spans="1:11" s="1" customFormat="1">
      <c r="A62" s="10"/>
      <c r="B62" s="13"/>
      <c r="C62" s="9"/>
      <c r="D62" s="16">
        <f>144.32</f>
        <v>144.32</v>
      </c>
      <c r="E62" s="17" t="s">
        <v>127</v>
      </c>
      <c r="F62" s="26"/>
      <c r="G62" s="22"/>
      <c r="H62" s="30"/>
      <c r="I62" s="6"/>
      <c r="K62" s="38"/>
    </row>
    <row r="63" spans="1:11" s="1" customFormat="1">
      <c r="A63" s="10"/>
      <c r="B63" s="13"/>
      <c r="C63" s="9"/>
      <c r="D63" s="16"/>
      <c r="E63" s="17"/>
      <c r="F63" s="26"/>
      <c r="G63" s="22"/>
      <c r="H63" s="30"/>
      <c r="I63" s="6"/>
      <c r="K63" s="38"/>
    </row>
    <row r="64" spans="1:11" s="1" customFormat="1">
      <c r="A64" s="10"/>
      <c r="B64" s="13"/>
      <c r="C64" s="9" t="s">
        <v>39</v>
      </c>
      <c r="D64" s="16">
        <f>10+34</f>
        <v>44</v>
      </c>
      <c r="E64" s="17" t="s">
        <v>16</v>
      </c>
      <c r="F64" s="26"/>
      <c r="G64" s="22"/>
      <c r="H64" s="30">
        <f>604.98</f>
        <v>604.98</v>
      </c>
      <c r="I64" s="6" t="s">
        <v>67</v>
      </c>
      <c r="K64" s="38"/>
    </row>
    <row r="65" spans="1:11" s="1" customFormat="1">
      <c r="A65" s="10"/>
      <c r="B65" s="13"/>
      <c r="C65" s="9"/>
      <c r="D65" s="16"/>
      <c r="E65" s="17"/>
      <c r="F65" s="26"/>
      <c r="G65" s="22"/>
      <c r="H65" s="30">
        <f>252.52</f>
        <v>252.52</v>
      </c>
      <c r="I65" s="6" t="s">
        <v>45</v>
      </c>
      <c r="K65" s="38"/>
    </row>
    <row r="66" spans="1:11" s="1" customFormat="1">
      <c r="A66" s="9"/>
      <c r="B66" s="9"/>
      <c r="C66" s="9"/>
      <c r="D66" s="16"/>
      <c r="E66" s="17"/>
      <c r="F66" s="26"/>
      <c r="G66" s="22"/>
      <c r="H66" s="30"/>
      <c r="I66" s="2"/>
      <c r="K66" s="4"/>
    </row>
    <row r="67" spans="1:11" s="1" customFormat="1">
      <c r="A67" s="11" t="s">
        <v>4</v>
      </c>
      <c r="B67" s="10"/>
      <c r="C67" s="10"/>
      <c r="D67" s="18">
        <f>SUM(D56:D66)</f>
        <v>499.64</v>
      </c>
      <c r="E67" s="6"/>
      <c r="F67" s="27">
        <f>SUM(F56:F66)</f>
        <v>190.75</v>
      </c>
      <c r="G67" s="23"/>
      <c r="H67" s="31">
        <f>SUM(H56:H66)</f>
        <v>2821.72</v>
      </c>
      <c r="I67" s="2"/>
    </row>
    <row r="68" spans="1:11" s="1" customFormat="1" ht="15.75" thickBot="1">
      <c r="A68" s="12" t="s">
        <v>5</v>
      </c>
      <c r="B68" s="34">
        <f>SUM(D67+F67+H67)</f>
        <v>3512.1099999999997</v>
      </c>
      <c r="C68" s="33"/>
      <c r="D68" s="19"/>
      <c r="E68" s="20"/>
      <c r="F68" s="28"/>
      <c r="G68" s="24"/>
      <c r="H68" s="32"/>
      <c r="I68" s="3"/>
    </row>
    <row r="69" spans="1:11" s="1" customFormat="1">
      <c r="A69" s="43" t="s">
        <v>116</v>
      </c>
      <c r="B69" s="8" t="s">
        <v>37</v>
      </c>
      <c r="C69" s="8" t="s">
        <v>49</v>
      </c>
      <c r="D69" s="14">
        <f>7.1+20.22+8.49+12.5</f>
        <v>48.31</v>
      </c>
      <c r="E69" s="15" t="s">
        <v>16</v>
      </c>
      <c r="F69" s="25">
        <f>111.95</f>
        <v>111.95</v>
      </c>
      <c r="G69" s="21" t="s">
        <v>42</v>
      </c>
      <c r="H69" s="29"/>
      <c r="I69" s="5"/>
    </row>
    <row r="70" spans="1:11" s="1" customFormat="1">
      <c r="A70" s="10"/>
      <c r="B70" s="37" t="s">
        <v>73</v>
      </c>
      <c r="C70" s="9"/>
      <c r="D70" s="16">
        <f>32.66</f>
        <v>32.659999999999997</v>
      </c>
      <c r="E70" s="17" t="s">
        <v>14</v>
      </c>
      <c r="F70" s="26">
        <f>10.4</f>
        <v>10.4</v>
      </c>
      <c r="G70" s="22" t="s">
        <v>50</v>
      </c>
      <c r="H70" s="30"/>
      <c r="I70" s="6"/>
    </row>
    <row r="71" spans="1:11" s="1" customFormat="1">
      <c r="A71" s="9"/>
      <c r="B71" s="9"/>
      <c r="C71" s="10"/>
      <c r="D71" s="16"/>
      <c r="E71" s="17"/>
      <c r="F71" s="26">
        <f>161</f>
        <v>161</v>
      </c>
      <c r="G71" s="22" t="s">
        <v>43</v>
      </c>
      <c r="H71" s="30"/>
      <c r="I71" s="6"/>
      <c r="K71" s="38"/>
    </row>
    <row r="72" spans="1:11" s="1" customFormat="1">
      <c r="A72" s="9"/>
      <c r="B72" s="9"/>
      <c r="C72" s="10"/>
      <c r="D72" s="16"/>
      <c r="E72" s="17"/>
      <c r="F72" s="26"/>
      <c r="G72" s="22"/>
      <c r="H72" s="30"/>
      <c r="I72" s="6"/>
      <c r="K72" s="38"/>
    </row>
    <row r="73" spans="1:11" s="1" customFormat="1">
      <c r="A73" s="10"/>
      <c r="B73" s="13"/>
      <c r="C73" s="9" t="s">
        <v>46</v>
      </c>
      <c r="D73" s="16">
        <v>12.45</v>
      </c>
      <c r="E73" s="17" t="s">
        <v>16</v>
      </c>
      <c r="F73" s="26">
        <v>20</v>
      </c>
      <c r="G73" s="22" t="s">
        <v>32</v>
      </c>
      <c r="H73" s="30"/>
      <c r="I73" s="6"/>
      <c r="K73" s="38"/>
    </row>
    <row r="74" spans="1:11" s="1" customFormat="1">
      <c r="A74" s="10"/>
      <c r="B74" s="13"/>
      <c r="C74" s="9"/>
      <c r="D74" s="16"/>
      <c r="E74" s="17"/>
      <c r="F74" s="26"/>
      <c r="G74" s="22"/>
      <c r="H74" s="30"/>
      <c r="I74" s="6"/>
      <c r="K74" s="38"/>
    </row>
    <row r="75" spans="1:11" s="1" customFormat="1">
      <c r="A75" s="10"/>
      <c r="B75" s="13"/>
      <c r="C75" s="9"/>
      <c r="D75" s="16"/>
      <c r="E75" s="17"/>
      <c r="F75" s="26"/>
      <c r="G75" s="22"/>
      <c r="H75" s="30"/>
      <c r="I75" s="6"/>
    </row>
    <row r="76" spans="1:11" s="1" customFormat="1">
      <c r="A76" s="10"/>
      <c r="B76" s="13"/>
      <c r="C76" s="9"/>
      <c r="D76" s="16"/>
      <c r="E76" s="17"/>
      <c r="F76" s="26"/>
      <c r="G76" s="22"/>
      <c r="H76" s="30"/>
      <c r="I76" s="6"/>
    </row>
    <row r="77" spans="1:11" s="1" customFormat="1">
      <c r="A77" s="10"/>
      <c r="B77" s="13"/>
      <c r="C77" s="9"/>
      <c r="D77" s="16"/>
      <c r="E77" s="17"/>
      <c r="F77" s="26"/>
      <c r="G77" s="22"/>
      <c r="H77" s="30"/>
      <c r="I77" s="6"/>
    </row>
    <row r="78" spans="1:11" s="1" customFormat="1">
      <c r="A78" s="10"/>
      <c r="B78" s="13"/>
      <c r="C78" s="9"/>
      <c r="D78" s="16"/>
      <c r="E78" s="17"/>
      <c r="F78" s="26"/>
      <c r="G78" s="22"/>
      <c r="H78" s="30"/>
      <c r="I78" s="6"/>
    </row>
    <row r="79" spans="1:11" s="1" customFormat="1">
      <c r="A79" s="10"/>
      <c r="B79" s="13"/>
      <c r="C79" s="9"/>
      <c r="D79" s="16"/>
      <c r="E79" s="17"/>
      <c r="F79" s="26"/>
      <c r="G79" s="22"/>
      <c r="H79" s="30"/>
      <c r="I79" s="6"/>
    </row>
    <row r="80" spans="1:11" s="1" customFormat="1">
      <c r="A80" s="10"/>
      <c r="B80" s="13"/>
      <c r="C80" s="9"/>
      <c r="D80" s="16"/>
      <c r="E80" s="17"/>
      <c r="F80" s="26"/>
      <c r="G80" s="22"/>
      <c r="H80" s="30"/>
      <c r="I80" s="6"/>
    </row>
    <row r="81" spans="1:11" s="1" customFormat="1">
      <c r="A81" s="10"/>
      <c r="B81" s="13"/>
      <c r="C81" s="9"/>
      <c r="D81" s="16"/>
      <c r="E81" s="17"/>
      <c r="F81" s="26"/>
      <c r="G81" s="22"/>
      <c r="H81" s="30"/>
      <c r="I81" s="6"/>
    </row>
    <row r="82" spans="1:11" s="1" customFormat="1">
      <c r="A82" s="11" t="s">
        <v>4</v>
      </c>
      <c r="B82" s="10"/>
      <c r="C82" s="10"/>
      <c r="D82" s="18">
        <f>SUM(D69:D81)</f>
        <v>93.42</v>
      </c>
      <c r="E82" s="6"/>
      <c r="F82" s="27">
        <f>SUM(F69:F81)</f>
        <v>303.35000000000002</v>
      </c>
      <c r="G82" s="23"/>
      <c r="H82" s="31">
        <f>SUM(H69:H81)</f>
        <v>0</v>
      </c>
      <c r="I82" s="2"/>
    </row>
    <row r="83" spans="1:11" s="1" customFormat="1" ht="15.75" thickBot="1">
      <c r="A83" s="12" t="s">
        <v>5</v>
      </c>
      <c r="B83" s="34">
        <f>SUM(D82+F82+H82)</f>
        <v>396.77000000000004</v>
      </c>
      <c r="C83" s="33"/>
      <c r="D83" s="19"/>
      <c r="E83" s="20"/>
      <c r="F83" s="28"/>
      <c r="G83" s="24"/>
      <c r="H83" s="32"/>
      <c r="I83" s="3"/>
    </row>
    <row r="84" spans="1:11" s="1" customFormat="1">
      <c r="A84" s="43" t="s">
        <v>140</v>
      </c>
      <c r="B84" s="8" t="s">
        <v>114</v>
      </c>
      <c r="C84" s="8" t="s">
        <v>65</v>
      </c>
      <c r="D84" s="14"/>
      <c r="E84" s="15"/>
      <c r="F84" s="25"/>
      <c r="G84" s="21"/>
      <c r="H84" s="29">
        <f>183.88</f>
        <v>183.88</v>
      </c>
      <c r="I84" s="5" t="s">
        <v>45</v>
      </c>
    </row>
    <row r="85" spans="1:11" s="1" customFormat="1">
      <c r="A85" s="10"/>
      <c r="B85" s="37" t="s">
        <v>126</v>
      </c>
      <c r="C85" s="9"/>
      <c r="D85" s="16"/>
      <c r="E85" s="17"/>
      <c r="F85" s="26"/>
      <c r="G85" s="22"/>
      <c r="H85" s="30"/>
      <c r="I85" s="6"/>
    </row>
    <row r="86" spans="1:11" s="1" customFormat="1">
      <c r="A86" s="9"/>
      <c r="B86" s="9"/>
      <c r="C86" s="10" t="s">
        <v>39</v>
      </c>
      <c r="D86" s="16">
        <f>41.43+8.29</f>
        <v>49.72</v>
      </c>
      <c r="E86" s="17" t="s">
        <v>16</v>
      </c>
      <c r="F86" s="26">
        <v>156.9</v>
      </c>
      <c r="G86" s="22" t="s">
        <v>42</v>
      </c>
      <c r="H86" s="30"/>
      <c r="I86" s="6"/>
      <c r="K86" s="38"/>
    </row>
    <row r="87" spans="1:11" s="1" customFormat="1">
      <c r="A87" s="10"/>
      <c r="B87" s="13"/>
      <c r="C87" s="9"/>
      <c r="D87" s="16">
        <v>103.57</v>
      </c>
      <c r="E87" s="17" t="s">
        <v>29</v>
      </c>
      <c r="F87" s="26">
        <f>2.9+32.9</f>
        <v>35.799999999999997</v>
      </c>
      <c r="G87" s="22" t="s">
        <v>50</v>
      </c>
      <c r="H87" s="30"/>
      <c r="I87" s="6"/>
      <c r="K87" s="38"/>
    </row>
    <row r="88" spans="1:11" s="1" customFormat="1">
      <c r="A88" s="10"/>
      <c r="B88" s="13"/>
      <c r="C88" s="9"/>
      <c r="D88" s="16"/>
      <c r="E88" s="17"/>
      <c r="F88" s="26">
        <f>68.4+2.5</f>
        <v>70.900000000000006</v>
      </c>
      <c r="G88" s="22" t="s">
        <v>43</v>
      </c>
      <c r="H88" s="30">
        <f>261.81</f>
        <v>261.81</v>
      </c>
      <c r="I88" s="6" t="s">
        <v>15</v>
      </c>
      <c r="K88" s="38"/>
    </row>
    <row r="89" spans="1:11" s="1" customFormat="1">
      <c r="A89" s="9"/>
      <c r="B89" s="9"/>
      <c r="C89" s="9"/>
      <c r="D89" s="16"/>
      <c r="E89" s="17"/>
      <c r="F89" s="26"/>
      <c r="G89" s="22"/>
      <c r="H89" s="30"/>
      <c r="I89" s="2"/>
      <c r="K89" s="4"/>
    </row>
    <row r="90" spans="1:11" s="1" customFormat="1">
      <c r="A90" s="11" t="s">
        <v>4</v>
      </c>
      <c r="B90" s="10"/>
      <c r="C90" s="10"/>
      <c r="D90" s="18">
        <f>SUM(D84:D89)</f>
        <v>153.29</v>
      </c>
      <c r="E90" s="6"/>
      <c r="F90" s="27">
        <f>SUM(F84:F89)</f>
        <v>263.60000000000002</v>
      </c>
      <c r="G90" s="23"/>
      <c r="H90" s="31">
        <f>SUM(H84:H89)</f>
        <v>445.69</v>
      </c>
      <c r="I90" s="2"/>
    </row>
    <row r="91" spans="1:11" s="1" customFormat="1" ht="15.75" thickBot="1">
      <c r="A91" s="12" t="s">
        <v>5</v>
      </c>
      <c r="B91" s="34">
        <f>SUM(D90+F90+H90)</f>
        <v>862.57999999999993</v>
      </c>
      <c r="C91" s="33"/>
      <c r="D91" s="19"/>
      <c r="E91" s="20"/>
      <c r="F91" s="28"/>
      <c r="G91" s="24"/>
      <c r="H91" s="32"/>
      <c r="I91" s="3"/>
    </row>
    <row r="92" spans="1:11" s="1" customFormat="1">
      <c r="A92" s="43" t="s">
        <v>128</v>
      </c>
      <c r="B92" s="8" t="s">
        <v>129</v>
      </c>
      <c r="C92" s="8" t="s">
        <v>76</v>
      </c>
      <c r="D92" s="14">
        <f>7.9+164.05</f>
        <v>171.95000000000002</v>
      </c>
      <c r="E92" s="15" t="s">
        <v>16</v>
      </c>
      <c r="F92" s="25">
        <v>42</v>
      </c>
      <c r="G92" s="21" t="s">
        <v>43</v>
      </c>
      <c r="H92" s="44">
        <f>157.99+253.62</f>
        <v>411.61</v>
      </c>
      <c r="I92" s="5" t="s">
        <v>67</v>
      </c>
    </row>
    <row r="93" spans="1:11" s="1" customFormat="1">
      <c r="A93" s="10"/>
      <c r="B93" s="37" t="s">
        <v>130</v>
      </c>
      <c r="C93" s="9"/>
      <c r="D93" s="16">
        <v>215.2</v>
      </c>
      <c r="E93" s="17" t="s">
        <v>14</v>
      </c>
      <c r="F93" s="26">
        <f>11.79</f>
        <v>11.79</v>
      </c>
      <c r="G93" s="22" t="s">
        <v>42</v>
      </c>
      <c r="H93" s="30">
        <v>760.64</v>
      </c>
      <c r="I93" s="6" t="s">
        <v>45</v>
      </c>
    </row>
    <row r="94" spans="1:11" s="1" customFormat="1">
      <c r="A94" s="9"/>
      <c r="B94" s="9"/>
      <c r="C94" s="10"/>
      <c r="D94" s="16"/>
      <c r="E94" s="17"/>
      <c r="F94" s="26"/>
      <c r="G94" s="22"/>
      <c r="H94" s="30"/>
      <c r="I94" s="6"/>
      <c r="K94" s="38"/>
    </row>
    <row r="95" spans="1:11" s="1" customFormat="1">
      <c r="A95" s="10"/>
      <c r="B95" s="13"/>
      <c r="C95" s="9" t="s">
        <v>71</v>
      </c>
      <c r="D95" s="16">
        <f>20.59+7</f>
        <v>27.59</v>
      </c>
      <c r="E95" s="17" t="s">
        <v>16</v>
      </c>
      <c r="F95" s="26">
        <f>74</f>
        <v>74</v>
      </c>
      <c r="G95" s="22" t="s">
        <v>43</v>
      </c>
      <c r="H95" s="45">
        <f>157.77+253.62</f>
        <v>411.39</v>
      </c>
      <c r="I95" s="6" t="s">
        <v>67</v>
      </c>
      <c r="K95" s="38"/>
    </row>
    <row r="96" spans="1:11" s="1" customFormat="1">
      <c r="A96" s="10"/>
      <c r="B96" s="13"/>
      <c r="C96" s="9"/>
      <c r="D96" s="16">
        <f>78.15</f>
        <v>78.150000000000006</v>
      </c>
      <c r="E96" s="17" t="s">
        <v>14</v>
      </c>
      <c r="F96" s="26"/>
      <c r="G96" s="22"/>
      <c r="H96" s="30">
        <v>711.03</v>
      </c>
      <c r="I96" s="6" t="s">
        <v>45</v>
      </c>
      <c r="K96" s="38"/>
    </row>
    <row r="97" spans="1:11" s="1" customFormat="1">
      <c r="A97" s="10"/>
      <c r="B97" s="13"/>
      <c r="C97" s="9"/>
      <c r="D97" s="16"/>
      <c r="E97" s="17"/>
      <c r="F97" s="26"/>
      <c r="G97" s="22"/>
      <c r="H97" s="30">
        <v>181.48</v>
      </c>
      <c r="I97" s="6" t="s">
        <v>15</v>
      </c>
      <c r="K97" s="38"/>
    </row>
    <row r="98" spans="1:11" s="1" customFormat="1">
      <c r="A98" s="10"/>
      <c r="B98" s="13"/>
      <c r="C98" s="9"/>
      <c r="D98" s="16"/>
      <c r="E98" s="17"/>
      <c r="F98" s="26"/>
      <c r="G98" s="22"/>
      <c r="H98" s="30"/>
      <c r="I98" s="6"/>
      <c r="K98" s="38"/>
    </row>
    <row r="99" spans="1:11" s="1" customFormat="1">
      <c r="A99" s="9"/>
      <c r="B99" s="9"/>
      <c r="C99" s="9"/>
      <c r="D99" s="16"/>
      <c r="E99" s="17"/>
      <c r="F99" s="26"/>
      <c r="G99" s="22"/>
      <c r="H99" s="30"/>
      <c r="I99" s="2"/>
      <c r="K99" s="4"/>
    </row>
    <row r="100" spans="1:11" s="1" customFormat="1">
      <c r="A100" s="11" t="s">
        <v>4</v>
      </c>
      <c r="B100" s="10"/>
      <c r="C100" s="10"/>
      <c r="D100" s="18">
        <f>SUM(D92:D99)</f>
        <v>492.89</v>
      </c>
      <c r="E100" s="6"/>
      <c r="F100" s="27">
        <f>SUM(F92:F99)</f>
        <v>127.78999999999999</v>
      </c>
      <c r="G100" s="23"/>
      <c r="H100" s="31">
        <f>SUM(H92:H99)</f>
        <v>2476.15</v>
      </c>
      <c r="I100" s="2"/>
    </row>
    <row r="101" spans="1:11" s="1" customFormat="1" ht="15.75" thickBot="1">
      <c r="A101" s="12" t="s">
        <v>5</v>
      </c>
      <c r="B101" s="34">
        <f>SUM(D100+F100+H100)</f>
        <v>3096.83</v>
      </c>
      <c r="C101" s="33"/>
      <c r="D101" s="19"/>
      <c r="E101" s="20"/>
      <c r="F101" s="28"/>
      <c r="G101" s="24"/>
      <c r="H101" s="32"/>
      <c r="I101" s="3"/>
    </row>
    <row r="102" spans="1:11" s="1" customFormat="1">
      <c r="A102" s="43" t="s">
        <v>132</v>
      </c>
      <c r="B102" s="8" t="s">
        <v>133</v>
      </c>
      <c r="C102" s="8" t="s">
        <v>57</v>
      </c>
      <c r="D102" s="14">
        <f>1350.9+302.4+200</f>
        <v>1853.3000000000002</v>
      </c>
      <c r="E102" s="15" t="s">
        <v>16</v>
      </c>
      <c r="F102" s="25">
        <f>9</f>
        <v>9</v>
      </c>
      <c r="G102" s="21" t="s">
        <v>31</v>
      </c>
      <c r="H102" s="29"/>
      <c r="I102" s="5"/>
    </row>
    <row r="103" spans="1:11" s="1" customFormat="1">
      <c r="A103" s="10"/>
      <c r="B103" s="37" t="s">
        <v>134</v>
      </c>
      <c r="C103" s="9"/>
      <c r="D103" s="16">
        <f>112</f>
        <v>112</v>
      </c>
      <c r="E103" s="17" t="s">
        <v>14</v>
      </c>
      <c r="F103" s="26"/>
      <c r="G103" s="22"/>
      <c r="H103" s="30"/>
      <c r="I103" s="6"/>
    </row>
    <row r="104" spans="1:11" s="1" customFormat="1">
      <c r="A104" s="9"/>
      <c r="B104" s="9"/>
      <c r="C104" s="10"/>
      <c r="D104" s="16">
        <f>60</f>
        <v>60</v>
      </c>
      <c r="E104" s="17" t="s">
        <v>29</v>
      </c>
      <c r="F104" s="26"/>
      <c r="G104" s="22"/>
      <c r="H104" s="30">
        <f>82.5+18</f>
        <v>100.5</v>
      </c>
      <c r="I104" s="6" t="s">
        <v>15</v>
      </c>
      <c r="K104" s="38"/>
    </row>
    <row r="105" spans="1:11" s="1" customFormat="1">
      <c r="A105" s="10"/>
      <c r="B105" s="13"/>
      <c r="C105" s="9"/>
      <c r="D105" s="16"/>
      <c r="E105" s="17"/>
      <c r="F105" s="26"/>
      <c r="G105" s="22"/>
      <c r="H105" s="30"/>
      <c r="I105" s="6"/>
      <c r="K105" s="38"/>
    </row>
    <row r="106" spans="1:11" s="1" customFormat="1">
      <c r="A106" s="10"/>
      <c r="B106" s="13"/>
      <c r="C106" s="9"/>
      <c r="D106" s="16"/>
      <c r="E106" s="17"/>
      <c r="F106" s="26"/>
      <c r="G106" s="22"/>
      <c r="H106" s="30"/>
      <c r="I106" s="6"/>
      <c r="K106" s="38"/>
    </row>
    <row r="107" spans="1:11" s="1" customFormat="1">
      <c r="A107" s="10"/>
      <c r="B107" s="13"/>
      <c r="C107" s="9"/>
      <c r="D107" s="16"/>
      <c r="E107" s="17"/>
      <c r="F107" s="26"/>
      <c r="G107" s="22"/>
      <c r="H107" s="30"/>
      <c r="I107" s="6"/>
      <c r="K107" s="38"/>
    </row>
    <row r="108" spans="1:11" s="1" customFormat="1">
      <c r="A108" s="10"/>
      <c r="B108" s="13"/>
      <c r="C108" s="9"/>
      <c r="D108" s="16"/>
      <c r="E108" s="17"/>
      <c r="F108" s="26"/>
      <c r="G108" s="22"/>
      <c r="H108" s="30"/>
      <c r="I108" s="6"/>
      <c r="K108" s="38"/>
    </row>
    <row r="109" spans="1:11" s="1" customFormat="1">
      <c r="A109" s="9"/>
      <c r="B109" s="9"/>
      <c r="C109" s="9"/>
      <c r="D109" s="16"/>
      <c r="E109" s="17"/>
      <c r="F109" s="26"/>
      <c r="G109" s="22"/>
      <c r="H109" s="30"/>
      <c r="I109" s="2"/>
      <c r="K109" s="4"/>
    </row>
    <row r="110" spans="1:11" s="1" customFormat="1">
      <c r="A110" s="11" t="s">
        <v>4</v>
      </c>
      <c r="B110" s="10"/>
      <c r="C110" s="10"/>
      <c r="D110" s="18">
        <f>SUM(D102:D109)</f>
        <v>2025.3000000000002</v>
      </c>
      <c r="E110" s="6"/>
      <c r="F110" s="27">
        <f>SUM(F102:F109)</f>
        <v>9</v>
      </c>
      <c r="G110" s="23"/>
      <c r="H110" s="31">
        <f>SUM(H102:H109)</f>
        <v>100.5</v>
      </c>
      <c r="I110" s="2"/>
    </row>
    <row r="111" spans="1:11" s="1" customFormat="1" ht="15.75" thickBot="1">
      <c r="A111" s="12" t="s">
        <v>5</v>
      </c>
      <c r="B111" s="34">
        <f>SUM(D110+F110+H110)</f>
        <v>2134.8000000000002</v>
      </c>
      <c r="C111" s="33"/>
      <c r="D111" s="19"/>
      <c r="E111" s="20"/>
      <c r="F111" s="28"/>
      <c r="G111" s="24"/>
      <c r="H111" s="32"/>
      <c r="I111" s="3"/>
    </row>
    <row r="112" spans="1:11" s="1" customFormat="1">
      <c r="A112" s="43" t="s">
        <v>141</v>
      </c>
      <c r="B112" s="8" t="s">
        <v>34</v>
      </c>
      <c r="C112" s="8" t="s">
        <v>39</v>
      </c>
      <c r="D112" s="14">
        <f>27+191.7</f>
        <v>218.7</v>
      </c>
      <c r="E112" s="15" t="s">
        <v>16</v>
      </c>
      <c r="F112" s="25"/>
      <c r="G112" s="21"/>
      <c r="H112" s="29"/>
      <c r="I112" s="5"/>
    </row>
    <row r="113" spans="1:11" s="1" customFormat="1">
      <c r="A113" s="10"/>
      <c r="B113" s="37" t="s">
        <v>19</v>
      </c>
      <c r="C113" s="9"/>
      <c r="D113" s="16">
        <f>157+12.09</f>
        <v>169.09</v>
      </c>
      <c r="E113" s="17" t="s">
        <v>14</v>
      </c>
      <c r="F113" s="26"/>
      <c r="G113" s="22"/>
      <c r="H113" s="30"/>
      <c r="I113" s="6"/>
    </row>
    <row r="114" spans="1:11" s="1" customFormat="1">
      <c r="A114" s="9"/>
      <c r="B114" s="9"/>
      <c r="C114" s="10"/>
      <c r="D114" s="16">
        <f>39.99</f>
        <v>39.99</v>
      </c>
      <c r="E114" s="17" t="s">
        <v>29</v>
      </c>
      <c r="F114" s="26"/>
      <c r="G114" s="22"/>
      <c r="H114" s="30">
        <v>288.63</v>
      </c>
      <c r="I114" s="6" t="s">
        <v>15</v>
      </c>
      <c r="K114" s="38"/>
    </row>
    <row r="115" spans="1:11" s="1" customFormat="1">
      <c r="A115" s="10"/>
      <c r="B115" s="13"/>
      <c r="C115" s="9"/>
      <c r="D115" s="16"/>
      <c r="E115" s="17"/>
      <c r="F115" s="26"/>
      <c r="G115" s="22"/>
      <c r="H115" s="30"/>
      <c r="I115" s="6"/>
      <c r="K115" s="38"/>
    </row>
    <row r="116" spans="1:11" s="1" customFormat="1">
      <c r="A116" s="10"/>
      <c r="B116" s="13"/>
      <c r="C116" s="9"/>
      <c r="D116" s="16"/>
      <c r="E116" s="17"/>
      <c r="F116" s="26"/>
      <c r="G116" s="22"/>
      <c r="H116" s="30"/>
      <c r="I116" s="6"/>
      <c r="K116" s="38"/>
    </row>
    <row r="117" spans="1:11" s="1" customFormat="1">
      <c r="A117" s="10"/>
      <c r="B117" s="13"/>
      <c r="C117" s="9"/>
      <c r="D117" s="16"/>
      <c r="E117" s="17"/>
      <c r="F117" s="26"/>
      <c r="G117" s="22"/>
      <c r="H117" s="30"/>
      <c r="I117" s="6"/>
      <c r="K117" s="38"/>
    </row>
    <row r="118" spans="1:11" s="1" customFormat="1">
      <c r="A118" s="10"/>
      <c r="B118" s="13"/>
      <c r="C118" s="9"/>
      <c r="D118" s="16"/>
      <c r="E118" s="17"/>
      <c r="F118" s="26"/>
      <c r="G118" s="22"/>
      <c r="H118" s="30"/>
      <c r="I118" s="6"/>
      <c r="K118" s="38"/>
    </row>
    <row r="119" spans="1:11" s="1" customFormat="1">
      <c r="A119" s="9"/>
      <c r="B119" s="9"/>
      <c r="C119" s="9"/>
      <c r="D119" s="16"/>
      <c r="E119" s="17"/>
      <c r="F119" s="26"/>
      <c r="G119" s="22"/>
      <c r="H119" s="30"/>
      <c r="I119" s="2"/>
      <c r="K119" s="4"/>
    </row>
    <row r="120" spans="1:11" s="1" customFormat="1">
      <c r="A120" s="11" t="s">
        <v>4</v>
      </c>
      <c r="B120" s="10"/>
      <c r="C120" s="10"/>
      <c r="D120" s="18">
        <f>SUM(D112:D119)</f>
        <v>427.78</v>
      </c>
      <c r="E120" s="6"/>
      <c r="F120" s="27">
        <f>SUM(F112:F119)</f>
        <v>0</v>
      </c>
      <c r="G120" s="23"/>
      <c r="H120" s="31">
        <f>SUM(H112:H119)</f>
        <v>288.63</v>
      </c>
      <c r="I120" s="2"/>
    </row>
    <row r="121" spans="1:11" s="1" customFormat="1" ht="15.75" thickBot="1">
      <c r="A121" s="12" t="s">
        <v>5</v>
      </c>
      <c r="B121" s="34">
        <f>SUM(D120+F120+H120)</f>
        <v>716.41</v>
      </c>
      <c r="C121" s="33"/>
      <c r="D121" s="19"/>
      <c r="E121" s="20"/>
      <c r="F121" s="28"/>
      <c r="G121" s="24"/>
      <c r="H121" s="32"/>
      <c r="I121" s="3"/>
    </row>
    <row r="122" spans="1:11" s="1" customFormat="1">
      <c r="A122" s="43" t="s">
        <v>125</v>
      </c>
      <c r="B122" s="8" t="s">
        <v>120</v>
      </c>
      <c r="C122" s="8" t="s">
        <v>65</v>
      </c>
      <c r="D122" s="14">
        <f>55.95</f>
        <v>55.95</v>
      </c>
      <c r="E122" s="15" t="s">
        <v>16</v>
      </c>
      <c r="F122" s="25">
        <f>212</f>
        <v>212</v>
      </c>
      <c r="G122" s="21" t="s">
        <v>121</v>
      </c>
      <c r="H122" s="29"/>
      <c r="I122" s="5"/>
    </row>
    <row r="123" spans="1:11" s="1" customFormat="1">
      <c r="A123" s="10"/>
      <c r="B123" s="37" t="s">
        <v>99</v>
      </c>
      <c r="C123" s="9"/>
      <c r="D123" s="16">
        <f>35+63.78</f>
        <v>98.78</v>
      </c>
      <c r="E123" s="17" t="s">
        <v>14</v>
      </c>
      <c r="F123" s="26">
        <f>54</f>
        <v>54</v>
      </c>
      <c r="G123" s="22" t="s">
        <v>43</v>
      </c>
      <c r="H123" s="30"/>
      <c r="I123" s="6"/>
    </row>
    <row r="124" spans="1:11" s="1" customFormat="1">
      <c r="A124" s="9"/>
      <c r="B124" s="9"/>
      <c r="C124" s="10"/>
      <c r="D124" s="16">
        <f>40</f>
        <v>40</v>
      </c>
      <c r="E124" s="17" t="s">
        <v>101</v>
      </c>
      <c r="F124" s="26">
        <f>116.2</f>
        <v>116.2</v>
      </c>
      <c r="G124" s="22" t="s">
        <v>42</v>
      </c>
      <c r="H124" s="30"/>
      <c r="I124" s="6"/>
      <c r="K124" s="38"/>
    </row>
    <row r="125" spans="1:11" s="1" customFormat="1">
      <c r="A125" s="9"/>
      <c r="B125" s="9"/>
      <c r="C125" s="10"/>
      <c r="D125" s="16"/>
      <c r="E125" s="17"/>
      <c r="F125" s="26"/>
      <c r="G125" s="22"/>
      <c r="H125" s="30"/>
      <c r="I125" s="6"/>
      <c r="K125" s="38"/>
    </row>
    <row r="126" spans="1:11" s="1" customFormat="1">
      <c r="A126" s="9"/>
      <c r="B126" s="9"/>
      <c r="C126" s="10" t="s">
        <v>70</v>
      </c>
      <c r="D126" s="16">
        <f>54.86+53.06</f>
        <v>107.92</v>
      </c>
      <c r="E126" s="17" t="s">
        <v>16</v>
      </c>
      <c r="F126" s="26">
        <f>3.67</f>
        <v>3.67</v>
      </c>
      <c r="G126" s="22" t="s">
        <v>42</v>
      </c>
      <c r="H126" s="30"/>
      <c r="I126" s="6"/>
      <c r="K126" s="38"/>
    </row>
    <row r="127" spans="1:11" s="1" customFormat="1">
      <c r="A127" s="9"/>
      <c r="B127" s="9"/>
      <c r="C127" s="10"/>
      <c r="D127" s="16">
        <f>90+21.26</f>
        <v>111.26</v>
      </c>
      <c r="E127" s="17" t="s">
        <v>14</v>
      </c>
      <c r="F127" s="26"/>
      <c r="G127" s="22"/>
      <c r="H127" s="30">
        <f>588.16</f>
        <v>588.16</v>
      </c>
      <c r="I127" s="6" t="s">
        <v>81</v>
      </c>
      <c r="K127" s="38"/>
    </row>
    <row r="128" spans="1:11" s="1" customFormat="1">
      <c r="A128" s="9"/>
      <c r="B128" s="9"/>
      <c r="C128" s="10"/>
      <c r="D128" s="16">
        <f>10</f>
        <v>10</v>
      </c>
      <c r="E128" s="17" t="s">
        <v>29</v>
      </c>
      <c r="F128" s="26"/>
      <c r="G128" s="22"/>
      <c r="H128" s="30"/>
      <c r="I128" s="6"/>
      <c r="K128" s="38"/>
    </row>
    <row r="129" spans="1:11" s="1" customFormat="1">
      <c r="A129" s="10"/>
      <c r="B129" s="13"/>
      <c r="C129" s="9"/>
      <c r="D129" s="16"/>
      <c r="E129" s="17"/>
      <c r="F129" s="26"/>
      <c r="G129" s="22"/>
      <c r="H129" s="30"/>
      <c r="I129" s="6"/>
      <c r="K129" s="38"/>
    </row>
    <row r="130" spans="1:11" s="1" customFormat="1">
      <c r="A130" s="10"/>
      <c r="B130" s="13"/>
      <c r="C130" s="9" t="s">
        <v>76</v>
      </c>
      <c r="D130" s="16">
        <f>6.7</f>
        <v>6.7</v>
      </c>
      <c r="E130" s="17" t="s">
        <v>16</v>
      </c>
      <c r="F130" s="26"/>
      <c r="G130" s="22"/>
      <c r="H130" s="30"/>
      <c r="I130" s="6"/>
      <c r="K130" s="38"/>
    </row>
    <row r="131" spans="1:11" s="1" customFormat="1">
      <c r="A131" s="10"/>
      <c r="B131" s="13"/>
      <c r="C131" s="9" t="s">
        <v>131</v>
      </c>
      <c r="D131" s="16">
        <f>25</f>
        <v>25</v>
      </c>
      <c r="E131" s="17" t="s">
        <v>14</v>
      </c>
      <c r="F131" s="26"/>
      <c r="G131" s="22"/>
      <c r="H131" s="30"/>
      <c r="I131" s="6"/>
      <c r="K131" s="38"/>
    </row>
    <row r="132" spans="1:11" s="1" customFormat="1">
      <c r="A132" s="9"/>
      <c r="B132" s="9"/>
      <c r="C132" s="9"/>
      <c r="D132" s="16"/>
      <c r="E132" s="17"/>
      <c r="F132" s="26"/>
      <c r="G132" s="22"/>
      <c r="H132" s="30"/>
      <c r="I132" s="2"/>
      <c r="K132" s="4"/>
    </row>
    <row r="133" spans="1:11" s="1" customFormat="1">
      <c r="A133" s="11" t="s">
        <v>4</v>
      </c>
      <c r="B133" s="10"/>
      <c r="C133" s="10"/>
      <c r="D133" s="18">
        <f>SUM(D122:D132)</f>
        <v>455.61</v>
      </c>
      <c r="E133" s="6"/>
      <c r="F133" s="27">
        <f>SUM(F122:F132)</f>
        <v>385.87</v>
      </c>
      <c r="G133" s="23"/>
      <c r="H133" s="31">
        <f>SUM(H122:H132)</f>
        <v>588.16</v>
      </c>
      <c r="I133" s="2"/>
    </row>
    <row r="134" spans="1:11" s="1" customFormat="1" ht="15.75" thickBot="1">
      <c r="A134" s="12" t="s">
        <v>5</v>
      </c>
      <c r="B134" s="34">
        <f>SUM(D133+F133+H133)</f>
        <v>1429.6399999999999</v>
      </c>
      <c r="C134" s="33"/>
      <c r="D134" s="19"/>
      <c r="E134" s="20"/>
      <c r="F134" s="28"/>
      <c r="G134" s="24"/>
      <c r="H134" s="32"/>
      <c r="I134" s="3"/>
    </row>
    <row r="135" spans="1:11" s="1" customFormat="1">
      <c r="A135" s="43"/>
      <c r="B135" s="8"/>
      <c r="C135" s="8"/>
      <c r="D135" s="14"/>
      <c r="E135" s="15"/>
      <c r="F135" s="25"/>
      <c r="G135" s="21"/>
      <c r="H135" s="29"/>
      <c r="I135" s="5"/>
    </row>
    <row r="136" spans="1:11" s="1" customFormat="1">
      <c r="A136" s="10"/>
      <c r="B136" s="37"/>
      <c r="C136" s="9"/>
      <c r="D136" s="16"/>
      <c r="E136" s="17"/>
      <c r="F136" s="26"/>
      <c r="G136" s="22"/>
      <c r="H136" s="30"/>
      <c r="I136" s="6"/>
    </row>
    <row r="137" spans="1:11" s="1" customFormat="1">
      <c r="A137" s="9"/>
      <c r="B137" s="9"/>
      <c r="C137" s="10"/>
      <c r="D137" s="16"/>
      <c r="E137" s="17"/>
      <c r="F137" s="26"/>
      <c r="G137" s="22"/>
      <c r="H137" s="30"/>
      <c r="I137" s="6"/>
      <c r="K137" s="38"/>
    </row>
    <row r="138" spans="1:11" s="1" customFormat="1">
      <c r="A138" s="10"/>
      <c r="B138" s="13"/>
      <c r="C138" s="9"/>
      <c r="D138" s="16"/>
      <c r="E138" s="17"/>
      <c r="F138" s="26"/>
      <c r="G138" s="22"/>
      <c r="H138" s="30"/>
      <c r="I138" s="6"/>
      <c r="K138" s="38"/>
    </row>
    <row r="139" spans="1:11" s="1" customFormat="1">
      <c r="A139" s="10"/>
      <c r="B139" s="13"/>
      <c r="C139" s="9"/>
      <c r="D139" s="16"/>
      <c r="E139" s="17"/>
      <c r="F139" s="26"/>
      <c r="G139" s="22"/>
      <c r="H139" s="30"/>
      <c r="I139" s="6"/>
      <c r="K139" s="38"/>
    </row>
    <row r="140" spans="1:11" s="1" customFormat="1">
      <c r="A140" s="9"/>
      <c r="B140" s="9"/>
      <c r="C140" s="9"/>
      <c r="D140" s="16"/>
      <c r="E140" s="17"/>
      <c r="F140" s="26"/>
      <c r="G140" s="22"/>
      <c r="H140" s="30"/>
      <c r="I140" s="2"/>
      <c r="K140" s="4"/>
    </row>
    <row r="141" spans="1:11" s="1" customFormat="1">
      <c r="A141" s="11" t="s">
        <v>4</v>
      </c>
      <c r="B141" s="10"/>
      <c r="C141" s="10"/>
      <c r="D141" s="18">
        <f>SUM(D135:D140)</f>
        <v>0</v>
      </c>
      <c r="E141" s="6"/>
      <c r="F141" s="27">
        <f>SUM(F135:F140)</f>
        <v>0</v>
      </c>
      <c r="G141" s="23"/>
      <c r="H141" s="31">
        <f>SUM(H135:H140)</f>
        <v>0</v>
      </c>
      <c r="I141" s="2"/>
    </row>
    <row r="142" spans="1:11" s="1" customFormat="1" ht="15.75" thickBot="1">
      <c r="A142" s="12" t="s">
        <v>5</v>
      </c>
      <c r="B142" s="34">
        <f>SUM(D141+F141+H141)</f>
        <v>0</v>
      </c>
      <c r="C142" s="33"/>
      <c r="D142" s="19"/>
      <c r="E142" s="20"/>
      <c r="F142" s="28"/>
      <c r="G142" s="24"/>
      <c r="H142" s="32"/>
      <c r="I142" s="3"/>
    </row>
    <row r="143" spans="1:11" ht="15.75" thickBot="1"/>
    <row r="144" spans="1:11" ht="20.25" thickBot="1">
      <c r="A144" s="35" t="s">
        <v>8</v>
      </c>
      <c r="B144" s="36" t="e">
        <f>SUM(B83,B142,#REF!,#REF!,#REF!,#REF!,#REF!,#REF!,#REF!,#REF!,#REF!,#REF!,#REF!,#REF!,#REF!,#REF!,#REF!)</f>
        <v>#REF!</v>
      </c>
      <c r="J144" s="1"/>
      <c r="K144" s="40"/>
    </row>
    <row r="145" spans="10:11">
      <c r="J145" s="1"/>
      <c r="K145" s="40"/>
    </row>
    <row r="146" spans="10:11">
      <c r="J146" s="1"/>
      <c r="K146" s="40"/>
    </row>
    <row r="147" spans="10:11">
      <c r="J147" s="1"/>
      <c r="K147" s="40"/>
    </row>
    <row r="148" spans="10:11">
      <c r="J148" s="1"/>
      <c r="K148" s="40"/>
    </row>
    <row r="149" spans="10:11">
      <c r="J149" s="1"/>
      <c r="K149" s="41"/>
    </row>
    <row r="150" spans="10:11">
      <c r="J150" s="1"/>
      <c r="K150" s="40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D3" sqref="D3"/>
    </sheetView>
  </sheetViews>
  <sheetFormatPr defaultRowHeight="15"/>
  <sheetData>
    <row r="1" spans="1:4">
      <c r="A1" t="s">
        <v>77</v>
      </c>
      <c r="C1">
        <v>927.66</v>
      </c>
      <c r="D1" t="s">
        <v>139</v>
      </c>
    </row>
    <row r="3" spans="1:4">
      <c r="A3" t="s">
        <v>76</v>
      </c>
      <c r="C3">
        <v>1724.97</v>
      </c>
      <c r="D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E7" sqref="E7"/>
    </sheetView>
  </sheetViews>
  <sheetFormatPr defaultRowHeight="15"/>
  <sheetData>
    <row r="1" spans="1:4">
      <c r="A1" t="s">
        <v>135</v>
      </c>
      <c r="C1">
        <v>480</v>
      </c>
      <c r="D1" t="s">
        <v>136</v>
      </c>
    </row>
    <row r="3" spans="1:4">
      <c r="A3" t="s">
        <v>9</v>
      </c>
      <c r="C3">
        <v>480</v>
      </c>
      <c r="D3" t="s">
        <v>136</v>
      </c>
    </row>
    <row r="5" spans="1:4">
      <c r="A5" t="s">
        <v>76</v>
      </c>
      <c r="C5">
        <v>480</v>
      </c>
      <c r="D5" t="s">
        <v>136</v>
      </c>
    </row>
    <row r="7" spans="1:4">
      <c r="A7" t="s">
        <v>77</v>
      </c>
      <c r="C7">
        <v>480</v>
      </c>
      <c r="D7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GENNAIO</vt:lpstr>
      <vt:lpstr>FEBBRAIO</vt:lpstr>
      <vt:lpstr>MARZO</vt:lpstr>
      <vt:lpstr>APRILE</vt:lpstr>
      <vt:lpstr>GIUGNO</vt:lpstr>
      <vt:lpstr>GENNAIO!Print_Area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2014-04-15T10:31:25Z</dcterms:modified>
</cp:coreProperties>
</file>