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 activeTab="4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7" r:id="rId7"/>
  </sheets>
  <calcPr calcId="125725"/>
</workbook>
</file>

<file path=xl/calcChain.xml><?xml version="1.0" encoding="utf-8"?>
<calcChain xmlns="http://schemas.openxmlformats.org/spreadsheetml/2006/main">
  <c r="D14" i="5"/>
  <c r="H139" i="6"/>
  <c r="F139"/>
  <c r="D139"/>
  <c r="B162" i="5"/>
  <c r="B161"/>
  <c r="H150"/>
  <c r="F150"/>
  <c r="D150"/>
  <c r="H133"/>
  <c r="D133"/>
  <c r="H123"/>
  <c r="D123"/>
  <c r="H114"/>
  <c r="D114"/>
  <c r="H101"/>
  <c r="D101"/>
  <c r="H96"/>
  <c r="F96"/>
  <c r="D96"/>
  <c r="H86"/>
  <c r="F86"/>
  <c r="D86"/>
  <c r="H73"/>
  <c r="D73"/>
  <c r="H64"/>
  <c r="F64"/>
  <c r="D64"/>
  <c r="F48"/>
  <c r="D44"/>
  <c r="H40"/>
  <c r="F40"/>
  <c r="D40"/>
  <c r="H33"/>
  <c r="F33"/>
  <c r="D33"/>
  <c r="D10"/>
  <c r="D6"/>
  <c r="D136"/>
  <c r="H130"/>
  <c r="H126"/>
  <c r="H30"/>
  <c r="H26"/>
  <c r="D101" i="6"/>
  <c r="D109" s="1"/>
  <c r="F104"/>
  <c r="F103"/>
  <c r="F102"/>
  <c r="F101"/>
  <c r="H109"/>
  <c r="H61"/>
  <c r="D61"/>
  <c r="D59"/>
  <c r="D60"/>
  <c r="F59"/>
  <c r="H77"/>
  <c r="H75"/>
  <c r="H89"/>
  <c r="F89"/>
  <c r="D89"/>
  <c r="B90" s="1"/>
  <c r="F121"/>
  <c r="D121"/>
  <c r="D122"/>
  <c r="H129"/>
  <c r="F129"/>
  <c r="D16"/>
  <c r="D15"/>
  <c r="D107" i="5"/>
  <c r="D27"/>
  <c r="D26"/>
  <c r="D25"/>
  <c r="D129"/>
  <c r="D130"/>
  <c r="D108"/>
  <c r="H109"/>
  <c r="D131"/>
  <c r="D38"/>
  <c r="H113" i="6"/>
  <c r="D111"/>
  <c r="D119" s="1"/>
  <c r="B120" s="1"/>
  <c r="D112"/>
  <c r="F119"/>
  <c r="H119"/>
  <c r="D79"/>
  <c r="F79"/>
  <c r="H79"/>
  <c r="H32"/>
  <c r="D31"/>
  <c r="D30"/>
  <c r="D32"/>
  <c r="H20"/>
  <c r="D18"/>
  <c r="D19"/>
  <c r="D70" i="5"/>
  <c r="H71"/>
  <c r="D71"/>
  <c r="D12"/>
  <c r="D13"/>
  <c r="F15"/>
  <c r="H15"/>
  <c r="H14"/>
  <c r="F12"/>
  <c r="F13"/>
  <c r="D120"/>
  <c r="D121"/>
  <c r="H44"/>
  <c r="F44"/>
  <c r="D101" i="4"/>
  <c r="D102"/>
  <c r="D30" i="5"/>
  <c r="F18"/>
  <c r="H20"/>
  <c r="D19"/>
  <c r="D18"/>
  <c r="H19"/>
  <c r="F19"/>
  <c r="D17"/>
  <c r="F17"/>
  <c r="D10" i="6"/>
  <c r="D8"/>
  <c r="H11"/>
  <c r="H10"/>
  <c r="D9"/>
  <c r="D143" i="5"/>
  <c r="H145"/>
  <c r="H57"/>
  <c r="D55"/>
  <c r="F10" i="6"/>
  <c r="F9"/>
  <c r="F8"/>
  <c r="F145" i="5"/>
  <c r="F144"/>
  <c r="F143"/>
  <c r="F57"/>
  <c r="F56"/>
  <c r="F55"/>
  <c r="H127"/>
  <c r="D125"/>
  <c r="H31"/>
  <c r="H27"/>
  <c r="D29"/>
  <c r="D51"/>
  <c r="H94"/>
  <c r="D92"/>
  <c r="D50"/>
  <c r="F92"/>
  <c r="F50"/>
  <c r="H53"/>
  <c r="H81"/>
  <c r="D79"/>
  <c r="F80"/>
  <c r="F79"/>
  <c r="D59"/>
  <c r="H62"/>
  <c r="F60"/>
  <c r="F59"/>
  <c r="H17"/>
  <c r="H18"/>
  <c r="H15" i="7"/>
  <c r="H84" i="5"/>
  <c r="H83"/>
  <c r="H52"/>
  <c r="H61"/>
  <c r="H38" i="6"/>
  <c r="H96"/>
  <c r="H95"/>
  <c r="H92"/>
  <c r="H91"/>
  <c r="H99" s="1"/>
  <c r="B100" s="1"/>
  <c r="F99"/>
  <c r="D99"/>
  <c r="H7" i="7"/>
  <c r="H80" i="5"/>
  <c r="H79"/>
  <c r="H121"/>
  <c r="H120"/>
  <c r="H60"/>
  <c r="H59"/>
  <c r="H76"/>
  <c r="H75"/>
  <c r="H49" i="6"/>
  <c r="H50"/>
  <c r="H23"/>
  <c r="H140" i="5"/>
  <c r="H139"/>
  <c r="H39" i="6"/>
  <c r="H112" i="5"/>
  <c r="H111"/>
  <c r="H108"/>
  <c r="H107"/>
  <c r="H29"/>
  <c r="H25"/>
  <c r="H55"/>
  <c r="H51"/>
  <c r="H50"/>
  <c r="H129"/>
  <c r="H125"/>
  <c r="F133"/>
  <c r="H19" i="6"/>
  <c r="H18"/>
  <c r="H9"/>
  <c r="H8"/>
  <c r="H3" i="7"/>
  <c r="B24"/>
  <c r="F17"/>
  <c r="D17"/>
  <c r="H17"/>
  <c r="B18"/>
  <c r="H66" i="6"/>
  <c r="H65"/>
  <c r="H136" i="5"/>
  <c r="H135"/>
  <c r="H93"/>
  <c r="H92"/>
  <c r="H88"/>
  <c r="H89"/>
  <c r="H104"/>
  <c r="H103"/>
  <c r="H117"/>
  <c r="H116"/>
  <c r="H70"/>
  <c r="H99"/>
  <c r="H98"/>
  <c r="H60" i="6"/>
  <c r="H59"/>
  <c r="H13" i="5"/>
  <c r="H12"/>
  <c r="H5" i="6"/>
  <c r="H147" i="5"/>
  <c r="H2" i="6"/>
  <c r="H13" s="1"/>
  <c r="H3"/>
  <c r="H148" i="5"/>
  <c r="F25" i="6"/>
  <c r="H22"/>
  <c r="H16"/>
  <c r="H25" s="1"/>
  <c r="H15"/>
  <c r="H144" i="5"/>
  <c r="H143"/>
  <c r="H27" i="6"/>
  <c r="H63" s="1"/>
  <c r="H70"/>
  <c r="D117" i="5"/>
  <c r="D118"/>
  <c r="D71" i="6"/>
  <c r="D116" i="5"/>
  <c r="F123"/>
  <c r="H69" i="6"/>
  <c r="D67"/>
  <c r="D88" i="5"/>
  <c r="H90"/>
  <c r="D90"/>
  <c r="D89"/>
  <c r="D75"/>
  <c r="D76"/>
  <c r="F77"/>
  <c r="F76"/>
  <c r="F75"/>
  <c r="H141"/>
  <c r="D139"/>
  <c r="D141"/>
  <c r="D140"/>
  <c r="F6"/>
  <c r="H6"/>
  <c r="H137"/>
  <c r="D36"/>
  <c r="D35"/>
  <c r="F36"/>
  <c r="F35"/>
  <c r="D23"/>
  <c r="D22"/>
  <c r="D113" i="4"/>
  <c r="D115"/>
  <c r="B116"/>
  <c r="F152" i="5"/>
  <c r="F154" s="1"/>
  <c r="D154"/>
  <c r="H154"/>
  <c r="F101"/>
  <c r="D68"/>
  <c r="F68"/>
  <c r="H68"/>
  <c r="D48"/>
  <c r="H48"/>
  <c r="D103"/>
  <c r="F114"/>
  <c r="B135" i="4"/>
  <c r="B134"/>
  <c r="H129"/>
  <c r="F129"/>
  <c r="D129"/>
  <c r="H115"/>
  <c r="H105"/>
  <c r="F105"/>
  <c r="D105"/>
  <c r="H92"/>
  <c r="F92"/>
  <c r="D92"/>
  <c r="H77"/>
  <c r="D77"/>
  <c r="H69"/>
  <c r="D69"/>
  <c r="H59"/>
  <c r="F59"/>
  <c r="D59"/>
  <c r="H42"/>
  <c r="F42"/>
  <c r="D42"/>
  <c r="F22"/>
  <c r="D22"/>
  <c r="H11"/>
  <c r="F11"/>
  <c r="D11"/>
  <c r="D6"/>
  <c r="H56" i="6"/>
  <c r="H57"/>
  <c r="H53"/>
  <c r="H54"/>
  <c r="H156" i="3"/>
  <c r="H99" i="4"/>
  <c r="H45" i="6"/>
  <c r="H42"/>
  <c r="H79" i="4"/>
  <c r="H80"/>
  <c r="H46" i="6"/>
  <c r="H43"/>
  <c r="H118" i="4"/>
  <c r="H117"/>
  <c r="F17"/>
  <c r="H71"/>
  <c r="H72"/>
  <c r="H146" i="3"/>
  <c r="H67"/>
  <c r="H23" i="5"/>
  <c r="H34" i="6"/>
  <c r="H35"/>
  <c r="H22" i="5"/>
  <c r="H9" i="4"/>
  <c r="H36" i="5"/>
  <c r="H35"/>
  <c r="H30" i="6"/>
  <c r="H88" i="4"/>
  <c r="H83"/>
  <c r="H84"/>
  <c r="H89"/>
  <c r="H74"/>
  <c r="B146" i="6"/>
  <c r="D73"/>
  <c r="F73"/>
  <c r="H73"/>
  <c r="B74" s="1"/>
  <c r="D63"/>
  <c r="B64" s="1"/>
  <c r="F63"/>
  <c r="D13"/>
  <c r="F13"/>
  <c r="F20" i="4"/>
  <c r="H44"/>
  <c r="H45"/>
  <c r="H125"/>
  <c r="H15" i="3"/>
  <c r="H158" i="5"/>
  <c r="F158"/>
  <c r="D158"/>
  <c r="H126" i="4"/>
  <c r="D125"/>
  <c r="D126"/>
  <c r="D75"/>
  <c r="F73" i="5"/>
  <c r="H101" i="4"/>
  <c r="H98"/>
  <c r="D98"/>
  <c r="D99"/>
  <c r="D40"/>
  <c r="D39"/>
  <c r="H67"/>
  <c r="D66"/>
  <c r="F69"/>
  <c r="H61"/>
  <c r="H62"/>
  <c r="B70"/>
  <c r="D25"/>
  <c r="H26"/>
  <c r="D24"/>
  <c r="H119"/>
  <c r="D117"/>
  <c r="D118"/>
  <c r="H30"/>
  <c r="F28"/>
  <c r="D17"/>
  <c r="F18"/>
  <c r="D18"/>
  <c r="H22"/>
  <c r="B23"/>
  <c r="F115"/>
  <c r="D110"/>
  <c r="H107"/>
  <c r="F36"/>
  <c r="D36"/>
  <c r="D37"/>
  <c r="D53"/>
  <c r="D51"/>
  <c r="D48"/>
  <c r="D49"/>
  <c r="D50"/>
  <c r="F50"/>
  <c r="F49"/>
  <c r="F48"/>
  <c r="D32"/>
  <c r="D32" i="3"/>
  <c r="D33" i="4"/>
  <c r="D79"/>
  <c r="D80"/>
  <c r="D71"/>
  <c r="D72"/>
  <c r="D8"/>
  <c r="F9"/>
  <c r="F8"/>
  <c r="H90"/>
  <c r="D89"/>
  <c r="D88"/>
  <c r="H96"/>
  <c r="D95"/>
  <c r="D94"/>
  <c r="F96"/>
  <c r="F95"/>
  <c r="F94"/>
  <c r="D123"/>
  <c r="D122"/>
  <c r="F121"/>
  <c r="D121"/>
  <c r="D8" i="5"/>
  <c r="F10"/>
  <c r="H10"/>
  <c r="H85" i="4"/>
  <c r="D83"/>
  <c r="D84"/>
  <c r="F84"/>
  <c r="F83"/>
  <c r="H81"/>
  <c r="F79"/>
  <c r="D74"/>
  <c r="D44"/>
  <c r="D45"/>
  <c r="H70" i="3"/>
  <c r="B71"/>
  <c r="H149"/>
  <c r="B150"/>
  <c r="B180"/>
  <c r="D34"/>
  <c r="B35"/>
  <c r="B183"/>
  <c r="H20"/>
  <c r="B21"/>
  <c r="B181"/>
  <c r="H163"/>
  <c r="B164"/>
  <c r="B182"/>
  <c r="B184"/>
  <c r="B185"/>
  <c r="D41"/>
  <c r="D42"/>
  <c r="D2"/>
  <c r="D3"/>
  <c r="D4"/>
  <c r="D6"/>
  <c r="D7"/>
  <c r="D9"/>
  <c r="D10"/>
  <c r="D11"/>
  <c r="D13"/>
  <c r="F2"/>
  <c r="F3"/>
  <c r="F4"/>
  <c r="F6"/>
  <c r="F13"/>
  <c r="H2"/>
  <c r="H3"/>
  <c r="H4"/>
  <c r="H13"/>
  <c r="B14"/>
  <c r="D53"/>
  <c r="D54"/>
  <c r="D55"/>
  <c r="D57"/>
  <c r="D58"/>
  <c r="D60"/>
  <c r="F53"/>
  <c r="F54"/>
  <c r="F57"/>
  <c r="F60"/>
  <c r="H47"/>
  <c r="H48"/>
  <c r="H50"/>
  <c r="H51"/>
  <c r="H53"/>
  <c r="H54"/>
  <c r="H55"/>
  <c r="H57"/>
  <c r="H60"/>
  <c r="B61"/>
  <c r="D88"/>
  <c r="D89"/>
  <c r="D92"/>
  <c r="D97"/>
  <c r="D98"/>
  <c r="D101"/>
  <c r="D102"/>
  <c r="D106"/>
  <c r="D107"/>
  <c r="D122"/>
  <c r="D123"/>
  <c r="D124"/>
  <c r="D126"/>
  <c r="D127"/>
  <c r="D130"/>
  <c r="F92"/>
  <c r="F93"/>
  <c r="F94"/>
  <c r="F97"/>
  <c r="F113"/>
  <c r="F114"/>
  <c r="F115"/>
  <c r="F122"/>
  <c r="F130"/>
  <c r="H85"/>
  <c r="H86"/>
  <c r="H88"/>
  <c r="H89"/>
  <c r="H90"/>
  <c r="H92"/>
  <c r="H93"/>
  <c r="H94"/>
  <c r="H95"/>
  <c r="H97"/>
  <c r="H98"/>
  <c r="H99"/>
  <c r="H101"/>
  <c r="H102"/>
  <c r="H103"/>
  <c r="H104"/>
  <c r="H106"/>
  <c r="H107"/>
  <c r="H108"/>
  <c r="H110"/>
  <c r="H113"/>
  <c r="H114"/>
  <c r="H116"/>
  <c r="H117"/>
  <c r="H119"/>
  <c r="H120"/>
  <c r="H122"/>
  <c r="H123"/>
  <c r="H124"/>
  <c r="H126"/>
  <c r="H127"/>
  <c r="H128"/>
  <c r="H130"/>
  <c r="B131"/>
  <c r="D158"/>
  <c r="D161"/>
  <c r="D163"/>
  <c r="F163"/>
  <c r="H155"/>
  <c r="H158"/>
  <c r="H159"/>
  <c r="D83"/>
  <c r="F81"/>
  <c r="F83"/>
  <c r="H83"/>
  <c r="B84"/>
  <c r="D15"/>
  <c r="D16"/>
  <c r="D20"/>
  <c r="F15"/>
  <c r="F16"/>
  <c r="F17"/>
  <c r="F18"/>
  <c r="F20"/>
  <c r="H16"/>
  <c r="D36"/>
  <c r="D37"/>
  <c r="D40"/>
  <c r="D45"/>
  <c r="F45"/>
  <c r="H36"/>
  <c r="H37"/>
  <c r="H38"/>
  <c r="H41"/>
  <c r="H42"/>
  <c r="H45"/>
  <c r="B46"/>
  <c r="H165"/>
  <c r="H166"/>
  <c r="H167"/>
  <c r="H169"/>
  <c r="H170"/>
  <c r="H171"/>
  <c r="H173"/>
  <c r="H174"/>
  <c r="H175"/>
  <c r="H177"/>
  <c r="F165"/>
  <c r="F169"/>
  <c r="F173"/>
  <c r="F177"/>
  <c r="D165"/>
  <c r="D166"/>
  <c r="D169"/>
  <c r="D173"/>
  <c r="D174"/>
  <c r="D177"/>
  <c r="H137"/>
  <c r="H138"/>
  <c r="H139"/>
  <c r="H141"/>
  <c r="H142"/>
  <c r="H143"/>
  <c r="H145"/>
  <c r="H147"/>
  <c r="F137"/>
  <c r="F141"/>
  <c r="F145"/>
  <c r="F149"/>
  <c r="D139"/>
  <c r="D141"/>
  <c r="D142"/>
  <c r="D145"/>
  <c r="D146"/>
  <c r="D147"/>
  <c r="D149"/>
  <c r="H132"/>
  <c r="H133"/>
  <c r="H135"/>
  <c r="D133"/>
  <c r="D135"/>
  <c r="D76"/>
  <c r="D77"/>
  <c r="D79"/>
  <c r="H62"/>
  <c r="H63"/>
  <c r="H64"/>
  <c r="H66"/>
  <c r="H68"/>
  <c r="F62"/>
  <c r="F66"/>
  <c r="F70"/>
  <c r="D62"/>
  <c r="D66"/>
  <c r="D67"/>
  <c r="D70"/>
  <c r="H28"/>
  <c r="H29"/>
  <c r="H30"/>
  <c r="H32"/>
  <c r="H34"/>
  <c r="D22"/>
  <c r="D23"/>
  <c r="D26"/>
  <c r="H91" i="2"/>
  <c r="F91"/>
  <c r="D91"/>
  <c r="H68"/>
  <c r="F68"/>
  <c r="D68"/>
  <c r="H50"/>
  <c r="F50"/>
  <c r="D50"/>
  <c r="H31"/>
  <c r="D31"/>
  <c r="D22"/>
  <c r="H17"/>
  <c r="H10"/>
  <c r="F10"/>
  <c r="D10"/>
  <c r="H159" i="1"/>
  <c r="H54" i="4"/>
  <c r="H94" i="2"/>
  <c r="H38"/>
  <c r="F77" i="4"/>
  <c r="B78"/>
  <c r="H53"/>
  <c r="H8"/>
  <c r="B12"/>
  <c r="H48" i="2"/>
  <c r="H85"/>
  <c r="H66" i="4"/>
  <c r="H97" i="2"/>
  <c r="H72" i="3"/>
  <c r="H25" i="4"/>
  <c r="F13"/>
  <c r="D15"/>
  <c r="F15"/>
  <c r="H15"/>
  <c r="B16"/>
  <c r="H65"/>
  <c r="F72" i="3"/>
  <c r="F76"/>
  <c r="F79"/>
  <c r="H79"/>
  <c r="B80"/>
  <c r="D151"/>
  <c r="D29"/>
  <c r="D28"/>
  <c r="F29"/>
  <c r="F28"/>
  <c r="F34"/>
  <c r="D78" i="2"/>
  <c r="D96"/>
  <c r="D97"/>
  <c r="F40" i="3"/>
  <c r="F135"/>
  <c r="B136"/>
  <c r="D46" i="4"/>
  <c r="D98" i="2"/>
  <c r="D100"/>
  <c r="D102"/>
  <c r="H93"/>
  <c r="H96"/>
  <c r="H102"/>
  <c r="F100"/>
  <c r="F102"/>
  <c r="B103"/>
  <c r="D42"/>
  <c r="D45"/>
  <c r="D46"/>
  <c r="F42"/>
  <c r="F43"/>
  <c r="F45"/>
  <c r="H42"/>
  <c r="H43"/>
  <c r="H45"/>
  <c r="H46"/>
  <c r="H47"/>
  <c r="B51"/>
  <c r="D56"/>
  <c r="D58"/>
  <c r="F58"/>
  <c r="H58"/>
  <c r="B59"/>
  <c r="D110"/>
  <c r="F110"/>
  <c r="H110"/>
  <c r="B111"/>
  <c r="B116"/>
  <c r="D106"/>
  <c r="F106"/>
  <c r="H106"/>
  <c r="B107"/>
  <c r="B114"/>
  <c r="D2"/>
  <c r="D3"/>
  <c r="D4"/>
  <c r="D6"/>
  <c r="D7"/>
  <c r="F2"/>
  <c r="F6"/>
  <c r="H2"/>
  <c r="H3"/>
  <c r="H4"/>
  <c r="H6"/>
  <c r="H7"/>
  <c r="H8"/>
  <c r="B11"/>
  <c r="D17"/>
  <c r="F17"/>
  <c r="H12"/>
  <c r="H13"/>
  <c r="H15"/>
  <c r="B18"/>
  <c r="D19"/>
  <c r="D20"/>
  <c r="F22"/>
  <c r="H22"/>
  <c r="B23"/>
  <c r="D24"/>
  <c r="D25"/>
  <c r="D27"/>
  <c r="D28"/>
  <c r="F27"/>
  <c r="F31"/>
  <c r="H24"/>
  <c r="H27"/>
  <c r="H28"/>
  <c r="H29"/>
  <c r="B32"/>
  <c r="D33"/>
  <c r="D35"/>
  <c r="F35"/>
  <c r="H35"/>
  <c r="B36"/>
  <c r="D40"/>
  <c r="F40"/>
  <c r="H37"/>
  <c r="H40"/>
  <c r="B41"/>
  <c r="D60"/>
  <c r="D61"/>
  <c r="F60"/>
  <c r="F61"/>
  <c r="F62"/>
  <c r="F64"/>
  <c r="H60"/>
  <c r="H61"/>
  <c r="H62"/>
  <c r="H64"/>
  <c r="H65"/>
  <c r="H66"/>
  <c r="B69"/>
  <c r="D70"/>
  <c r="D72"/>
  <c r="F72"/>
  <c r="H72"/>
  <c r="B73"/>
  <c r="D74"/>
  <c r="D76"/>
  <c r="F76"/>
  <c r="H76"/>
  <c r="B77"/>
  <c r="B113"/>
  <c r="D147" i="1"/>
  <c r="H80" i="2"/>
  <c r="D79"/>
  <c r="F78"/>
  <c r="H89"/>
  <c r="D87"/>
  <c r="D88"/>
  <c r="F87"/>
  <c r="D153" i="3"/>
  <c r="F153"/>
  <c r="H153"/>
  <c r="H49" i="4"/>
  <c r="H48"/>
  <c r="H56"/>
  <c r="H167" i="1"/>
  <c r="H133"/>
  <c r="H151"/>
  <c r="H32" i="4"/>
  <c r="H33"/>
  <c r="H97" i="1"/>
  <c r="B60" i="4"/>
  <c r="H164" i="1"/>
  <c r="H20"/>
  <c r="H84" i="2"/>
  <c r="D82"/>
  <c r="D83"/>
  <c r="F82"/>
  <c r="H22" i="3"/>
  <c r="D74"/>
  <c r="F74"/>
  <c r="H74"/>
  <c r="B75"/>
  <c r="F26"/>
  <c r="H26"/>
  <c r="B27"/>
  <c r="D52" i="2"/>
  <c r="D54"/>
  <c r="H54"/>
  <c r="F54"/>
  <c r="D164" i="1"/>
  <c r="H165"/>
  <c r="D163"/>
  <c r="F63"/>
  <c r="F65"/>
  <c r="F60"/>
  <c r="H169"/>
  <c r="H161"/>
  <c r="F161"/>
  <c r="D161"/>
  <c r="H153"/>
  <c r="F153"/>
  <c r="D153"/>
  <c r="H145"/>
  <c r="D145"/>
  <c r="H135"/>
  <c r="D128"/>
  <c r="F94"/>
  <c r="D81"/>
  <c r="H13"/>
  <c r="D10"/>
  <c r="D11"/>
  <c r="D38"/>
  <c r="D150"/>
  <c r="D151"/>
  <c r="D106"/>
  <c r="D107"/>
  <c r="H104"/>
  <c r="F150"/>
  <c r="F108"/>
  <c r="F107"/>
  <c r="F106"/>
  <c r="D137"/>
  <c r="H139"/>
  <c r="D138"/>
  <c r="D139"/>
  <c r="H73"/>
  <c r="D71"/>
  <c r="D72"/>
  <c r="F137"/>
  <c r="F145"/>
  <c r="F71"/>
  <c r="F75"/>
  <c r="D114"/>
  <c r="D116"/>
  <c r="B117"/>
  <c r="D143"/>
  <c r="H143"/>
  <c r="D141"/>
  <c r="D142"/>
  <c r="H44"/>
  <c r="D42"/>
  <c r="D46"/>
  <c r="D43"/>
  <c r="H21"/>
  <c r="D19"/>
  <c r="D20"/>
  <c r="H60"/>
  <c r="H65"/>
  <c r="D60"/>
  <c r="D61"/>
  <c r="D36"/>
  <c r="H158"/>
  <c r="H150"/>
  <c r="H28" i="4"/>
  <c r="H29"/>
  <c r="H118" i="1"/>
  <c r="H119"/>
  <c r="H122"/>
  <c r="H91"/>
  <c r="H90"/>
  <c r="H88"/>
  <c r="H87"/>
  <c r="H68"/>
  <c r="H67"/>
  <c r="H75"/>
  <c r="H32"/>
  <c r="H100"/>
  <c r="H96"/>
  <c r="H27"/>
  <c r="H28"/>
  <c r="H24" i="4"/>
  <c r="F6"/>
  <c r="H6"/>
  <c r="B7"/>
  <c r="H163" i="1"/>
  <c r="F169"/>
  <c r="H142"/>
  <c r="H141"/>
  <c r="H125"/>
  <c r="H124"/>
  <c r="H128"/>
  <c r="H137"/>
  <c r="H147"/>
  <c r="D155"/>
  <c r="F155"/>
  <c r="H43"/>
  <c r="H42"/>
  <c r="D54"/>
  <c r="D58"/>
  <c r="F54"/>
  <c r="F58"/>
  <c r="F55"/>
  <c r="H54"/>
  <c r="H55"/>
  <c r="H58"/>
  <c r="H56"/>
  <c r="F56"/>
  <c r="H49"/>
  <c r="H48"/>
  <c r="H72"/>
  <c r="H71"/>
  <c r="H7"/>
  <c r="H126"/>
  <c r="D124"/>
  <c r="D125"/>
  <c r="D102"/>
  <c r="D110"/>
  <c r="D126"/>
  <c r="F124"/>
  <c r="F128"/>
  <c r="F102"/>
  <c r="F110"/>
  <c r="H17"/>
  <c r="D15"/>
  <c r="F16"/>
  <c r="F15"/>
  <c r="F40"/>
  <c r="D16"/>
  <c r="D91"/>
  <c r="D90"/>
  <c r="H50"/>
  <c r="D48"/>
  <c r="D49"/>
  <c r="D50"/>
  <c r="D34"/>
  <c r="F48"/>
  <c r="F52"/>
  <c r="H69"/>
  <c r="D68"/>
  <c r="D67"/>
  <c r="H116"/>
  <c r="F116"/>
  <c r="D131"/>
  <c r="F130"/>
  <c r="F135"/>
  <c r="D130"/>
  <c r="D135"/>
  <c r="H98"/>
  <c r="D96"/>
  <c r="D100"/>
  <c r="D97"/>
  <c r="F100"/>
  <c r="D24"/>
  <c r="H25"/>
  <c r="D23"/>
  <c r="F6"/>
  <c r="H8"/>
  <c r="D7"/>
  <c r="D6"/>
  <c r="D77"/>
  <c r="D78"/>
  <c r="F81"/>
  <c r="H81"/>
  <c r="D83"/>
  <c r="D85"/>
  <c r="B86"/>
  <c r="F85"/>
  <c r="H85"/>
  <c r="H29"/>
  <c r="F29"/>
  <c r="D27"/>
  <c r="F28"/>
  <c r="D28"/>
  <c r="F27"/>
  <c r="H120"/>
  <c r="D118"/>
  <c r="D122"/>
  <c r="D119"/>
  <c r="D87"/>
  <c r="D88"/>
  <c r="D94"/>
  <c r="D120"/>
  <c r="F122"/>
  <c r="F46"/>
  <c r="D2"/>
  <c r="D4"/>
  <c r="B5"/>
  <c r="F4"/>
  <c r="H4"/>
  <c r="H31"/>
  <c r="H11"/>
  <c r="H12"/>
  <c r="H107"/>
  <c r="H106"/>
  <c r="H88" i="2"/>
  <c r="H87"/>
  <c r="H82"/>
  <c r="H24" i="1"/>
  <c r="H23"/>
  <c r="H6"/>
  <c r="H103"/>
  <c r="H102"/>
  <c r="H110"/>
  <c r="H19"/>
  <c r="H16"/>
  <c r="H15"/>
  <c r="H79" i="2"/>
  <c r="H78"/>
  <c r="H10" i="1"/>
  <c r="D8"/>
  <c r="D169"/>
  <c r="B170"/>
  <c r="B162"/>
  <c r="B172"/>
  <c r="B123"/>
  <c r="B154"/>
  <c r="D52"/>
  <c r="B82"/>
  <c r="D65"/>
  <c r="H52"/>
  <c r="B136"/>
  <c r="H40"/>
  <c r="D40"/>
  <c r="D75"/>
  <c r="B76"/>
  <c r="H46"/>
  <c r="H94"/>
  <c r="B129"/>
  <c r="B111"/>
  <c r="B47"/>
  <c r="B146"/>
  <c r="B101"/>
  <c r="B95"/>
  <c r="B173"/>
  <c r="B66"/>
  <c r="B41"/>
  <c r="B175"/>
  <c r="B59"/>
  <c r="B53"/>
  <c r="B176"/>
  <c r="B177"/>
  <c r="B92" i="2"/>
  <c r="B55"/>
  <c r="B115"/>
  <c r="B117"/>
  <c r="B118"/>
  <c r="B154" i="3"/>
  <c r="B178"/>
  <c r="B93" i="4"/>
  <c r="B43"/>
  <c r="B130"/>
  <c r="B106"/>
  <c r="B132"/>
  <c r="B136"/>
  <c r="B137"/>
  <c r="B140" i="6" l="1"/>
  <c r="B151" i="5"/>
  <c r="B134"/>
  <c r="B65"/>
  <c r="B45"/>
  <c r="B74"/>
  <c r="B159"/>
  <c r="B102"/>
  <c r="B115"/>
  <c r="B11"/>
  <c r="B49"/>
  <c r="B155"/>
  <c r="B69"/>
  <c r="B7"/>
  <c r="F109" i="6"/>
  <c r="B110" s="1"/>
  <c r="B14"/>
  <c r="D25"/>
  <c r="B26" s="1"/>
  <c r="D129"/>
  <c r="B130" s="1"/>
  <c r="B80"/>
  <c r="B97" i="5" l="1"/>
  <c r="B124"/>
  <c r="B41"/>
  <c r="B87"/>
  <c r="B34"/>
  <c r="B164" s="1"/>
  <c r="B165" s="1"/>
  <c r="B166" s="1"/>
</calcChain>
</file>

<file path=xl/sharedStrings.xml><?xml version="1.0" encoding="utf-8"?>
<sst xmlns="http://schemas.openxmlformats.org/spreadsheetml/2006/main" count="1549" uniqueCount="240">
  <si>
    <t>GG TRASFERTA</t>
  </si>
  <si>
    <t>TRASFERTA</t>
  </si>
  <si>
    <t>DIPENDENTE</t>
  </si>
  <si>
    <t>SPESE VARIE in trasferta (pranzi, taxi ecc)</t>
  </si>
  <si>
    <t>Velasco</t>
  </si>
  <si>
    <t>TOT. PARZIALE</t>
  </si>
  <si>
    <t xml:space="preserve">TOT. COMPLESSIVO </t>
  </si>
  <si>
    <t>Luppi</t>
  </si>
  <si>
    <t>Hotel</t>
  </si>
  <si>
    <t>Furlan</t>
  </si>
  <si>
    <t>Italy</t>
  </si>
  <si>
    <t>Taxi</t>
  </si>
  <si>
    <t>Shehata</t>
  </si>
  <si>
    <t>Invernizzi</t>
  </si>
  <si>
    <t>Demo</t>
  </si>
  <si>
    <t>Rodriguez</t>
  </si>
  <si>
    <t>Volo</t>
  </si>
  <si>
    <t>Valleri</t>
  </si>
  <si>
    <t>Russo</t>
  </si>
  <si>
    <t>Maglietta</t>
  </si>
  <si>
    <t>Woon</t>
  </si>
  <si>
    <t>Martinez</t>
  </si>
  <si>
    <t>Pardo</t>
  </si>
  <si>
    <t>Bettini</t>
  </si>
  <si>
    <t>Cornelli</t>
  </si>
  <si>
    <t>TOTALE  MESE</t>
  </si>
  <si>
    <t>07-09/01/2015</t>
  </si>
  <si>
    <t>Annual Meeting</t>
  </si>
  <si>
    <t>Visto</t>
  </si>
  <si>
    <t>Volo in Nota spese</t>
  </si>
  <si>
    <t>SPESE PER VIAGGIO (autostrada/auto/treno ecc)</t>
  </si>
  <si>
    <t>PRENOTAZIONI (voli/hotel/meeting room, transfer, ecc)</t>
  </si>
  <si>
    <t>16-19/03/2015</t>
  </si>
  <si>
    <t>ISS Dubai</t>
  </si>
  <si>
    <t>UAE</t>
  </si>
  <si>
    <t>20-27/02/2015</t>
  </si>
  <si>
    <t>IDEX Abu Dhabi</t>
  </si>
  <si>
    <t>20-21/01/2015</t>
  </si>
  <si>
    <t>UK</t>
  </si>
  <si>
    <t>09-12/03/2015</t>
  </si>
  <si>
    <t>HOSDB</t>
  </si>
  <si>
    <t>Rabe</t>
  </si>
  <si>
    <t>Hotel (417 da stornare)</t>
  </si>
  <si>
    <t>Volo CWT</t>
  </si>
  <si>
    <t>Ornaghi</t>
  </si>
  <si>
    <t>(annullato)</t>
  </si>
  <si>
    <t>ESTA</t>
  </si>
  <si>
    <t>Vincenzetti</t>
  </si>
  <si>
    <t>13-16/01/2015</t>
  </si>
  <si>
    <t>Libano</t>
  </si>
  <si>
    <t>Pranzi/Cene</t>
  </si>
  <si>
    <t>18-19/01/2015</t>
  </si>
  <si>
    <t>Delivery</t>
  </si>
  <si>
    <t>Switzerland</t>
  </si>
  <si>
    <t>21-23/01/2015</t>
  </si>
  <si>
    <t>Follow-Up</t>
  </si>
  <si>
    <t>Oman</t>
  </si>
  <si>
    <t>Treno</t>
  </si>
  <si>
    <t>Extra Hotel</t>
  </si>
  <si>
    <t>Benzina</t>
  </si>
  <si>
    <t>Autobus</t>
  </si>
  <si>
    <t>Colombia</t>
  </si>
  <si>
    <t>Meeting (NICE)</t>
  </si>
  <si>
    <t>19-24/01/2015</t>
  </si>
  <si>
    <t>Training</t>
  </si>
  <si>
    <t>Mexico</t>
  </si>
  <si>
    <t>Cambio Volo</t>
  </si>
  <si>
    <t>Partner Meeting</t>
  </si>
  <si>
    <t>Parcheggio</t>
  </si>
  <si>
    <t>Extra Vari</t>
  </si>
  <si>
    <t>Milan</t>
  </si>
  <si>
    <t>12-16/01/2015</t>
  </si>
  <si>
    <t>Scarafile</t>
  </si>
  <si>
    <t xml:space="preserve">Autostrada </t>
  </si>
  <si>
    <t>12-15/01/2015</t>
  </si>
  <si>
    <t>Morocco</t>
  </si>
  <si>
    <t>Visto Saudi</t>
  </si>
  <si>
    <t>18-23/01/2015</t>
  </si>
  <si>
    <t>02-04/02/2015</t>
  </si>
  <si>
    <t>Metro</t>
  </si>
  <si>
    <t>25-31/01/2015</t>
  </si>
  <si>
    <t>Chile</t>
  </si>
  <si>
    <t>Autostrada</t>
  </si>
  <si>
    <t>Extra Hotel (Pag.to CC Luppi)</t>
  </si>
  <si>
    <t>Vietnam</t>
  </si>
  <si>
    <t>16-19/02/2015</t>
  </si>
  <si>
    <t>Follow-up</t>
  </si>
  <si>
    <t>Cyprus</t>
  </si>
  <si>
    <t>Meeting</t>
  </si>
  <si>
    <t>26/01 - 01/02/2015</t>
  </si>
  <si>
    <t>27-31/01/2015</t>
  </si>
  <si>
    <t>01-06/03/2015</t>
  </si>
  <si>
    <t>12-17/04/15</t>
  </si>
  <si>
    <t>INTERPOL</t>
  </si>
  <si>
    <t>Singapore</t>
  </si>
  <si>
    <t>02-07/02/2015</t>
  </si>
  <si>
    <t>USA</t>
  </si>
  <si>
    <t>25-27/01/2015</t>
  </si>
  <si>
    <t>Busatto</t>
  </si>
  <si>
    <t>13-14/01/2015</t>
  </si>
  <si>
    <t>Corso</t>
  </si>
  <si>
    <t>Bologna</t>
  </si>
  <si>
    <t>Tarissi</t>
  </si>
  <si>
    <t>Hotel 2 pax + Extra</t>
  </si>
  <si>
    <t>Malaysia</t>
  </si>
  <si>
    <t>DELIVERY/TRAINING</t>
  </si>
  <si>
    <t>PRE-SALES/DEMO/FOLLOW UP</t>
  </si>
  <si>
    <t>FIERE</t>
  </si>
  <si>
    <t>MEETING</t>
  </si>
  <si>
    <t>Hotel pagati in loco</t>
  </si>
  <si>
    <t>05-09/02/2015</t>
  </si>
  <si>
    <t>12-13/02/2015</t>
  </si>
  <si>
    <t>Military Event</t>
  </si>
  <si>
    <t>18-19/02/2015</t>
  </si>
  <si>
    <t>Kazakistan</t>
  </si>
  <si>
    <t>02-07/03/2015</t>
  </si>
  <si>
    <t>10-12/03/2015</t>
  </si>
  <si>
    <t>23-26/02/2015</t>
  </si>
  <si>
    <t>MACC</t>
  </si>
  <si>
    <t xml:space="preserve">Hotel </t>
  </si>
  <si>
    <t>10-11/02/2015</t>
  </si>
  <si>
    <t>Turkey</t>
  </si>
  <si>
    <t>13-19/04/15</t>
  </si>
  <si>
    <t>LAAD</t>
  </si>
  <si>
    <t>Brazil</t>
  </si>
  <si>
    <t>GSA</t>
  </si>
  <si>
    <t>Saudi</t>
  </si>
  <si>
    <t>Ho</t>
  </si>
  <si>
    <t>10-12/02/2015</t>
  </si>
  <si>
    <t>Vinci</t>
  </si>
  <si>
    <t>21/02 - 01/03/2015</t>
  </si>
  <si>
    <t>Meeting/Training</t>
  </si>
  <si>
    <t>Lohweiling</t>
  </si>
  <si>
    <t xml:space="preserve">Ho </t>
  </si>
  <si>
    <t>Meeting room</t>
  </si>
  <si>
    <t>27-29/01/2015</t>
  </si>
  <si>
    <t>29-30/01/2015</t>
  </si>
  <si>
    <t>09-10/02/15</t>
  </si>
  <si>
    <t>04-06/02/15</t>
  </si>
  <si>
    <t>24-28/03/2015</t>
  </si>
  <si>
    <t>Conferenza</t>
  </si>
  <si>
    <t>Placidi</t>
  </si>
  <si>
    <t>Giubertoni</t>
  </si>
  <si>
    <t>14-18/04/2015</t>
  </si>
  <si>
    <t>Speziale</t>
  </si>
  <si>
    <t>08-13/03/2015</t>
  </si>
  <si>
    <t>19-20/03/2015</t>
  </si>
  <si>
    <t>22-25/03/2015</t>
  </si>
  <si>
    <t>Egitto</t>
  </si>
  <si>
    <t>Romualdi</t>
  </si>
  <si>
    <t>29-31/03/2015</t>
  </si>
  <si>
    <t>07-13/03/2015</t>
  </si>
  <si>
    <t>Visto (Pag.to Shehata)</t>
  </si>
  <si>
    <t>HQ</t>
  </si>
  <si>
    <t>10-11/03/2015</t>
  </si>
  <si>
    <t>Meeting (annullato)</t>
  </si>
  <si>
    <t>Guerra</t>
  </si>
  <si>
    <t>Desenzano del Garda</t>
  </si>
  <si>
    <t>Viscardi</t>
  </si>
  <si>
    <t>Treno (9,2 da stornare)</t>
  </si>
  <si>
    <t>Hotel (244,00 pag.to in loco)</t>
  </si>
  <si>
    <t>Hotel (stornato)</t>
  </si>
  <si>
    <t>Transfer</t>
  </si>
  <si>
    <t>Tranfer</t>
  </si>
  <si>
    <t>27/04 - 01/05</t>
  </si>
  <si>
    <t>02-03/04/2015</t>
  </si>
  <si>
    <t>France</t>
  </si>
  <si>
    <t>Figuereido</t>
  </si>
  <si>
    <t>20/04 - 06/05/2015</t>
  </si>
  <si>
    <t>Chile / Colombia</t>
  </si>
  <si>
    <t>Volo (390,00 Pag.to direttamente)</t>
  </si>
  <si>
    <t>Hotel (158,00 da stornare)</t>
  </si>
  <si>
    <t>20-24/04/2015</t>
  </si>
  <si>
    <t>22-24/04/2015</t>
  </si>
  <si>
    <t>Croatia</t>
  </si>
  <si>
    <t>TBD</t>
  </si>
  <si>
    <t>Vaccinazione</t>
  </si>
  <si>
    <t>Demo/Follow Up</t>
  </si>
  <si>
    <t>28-30/04/15</t>
  </si>
  <si>
    <t>Exposeguridad</t>
  </si>
  <si>
    <t xml:space="preserve">Extra Vari </t>
  </si>
  <si>
    <t>26-30/04/2015</t>
  </si>
  <si>
    <t>Pre-Sales</t>
  </si>
  <si>
    <t>Japan</t>
  </si>
  <si>
    <t>Furniture</t>
  </si>
  <si>
    <t>Invoice</t>
  </si>
  <si>
    <t>Firma contratto</t>
  </si>
  <si>
    <t>Roma</t>
  </si>
  <si>
    <t>Volo (pag.to CC Maglietta)</t>
  </si>
  <si>
    <t>Volo (Pag.to CC Maglietta)</t>
  </si>
  <si>
    <t>16-24/05/2015</t>
  </si>
  <si>
    <t>Seminario</t>
  </si>
  <si>
    <t>Crema</t>
  </si>
  <si>
    <t>01-05/06/2015</t>
  </si>
  <si>
    <t>IDEC</t>
  </si>
  <si>
    <t>01-04/06/2015</t>
  </si>
  <si>
    <t>ISS Prague</t>
  </si>
  <si>
    <t>Czech Republic</t>
  </si>
  <si>
    <t>Hotel (da stornare)</t>
  </si>
  <si>
    <t>03-22/05/2015</t>
  </si>
  <si>
    <t>Subsidiary USA</t>
  </si>
  <si>
    <t>03-06/05/2015</t>
  </si>
  <si>
    <t>Pre-sales</t>
  </si>
  <si>
    <t>19-20/05/2015</t>
  </si>
  <si>
    <t>POC</t>
  </si>
  <si>
    <t>25-27/05/2015</t>
  </si>
  <si>
    <t>Jordan</t>
  </si>
  <si>
    <t>Visto 2 pax</t>
  </si>
  <si>
    <t>18-19/05/2015</t>
  </si>
  <si>
    <t>Israel</t>
  </si>
  <si>
    <t>18-21/05/2015</t>
  </si>
  <si>
    <t>Bangladesh</t>
  </si>
  <si>
    <t>06-14/06/2015</t>
  </si>
  <si>
    <t>20-22/05/2015</t>
  </si>
  <si>
    <t>Australia</t>
  </si>
  <si>
    <t>11-13/05/2015</t>
  </si>
  <si>
    <t>Poland</t>
  </si>
  <si>
    <t>30/05-06/06/2015</t>
  </si>
  <si>
    <t>Thailand</t>
  </si>
  <si>
    <t>Volo (penale)</t>
  </si>
  <si>
    <t>26-29/07/2015</t>
  </si>
  <si>
    <t>ISS South Africa</t>
  </si>
  <si>
    <t>South Africa</t>
  </si>
  <si>
    <t>24-28/05/2015</t>
  </si>
  <si>
    <t xml:space="preserve">Volo </t>
  </si>
  <si>
    <t>Volo (di cui eur 115,62 PRG-MXP)</t>
  </si>
  <si>
    <t>15-16/06/2015</t>
  </si>
  <si>
    <t>Volo andata non rimborsabile</t>
  </si>
  <si>
    <t>Volo (non cancellabile)</t>
  </si>
  <si>
    <t>Visto + foto</t>
  </si>
  <si>
    <t>Hotel (Pag.to in loco)</t>
  </si>
  <si>
    <t>Noleggio Auto</t>
  </si>
  <si>
    <t>Extra Hotel (Hotel Pag.to dal partner)</t>
  </si>
  <si>
    <t>Rome</t>
  </si>
  <si>
    <t>22-26/06/2015</t>
  </si>
  <si>
    <t>23-26/06/2015</t>
  </si>
  <si>
    <t>11-12/06/2015</t>
  </si>
  <si>
    <t>16-18/06/2015</t>
  </si>
  <si>
    <t>Volo (330,85 da stornare)</t>
  </si>
  <si>
    <t>Hotel (Pag.to con CC)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</si>
</sst>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6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8" fontId="1" fillId="2" borderId="3" xfId="0" applyNumberFormat="1" applyFont="1" applyFill="1" applyBorder="1" applyAlignment="1">
      <alignment horizontal="right"/>
    </xf>
    <xf numFmtId="8" fontId="1" fillId="0" borderId="5" xfId="0" applyNumberFormat="1" applyFont="1" applyBorder="1"/>
    <xf numFmtId="8" fontId="1" fillId="0" borderId="9" xfId="0" applyNumberFormat="1" applyFont="1" applyBorder="1"/>
    <xf numFmtId="0" fontId="1" fillId="0" borderId="9" xfId="0" applyFont="1" applyBorder="1"/>
    <xf numFmtId="8" fontId="1" fillId="0" borderId="12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8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8" fontId="4" fillId="0" borderId="5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8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8" fontId="4" fillId="0" borderId="9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8" fontId="3" fillId="0" borderId="9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8" fontId="3" fillId="0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8" fontId="3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/>
    </xf>
    <xf numFmtId="8" fontId="3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/>
    <xf numFmtId="8" fontId="4" fillId="0" borderId="0" xfId="0" applyNumberFormat="1" applyFont="1"/>
    <xf numFmtId="8" fontId="5" fillId="0" borderId="0" xfId="0" applyNumberFormat="1" applyFont="1"/>
    <xf numFmtId="164" fontId="4" fillId="0" borderId="0" xfId="0" applyNumberFormat="1" applyFont="1"/>
    <xf numFmtId="14" fontId="4" fillId="0" borderId="7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8"/>
  <sheetViews>
    <sheetView topLeftCell="A151" workbookViewId="0">
      <selection activeCell="H160" sqref="H160"/>
    </sheetView>
  </sheetViews>
  <sheetFormatPr defaultRowHeight="12.75"/>
  <cols>
    <col min="1" max="1" width="31.7109375" style="45" bestFit="1" customWidth="1"/>
    <col min="2" max="2" width="35.5703125" style="45" bestFit="1" customWidth="1"/>
    <col min="3" max="3" width="19.140625" style="45" customWidth="1"/>
    <col min="4" max="4" width="18.28515625" style="45" customWidth="1"/>
    <col min="5" max="5" width="26.42578125" style="45" customWidth="1"/>
    <col min="6" max="6" width="15.7109375" style="45" customWidth="1"/>
    <col min="7" max="7" width="30.140625" style="45" customWidth="1"/>
    <col min="8" max="8" width="19.28515625" style="45" customWidth="1"/>
    <col min="9" max="9" width="33.28515625" style="45" customWidth="1"/>
    <col min="10" max="10" width="14.42578125" style="45" bestFit="1" customWidth="1"/>
    <col min="11" max="11" width="9.7109375" style="45" bestFit="1" customWidth="1"/>
    <col min="12" max="16384" width="9.140625" style="45"/>
  </cols>
  <sheetData>
    <row r="1" spans="1:9" s="12" customFormat="1" ht="13.5" thickBot="1">
      <c r="A1" s="11" t="s">
        <v>0</v>
      </c>
      <c r="B1" s="11" t="s">
        <v>1</v>
      </c>
      <c r="C1" s="11" t="s">
        <v>2</v>
      </c>
      <c r="D1" s="55" t="s">
        <v>3</v>
      </c>
      <c r="E1" s="56"/>
      <c r="F1" s="57" t="s">
        <v>30</v>
      </c>
      <c r="G1" s="58"/>
      <c r="H1" s="57" t="s">
        <v>31</v>
      </c>
      <c r="I1" s="58"/>
    </row>
    <row r="2" spans="1:9" s="12" customFormat="1">
      <c r="A2" s="13">
        <v>42005</v>
      </c>
      <c r="B2" s="14"/>
      <c r="C2" s="14" t="s">
        <v>47</v>
      </c>
      <c r="D2" s="15">
        <f>11.35</f>
        <v>11.35</v>
      </c>
      <c r="E2" s="16" t="s">
        <v>46</v>
      </c>
      <c r="F2" s="17"/>
      <c r="G2" s="18"/>
      <c r="H2" s="19"/>
      <c r="I2" s="20"/>
    </row>
    <row r="3" spans="1:9" s="12" customFormat="1">
      <c r="A3" s="21"/>
      <c r="B3" s="22"/>
      <c r="C3" s="23"/>
      <c r="D3" s="24"/>
      <c r="E3" s="25"/>
      <c r="F3" s="26"/>
      <c r="G3" s="27"/>
      <c r="H3" s="28"/>
      <c r="I3" s="29"/>
    </row>
    <row r="4" spans="1:9" s="12" customFormat="1">
      <c r="A4" s="30" t="s">
        <v>5</v>
      </c>
      <c r="B4" s="21"/>
      <c r="C4" s="21"/>
      <c r="D4" s="31">
        <f>SUM(D2:D3)</f>
        <v>11.35</v>
      </c>
      <c r="E4" s="29"/>
      <c r="F4" s="32">
        <f>SUM(F2:F3)</f>
        <v>0</v>
      </c>
      <c r="G4" s="33"/>
      <c r="H4" s="34">
        <f>SUM(H2:H3)</f>
        <v>0</v>
      </c>
      <c r="I4" s="35"/>
    </row>
    <row r="5" spans="1:9" s="12" customFormat="1" ht="13.5" thickBot="1">
      <c r="A5" s="36" t="s">
        <v>6</v>
      </c>
      <c r="B5" s="37">
        <f>SUM(D4+F4+H4)</f>
        <v>11.35</v>
      </c>
      <c r="C5" s="38"/>
      <c r="D5" s="39"/>
      <c r="E5" s="40"/>
      <c r="F5" s="41"/>
      <c r="G5" s="42"/>
      <c r="H5" s="43"/>
      <c r="I5" s="44"/>
    </row>
    <row r="6" spans="1:9" s="12" customFormat="1">
      <c r="A6" s="13" t="s">
        <v>26</v>
      </c>
      <c r="B6" s="14" t="s">
        <v>27</v>
      </c>
      <c r="C6" s="14" t="s">
        <v>22</v>
      </c>
      <c r="D6" s="15">
        <f>22.16+31.4</f>
        <v>53.56</v>
      </c>
      <c r="E6" s="16" t="s">
        <v>50</v>
      </c>
      <c r="F6" s="17">
        <f>12</f>
        <v>12</v>
      </c>
      <c r="G6" s="18" t="s">
        <v>57</v>
      </c>
      <c r="H6" s="19">
        <f>2503.13</f>
        <v>2503.13</v>
      </c>
      <c r="I6" s="20" t="s">
        <v>16</v>
      </c>
    </row>
    <row r="7" spans="1:9" s="12" customFormat="1">
      <c r="A7" s="21"/>
      <c r="B7" s="22" t="s">
        <v>10</v>
      </c>
      <c r="C7" s="23"/>
      <c r="D7" s="24">
        <f>15.15+35.25+27</f>
        <v>77.400000000000006</v>
      </c>
      <c r="E7" s="25" t="s">
        <v>11</v>
      </c>
      <c r="F7" s="26"/>
      <c r="G7" s="27"/>
      <c r="H7" s="28">
        <f>98+276+216+324+216</f>
        <v>1130</v>
      </c>
      <c r="I7" s="29" t="s">
        <v>8</v>
      </c>
    </row>
    <row r="8" spans="1:9" s="12" customFormat="1">
      <c r="A8" s="21"/>
      <c r="B8" s="22"/>
      <c r="C8" s="23"/>
      <c r="D8" s="24">
        <f>195.3</f>
        <v>195.3</v>
      </c>
      <c r="E8" s="25" t="s">
        <v>28</v>
      </c>
      <c r="F8" s="26"/>
      <c r="G8" s="27"/>
      <c r="H8" s="28">
        <f>42</f>
        <v>42</v>
      </c>
      <c r="I8" s="29" t="s">
        <v>58</v>
      </c>
    </row>
    <row r="9" spans="1:9" s="12" customFormat="1">
      <c r="A9" s="21"/>
      <c r="B9" s="22"/>
      <c r="C9" s="23"/>
      <c r="D9" s="24"/>
      <c r="E9" s="25"/>
      <c r="F9" s="26"/>
      <c r="G9" s="27"/>
      <c r="H9" s="28"/>
      <c r="I9" s="29"/>
    </row>
    <row r="10" spans="1:9" s="12" customFormat="1">
      <c r="A10" s="21"/>
      <c r="B10" s="22"/>
      <c r="C10" s="23" t="s">
        <v>19</v>
      </c>
      <c r="D10" s="24">
        <f>140.6</f>
        <v>140.6</v>
      </c>
      <c r="E10" s="25" t="s">
        <v>50</v>
      </c>
      <c r="F10" s="26"/>
      <c r="G10" s="27"/>
      <c r="H10" s="28">
        <f>575.82</f>
        <v>575.82000000000005</v>
      </c>
      <c r="I10" s="29" t="s">
        <v>29</v>
      </c>
    </row>
    <row r="11" spans="1:9" s="12" customFormat="1">
      <c r="A11" s="21"/>
      <c r="B11" s="22"/>
      <c r="C11" s="23"/>
      <c r="D11" s="24">
        <f>43.15+158.7</f>
        <v>201.85</v>
      </c>
      <c r="E11" s="25" t="s">
        <v>11</v>
      </c>
      <c r="F11" s="26"/>
      <c r="G11" s="27"/>
      <c r="H11" s="28">
        <f>118.99</f>
        <v>118.99</v>
      </c>
      <c r="I11" s="29" t="s">
        <v>43</v>
      </c>
    </row>
    <row r="12" spans="1:9" s="12" customFormat="1">
      <c r="A12" s="21"/>
      <c r="B12" s="22"/>
      <c r="C12" s="23"/>
      <c r="D12" s="24"/>
      <c r="E12" s="25"/>
      <c r="F12" s="26"/>
      <c r="G12" s="27"/>
      <c r="H12" s="28">
        <f>98+276+108</f>
        <v>482</v>
      </c>
      <c r="I12" s="29" t="s">
        <v>8</v>
      </c>
    </row>
    <row r="13" spans="1:9" s="12" customFormat="1">
      <c r="A13" s="21"/>
      <c r="B13" s="22"/>
      <c r="C13" s="23"/>
      <c r="D13" s="24"/>
      <c r="E13" s="25"/>
      <c r="F13" s="26"/>
      <c r="G13" s="27"/>
      <c r="H13" s="28">
        <f>52</f>
        <v>52</v>
      </c>
      <c r="I13" s="29" t="s">
        <v>58</v>
      </c>
    </row>
    <row r="14" spans="1:9" s="12" customFormat="1">
      <c r="A14" s="21"/>
      <c r="B14" s="22"/>
      <c r="C14" s="23"/>
      <c r="D14" s="24"/>
      <c r="E14" s="25"/>
      <c r="F14" s="26"/>
      <c r="G14" s="27"/>
      <c r="H14" s="28"/>
      <c r="I14" s="29"/>
    </row>
    <row r="15" spans="1:9" s="12" customFormat="1">
      <c r="A15" s="21"/>
      <c r="B15" s="22"/>
      <c r="C15" s="23" t="s">
        <v>15</v>
      </c>
      <c r="D15" s="24">
        <f>16.5</f>
        <v>16.5</v>
      </c>
      <c r="E15" s="25" t="s">
        <v>50</v>
      </c>
      <c r="F15" s="26">
        <f>12</f>
        <v>12</v>
      </c>
      <c r="G15" s="27" t="s">
        <v>57</v>
      </c>
      <c r="H15" s="28">
        <f>322.35+288</f>
        <v>610.35</v>
      </c>
      <c r="I15" s="29" t="s">
        <v>16</v>
      </c>
    </row>
    <row r="16" spans="1:9" s="12" customFormat="1">
      <c r="A16" s="21"/>
      <c r="B16" s="22"/>
      <c r="C16" s="23"/>
      <c r="D16" s="24">
        <f>166</f>
        <v>166</v>
      </c>
      <c r="E16" s="25" t="s">
        <v>11</v>
      </c>
      <c r="F16" s="26">
        <f>1.5</f>
        <v>1.5</v>
      </c>
      <c r="G16" s="27" t="s">
        <v>79</v>
      </c>
      <c r="H16" s="28">
        <f>276+414-276</f>
        <v>414</v>
      </c>
      <c r="I16" s="29" t="s">
        <v>8</v>
      </c>
    </row>
    <row r="17" spans="1:9" s="12" customFormat="1">
      <c r="A17" s="21"/>
      <c r="B17" s="22"/>
      <c r="C17" s="23"/>
      <c r="D17" s="24"/>
      <c r="E17" s="25"/>
      <c r="F17" s="26"/>
      <c r="G17" s="27"/>
      <c r="H17" s="28">
        <f>27</f>
        <v>27</v>
      </c>
      <c r="I17" s="29" t="s">
        <v>58</v>
      </c>
    </row>
    <row r="18" spans="1:9" s="12" customFormat="1">
      <c r="A18" s="21"/>
      <c r="B18" s="22"/>
      <c r="C18" s="23"/>
      <c r="D18" s="24"/>
      <c r="E18" s="25"/>
      <c r="F18" s="26"/>
      <c r="G18" s="27"/>
      <c r="H18" s="28"/>
      <c r="I18" s="29"/>
    </row>
    <row r="19" spans="1:9" s="12" customFormat="1">
      <c r="A19" s="21"/>
      <c r="B19" s="22"/>
      <c r="C19" s="23" t="s">
        <v>20</v>
      </c>
      <c r="D19" s="24">
        <f>250.64</f>
        <v>250.64</v>
      </c>
      <c r="E19" s="25" t="s">
        <v>50</v>
      </c>
      <c r="F19" s="26"/>
      <c r="G19" s="27"/>
      <c r="H19" s="28">
        <f>1859.07</f>
        <v>1859.07</v>
      </c>
      <c r="I19" s="29" t="s">
        <v>16</v>
      </c>
    </row>
    <row r="20" spans="1:9" s="12" customFormat="1">
      <c r="A20" s="21"/>
      <c r="B20" s="22"/>
      <c r="C20" s="23"/>
      <c r="D20" s="24">
        <f>32.81+222.5</f>
        <v>255.31</v>
      </c>
      <c r="E20" s="25" t="s">
        <v>11</v>
      </c>
      <c r="F20" s="26"/>
      <c r="G20" s="27"/>
      <c r="H20" s="28">
        <f>108+98+138+108-138+276</f>
        <v>590</v>
      </c>
      <c r="I20" s="29" t="s">
        <v>8</v>
      </c>
    </row>
    <row r="21" spans="1:9" s="12" customFormat="1">
      <c r="A21" s="21"/>
      <c r="B21" s="22"/>
      <c r="C21" s="23"/>
      <c r="D21" s="24"/>
      <c r="E21" s="25"/>
      <c r="F21" s="26"/>
      <c r="G21" s="27"/>
      <c r="H21" s="28">
        <f>25</f>
        <v>25</v>
      </c>
      <c r="I21" s="29" t="s">
        <v>58</v>
      </c>
    </row>
    <row r="22" spans="1:9" s="12" customFormat="1">
      <c r="A22" s="21"/>
      <c r="B22" s="22"/>
      <c r="C22" s="23"/>
      <c r="D22" s="24"/>
      <c r="E22" s="25"/>
      <c r="F22" s="26"/>
      <c r="G22" s="27"/>
      <c r="H22" s="28"/>
      <c r="I22" s="29"/>
    </row>
    <row r="23" spans="1:9" s="12" customFormat="1">
      <c r="A23" s="21"/>
      <c r="B23" s="22"/>
      <c r="C23" s="23" t="s">
        <v>21</v>
      </c>
      <c r="D23" s="24">
        <f>179.1</f>
        <v>179.1</v>
      </c>
      <c r="E23" s="25" t="s">
        <v>50</v>
      </c>
      <c r="F23" s="26"/>
      <c r="G23" s="27"/>
      <c r="H23" s="28">
        <f>1482.84</f>
        <v>1482.84</v>
      </c>
      <c r="I23" s="29" t="s">
        <v>16</v>
      </c>
    </row>
    <row r="24" spans="1:9" s="12" customFormat="1">
      <c r="A24" s="21"/>
      <c r="B24" s="22"/>
      <c r="C24" s="23"/>
      <c r="D24" s="24">
        <f>73+54.68</f>
        <v>127.68</v>
      </c>
      <c r="E24" s="25" t="s">
        <v>11</v>
      </c>
      <c r="F24" s="26"/>
      <c r="G24" s="27"/>
      <c r="H24" s="28">
        <f>108+98+276+108</f>
        <v>590</v>
      </c>
      <c r="I24" s="29" t="s">
        <v>8</v>
      </c>
    </row>
    <row r="25" spans="1:9" s="12" customFormat="1">
      <c r="A25" s="21"/>
      <c r="B25" s="22"/>
      <c r="C25" s="23"/>
      <c r="D25" s="24"/>
      <c r="E25" s="25"/>
      <c r="F25" s="26"/>
      <c r="G25" s="27"/>
      <c r="H25" s="28">
        <f>25</f>
        <v>25</v>
      </c>
      <c r="I25" s="29" t="s">
        <v>58</v>
      </c>
    </row>
    <row r="26" spans="1:9" s="12" customFormat="1">
      <c r="A26" s="21"/>
      <c r="B26" s="22"/>
      <c r="C26" s="23"/>
      <c r="D26" s="24"/>
      <c r="E26" s="25"/>
      <c r="F26" s="26"/>
      <c r="G26" s="27"/>
      <c r="H26" s="28"/>
      <c r="I26" s="29"/>
    </row>
    <row r="27" spans="1:9" s="12" customFormat="1">
      <c r="A27" s="21"/>
      <c r="B27" s="22"/>
      <c r="C27" s="23" t="s">
        <v>41</v>
      </c>
      <c r="D27" s="24">
        <f>36.37+62.8</f>
        <v>99.169999999999987</v>
      </c>
      <c r="E27" s="25" t="s">
        <v>50</v>
      </c>
      <c r="F27" s="26">
        <f>8.32</f>
        <v>8.32</v>
      </c>
      <c r="G27" s="27" t="s">
        <v>59</v>
      </c>
      <c r="H27" s="28">
        <f>2542.09+1794.45</f>
        <v>4336.54</v>
      </c>
      <c r="I27" s="29" t="s">
        <v>16</v>
      </c>
    </row>
    <row r="28" spans="1:9" s="12" customFormat="1">
      <c r="A28" s="21"/>
      <c r="B28" s="22"/>
      <c r="C28" s="23"/>
      <c r="D28" s="24">
        <f>23.59</f>
        <v>23.59</v>
      </c>
      <c r="E28" s="25" t="s">
        <v>11</v>
      </c>
      <c r="F28" s="26">
        <f>69.13+12</f>
        <v>81.13</v>
      </c>
      <c r="G28" s="27" t="s">
        <v>57</v>
      </c>
      <c r="H28" s="28">
        <f>417+556-417+89+278+109-556</f>
        <v>476</v>
      </c>
      <c r="I28" s="29" t="s">
        <v>42</v>
      </c>
    </row>
    <row r="29" spans="1:9" s="12" customFormat="1">
      <c r="A29" s="21"/>
      <c r="B29" s="22"/>
      <c r="C29" s="23"/>
      <c r="D29" s="24"/>
      <c r="E29" s="25"/>
      <c r="F29" s="26">
        <f>10</f>
        <v>10</v>
      </c>
      <c r="G29" s="27" t="s">
        <v>60</v>
      </c>
      <c r="H29" s="28">
        <f>5</f>
        <v>5</v>
      </c>
      <c r="I29" s="29" t="s">
        <v>58</v>
      </c>
    </row>
    <row r="30" spans="1:9" s="12" customFormat="1">
      <c r="A30" s="21"/>
      <c r="B30" s="22"/>
      <c r="C30" s="23"/>
      <c r="D30" s="24"/>
      <c r="E30" s="25"/>
      <c r="F30" s="26"/>
      <c r="G30" s="27"/>
      <c r="H30" s="28"/>
      <c r="I30" s="29"/>
    </row>
    <row r="31" spans="1:9" s="12" customFormat="1">
      <c r="A31" s="21"/>
      <c r="B31" s="22"/>
      <c r="C31" s="23" t="s">
        <v>4</v>
      </c>
      <c r="D31" s="24"/>
      <c r="E31" s="25"/>
      <c r="F31" s="26"/>
      <c r="G31" s="27"/>
      <c r="H31" s="28">
        <f>1505.41</f>
        <v>1505.41</v>
      </c>
      <c r="I31" s="29" t="s">
        <v>16</v>
      </c>
    </row>
    <row r="32" spans="1:9" s="12" customFormat="1">
      <c r="A32" s="21"/>
      <c r="B32" s="22"/>
      <c r="C32" s="23"/>
      <c r="D32" s="24"/>
      <c r="E32" s="25"/>
      <c r="F32" s="26"/>
      <c r="G32" s="27"/>
      <c r="H32" s="28">
        <f>1074+387+358+149-1074</f>
        <v>894</v>
      </c>
      <c r="I32" s="29" t="s">
        <v>8</v>
      </c>
    </row>
    <row r="33" spans="1:9" s="12" customFormat="1">
      <c r="A33" s="21"/>
      <c r="B33" s="22"/>
      <c r="C33" s="23"/>
      <c r="D33" s="24"/>
      <c r="E33" s="25"/>
      <c r="F33" s="26"/>
      <c r="G33" s="27"/>
      <c r="H33" s="28"/>
      <c r="I33" s="29"/>
    </row>
    <row r="34" spans="1:9" s="12" customFormat="1">
      <c r="A34" s="21"/>
      <c r="B34" s="22"/>
      <c r="C34" s="23" t="s">
        <v>9</v>
      </c>
      <c r="D34" s="24">
        <f>118</f>
        <v>118</v>
      </c>
      <c r="E34" s="25" t="s">
        <v>50</v>
      </c>
      <c r="F34" s="26"/>
      <c r="G34" s="27"/>
      <c r="H34" s="28"/>
      <c r="I34" s="29"/>
    </row>
    <row r="35" spans="1:9" s="12" customFormat="1">
      <c r="A35" s="21"/>
      <c r="B35" s="22"/>
      <c r="C35" s="23"/>
      <c r="D35" s="24"/>
      <c r="E35" s="25"/>
      <c r="F35" s="26"/>
      <c r="G35" s="27"/>
      <c r="H35" s="28"/>
      <c r="I35" s="29"/>
    </row>
    <row r="36" spans="1:9" s="12" customFormat="1">
      <c r="A36" s="21"/>
      <c r="B36" s="22"/>
      <c r="C36" s="23" t="s">
        <v>18</v>
      </c>
      <c r="D36" s="24">
        <f>949.5</f>
        <v>949.5</v>
      </c>
      <c r="E36" s="25" t="s">
        <v>50</v>
      </c>
      <c r="F36" s="26"/>
      <c r="G36" s="27"/>
      <c r="H36" s="28"/>
      <c r="I36" s="29"/>
    </row>
    <row r="37" spans="1:9" s="12" customFormat="1">
      <c r="A37" s="21"/>
      <c r="B37" s="22"/>
      <c r="C37" s="23"/>
      <c r="D37" s="24"/>
      <c r="E37" s="25"/>
      <c r="F37" s="26"/>
      <c r="G37" s="27"/>
      <c r="H37" s="28"/>
      <c r="I37" s="29"/>
    </row>
    <row r="38" spans="1:9" s="12" customFormat="1">
      <c r="A38" s="21"/>
      <c r="B38" s="22"/>
      <c r="C38" s="23" t="s">
        <v>70</v>
      </c>
      <c r="D38" s="24">
        <f>489.8</f>
        <v>489.8</v>
      </c>
      <c r="E38" s="25" t="s">
        <v>50</v>
      </c>
      <c r="F38" s="26"/>
      <c r="G38" s="27"/>
      <c r="H38" s="28"/>
      <c r="I38" s="29"/>
    </row>
    <row r="39" spans="1:9" s="12" customFormat="1">
      <c r="A39" s="21"/>
      <c r="B39" s="22"/>
      <c r="C39" s="23"/>
      <c r="D39" s="24"/>
      <c r="E39" s="25"/>
      <c r="F39" s="26"/>
      <c r="G39" s="27"/>
      <c r="H39" s="28"/>
      <c r="I39" s="29"/>
    </row>
    <row r="40" spans="1:9" s="12" customFormat="1">
      <c r="A40" s="30" t="s">
        <v>5</v>
      </c>
      <c r="B40" s="21"/>
      <c r="C40" s="21"/>
      <c r="D40" s="31">
        <f>SUM(D6:D38)</f>
        <v>3344</v>
      </c>
      <c r="E40" s="29"/>
      <c r="F40" s="32">
        <f>SUM(F6:F39)</f>
        <v>124.94999999999999</v>
      </c>
      <c r="G40" s="33"/>
      <c r="H40" s="34">
        <f>SUM(H6:H37)</f>
        <v>17744.150000000001</v>
      </c>
      <c r="I40" s="35"/>
    </row>
    <row r="41" spans="1:9" s="12" customFormat="1" ht="13.5" thickBot="1">
      <c r="A41" s="36" t="s">
        <v>6</v>
      </c>
      <c r="B41" s="37">
        <f>SUM(D40+F40+H40)</f>
        <v>21213.100000000002</v>
      </c>
      <c r="C41" s="38"/>
      <c r="D41" s="39"/>
      <c r="E41" s="40"/>
      <c r="F41" s="41"/>
      <c r="G41" s="42"/>
      <c r="H41" s="43"/>
      <c r="I41" s="44"/>
    </row>
    <row r="42" spans="1:9" s="12" customFormat="1">
      <c r="A42" s="13" t="s">
        <v>74</v>
      </c>
      <c r="B42" s="14" t="s">
        <v>52</v>
      </c>
      <c r="C42" s="14" t="s">
        <v>20</v>
      </c>
      <c r="D42" s="15">
        <f>9.69</f>
        <v>9.69</v>
      </c>
      <c r="E42" s="16" t="s">
        <v>50</v>
      </c>
      <c r="F42" s="17"/>
      <c r="G42" s="18"/>
      <c r="H42" s="19">
        <f>536.52</f>
        <v>536.52</v>
      </c>
      <c r="I42" s="20" t="s">
        <v>16</v>
      </c>
    </row>
    <row r="43" spans="1:9" s="12" customFormat="1">
      <c r="A43" s="21"/>
      <c r="B43" s="22" t="s">
        <v>84</v>
      </c>
      <c r="C43" s="23"/>
      <c r="D43" s="24">
        <f>50.63+42.8</f>
        <v>93.43</v>
      </c>
      <c r="E43" s="25" t="s">
        <v>11</v>
      </c>
      <c r="F43" s="26"/>
      <c r="G43" s="27"/>
      <c r="H43" s="28">
        <f>378</f>
        <v>378</v>
      </c>
      <c r="I43" s="29" t="s">
        <v>8</v>
      </c>
    </row>
    <row r="44" spans="1:9" s="12" customFormat="1">
      <c r="A44" s="21"/>
      <c r="B44" s="22"/>
      <c r="C44" s="23"/>
      <c r="D44" s="24"/>
      <c r="E44" s="25"/>
      <c r="F44" s="26"/>
      <c r="G44" s="27"/>
      <c r="H44" s="28">
        <f>179.54</f>
        <v>179.54</v>
      </c>
      <c r="I44" s="29" t="s">
        <v>58</v>
      </c>
    </row>
    <row r="45" spans="1:9" s="12" customFormat="1">
      <c r="A45" s="21"/>
      <c r="B45" s="22"/>
      <c r="C45" s="23"/>
      <c r="D45" s="24"/>
      <c r="E45" s="25"/>
      <c r="F45" s="26"/>
      <c r="G45" s="27"/>
      <c r="H45" s="28"/>
      <c r="I45" s="29"/>
    </row>
    <row r="46" spans="1:9" s="12" customFormat="1">
      <c r="A46" s="30" t="s">
        <v>5</v>
      </c>
      <c r="B46" s="21"/>
      <c r="C46" s="21"/>
      <c r="D46" s="31">
        <f>SUM(D42:D43)</f>
        <v>103.12</v>
      </c>
      <c r="E46" s="29"/>
      <c r="F46" s="32">
        <f>SUM(F42:F43)</f>
        <v>0</v>
      </c>
      <c r="G46" s="33"/>
      <c r="H46" s="34">
        <f>SUM(H42:H45)</f>
        <v>1094.06</v>
      </c>
      <c r="I46" s="35"/>
    </row>
    <row r="47" spans="1:9" s="12" customFormat="1" ht="13.5" thickBot="1">
      <c r="A47" s="36" t="s">
        <v>6</v>
      </c>
      <c r="B47" s="37">
        <f>SUM(D46+F46+H46)</f>
        <v>1197.1799999999998</v>
      </c>
      <c r="C47" s="38"/>
      <c r="D47" s="39"/>
      <c r="E47" s="40"/>
      <c r="F47" s="41"/>
      <c r="G47" s="42"/>
      <c r="H47" s="43"/>
      <c r="I47" s="44"/>
    </row>
    <row r="48" spans="1:9" s="12" customFormat="1">
      <c r="A48" s="13" t="s">
        <v>74</v>
      </c>
      <c r="B48" s="14" t="s">
        <v>55</v>
      </c>
      <c r="C48" s="14" t="s">
        <v>9</v>
      </c>
      <c r="D48" s="15">
        <f>10.2+57.12</f>
        <v>67.319999999999993</v>
      </c>
      <c r="E48" s="16" t="s">
        <v>50</v>
      </c>
      <c r="F48" s="17">
        <f>51.7</f>
        <v>51.7</v>
      </c>
      <c r="G48" s="18" t="s">
        <v>59</v>
      </c>
      <c r="H48" s="19">
        <f>415.66</f>
        <v>415.66</v>
      </c>
      <c r="I48" s="20" t="s">
        <v>16</v>
      </c>
    </row>
    <row r="49" spans="1:9" s="12" customFormat="1">
      <c r="A49" s="21"/>
      <c r="B49" s="22" t="s">
        <v>75</v>
      </c>
      <c r="C49" s="23"/>
      <c r="D49" s="24">
        <f>88.8</f>
        <v>88.8</v>
      </c>
      <c r="E49" s="25" t="s">
        <v>11</v>
      </c>
      <c r="F49" s="26">
        <v>6</v>
      </c>
      <c r="G49" s="27" t="s">
        <v>73</v>
      </c>
      <c r="H49" s="28">
        <f>535.59</f>
        <v>535.59</v>
      </c>
      <c r="I49" s="29" t="s">
        <v>8</v>
      </c>
    </row>
    <row r="50" spans="1:9" s="12" customFormat="1">
      <c r="A50" s="21"/>
      <c r="B50" s="22"/>
      <c r="C50" s="23"/>
      <c r="D50" s="24">
        <f>85.54+45</f>
        <v>130.54000000000002</v>
      </c>
      <c r="E50" s="25" t="s">
        <v>69</v>
      </c>
      <c r="F50" s="26">
        <v>117</v>
      </c>
      <c r="G50" s="27" t="s">
        <v>68</v>
      </c>
      <c r="H50" s="28">
        <f>178.32</f>
        <v>178.32</v>
      </c>
      <c r="I50" s="29" t="s">
        <v>58</v>
      </c>
    </row>
    <row r="51" spans="1:9" s="12" customFormat="1">
      <c r="A51" s="21"/>
      <c r="B51" s="22"/>
      <c r="C51" s="23"/>
      <c r="D51" s="24"/>
      <c r="E51" s="25"/>
      <c r="F51" s="26"/>
      <c r="G51" s="27"/>
      <c r="H51" s="28"/>
      <c r="I51" s="29"/>
    </row>
    <row r="52" spans="1:9" s="12" customFormat="1">
      <c r="A52" s="30" t="s">
        <v>5</v>
      </c>
      <c r="B52" s="21"/>
      <c r="C52" s="21"/>
      <c r="D52" s="31">
        <f>SUM(D48:D51)</f>
        <v>286.66000000000003</v>
      </c>
      <c r="E52" s="29"/>
      <c r="F52" s="32">
        <f>SUM(F48:F51)</f>
        <v>174.7</v>
      </c>
      <c r="G52" s="33"/>
      <c r="H52" s="34">
        <f>SUM(H48:H51)</f>
        <v>1129.57</v>
      </c>
      <c r="I52" s="35"/>
    </row>
    <row r="53" spans="1:9" s="12" customFormat="1" ht="13.5" thickBot="1">
      <c r="A53" s="36" t="s">
        <v>6</v>
      </c>
      <c r="B53" s="37">
        <f>SUM(D52+F52+H52)</f>
        <v>1590.9299999999998</v>
      </c>
      <c r="C53" s="38"/>
      <c r="D53" s="39"/>
      <c r="E53" s="40"/>
      <c r="F53" s="41"/>
      <c r="G53" s="42"/>
      <c r="H53" s="43"/>
      <c r="I53" s="44"/>
    </row>
    <row r="54" spans="1:9" s="12" customFormat="1">
      <c r="A54" s="13" t="s">
        <v>71</v>
      </c>
      <c r="B54" s="14" t="s">
        <v>14</v>
      </c>
      <c r="C54" s="14" t="s">
        <v>72</v>
      </c>
      <c r="D54" s="15">
        <f>10.2+160.01+44.49</f>
        <v>214.7</v>
      </c>
      <c r="E54" s="16" t="s">
        <v>50</v>
      </c>
      <c r="F54" s="17">
        <f>101.83</f>
        <v>101.83</v>
      </c>
      <c r="G54" s="18" t="s">
        <v>59</v>
      </c>
      <c r="H54" s="19">
        <f>1987.32</f>
        <v>1987.32</v>
      </c>
      <c r="I54" s="20" t="s">
        <v>16</v>
      </c>
    </row>
    <row r="55" spans="1:9" s="12" customFormat="1">
      <c r="A55" s="21"/>
      <c r="B55" s="22" t="s">
        <v>61</v>
      </c>
      <c r="C55" s="23"/>
      <c r="D55" s="24"/>
      <c r="E55" s="25"/>
      <c r="F55" s="26">
        <f>10.8</f>
        <v>10.8</v>
      </c>
      <c r="G55" s="27" t="s">
        <v>73</v>
      </c>
      <c r="H55" s="28">
        <f>508.95</f>
        <v>508.95</v>
      </c>
      <c r="I55" s="29" t="s">
        <v>8</v>
      </c>
    </row>
    <row r="56" spans="1:9" s="12" customFormat="1">
      <c r="A56" s="21"/>
      <c r="B56" s="22"/>
      <c r="C56" s="23"/>
      <c r="D56" s="24"/>
      <c r="E56" s="25"/>
      <c r="F56" s="26">
        <f>146</f>
        <v>146</v>
      </c>
      <c r="G56" s="27" t="s">
        <v>68</v>
      </c>
      <c r="H56" s="28">
        <f>87.39</f>
        <v>87.39</v>
      </c>
      <c r="I56" s="29" t="s">
        <v>58</v>
      </c>
    </row>
    <row r="57" spans="1:9" s="12" customFormat="1">
      <c r="A57" s="21"/>
      <c r="B57" s="22"/>
      <c r="C57" s="23"/>
      <c r="D57" s="24"/>
      <c r="E57" s="25"/>
      <c r="F57" s="26"/>
      <c r="G57" s="27"/>
      <c r="H57" s="28"/>
      <c r="I57" s="29"/>
    </row>
    <row r="58" spans="1:9" s="12" customFormat="1">
      <c r="A58" s="30" t="s">
        <v>5</v>
      </c>
      <c r="B58" s="21"/>
      <c r="C58" s="21"/>
      <c r="D58" s="31">
        <f>SUM(D54:D55)</f>
        <v>214.7</v>
      </c>
      <c r="E58" s="29"/>
      <c r="F58" s="32">
        <f>SUM(F54:F57)</f>
        <v>258.63</v>
      </c>
      <c r="G58" s="33"/>
      <c r="H58" s="34">
        <f>SUM(H54:H57)</f>
        <v>2583.66</v>
      </c>
      <c r="I58" s="35"/>
    </row>
    <row r="59" spans="1:9" s="12" customFormat="1" ht="13.5" thickBot="1">
      <c r="A59" s="36" t="s">
        <v>6</v>
      </c>
      <c r="B59" s="37">
        <f>SUM(D58+F58+H58)</f>
        <v>3056.99</v>
      </c>
      <c r="C59" s="38"/>
      <c r="D59" s="39"/>
      <c r="E59" s="40"/>
      <c r="F59" s="41"/>
      <c r="G59" s="42"/>
      <c r="H59" s="43"/>
      <c r="I59" s="44"/>
    </row>
    <row r="60" spans="1:9" s="12" customFormat="1">
      <c r="A60" s="13" t="s">
        <v>99</v>
      </c>
      <c r="B60" s="14" t="s">
        <v>100</v>
      </c>
      <c r="C60" s="14" t="s">
        <v>18</v>
      </c>
      <c r="D60" s="15">
        <f>80.4</f>
        <v>80.400000000000006</v>
      </c>
      <c r="E60" s="16" t="s">
        <v>50</v>
      </c>
      <c r="F60" s="17">
        <f>72+70</f>
        <v>142</v>
      </c>
      <c r="G60" s="18" t="s">
        <v>57</v>
      </c>
      <c r="H60" s="19">
        <f>303.5</f>
        <v>303.5</v>
      </c>
      <c r="I60" s="20" t="s">
        <v>103</v>
      </c>
    </row>
    <row r="61" spans="1:9" s="12" customFormat="1">
      <c r="A61" s="21"/>
      <c r="B61" s="22" t="s">
        <v>101</v>
      </c>
      <c r="C61" s="23"/>
      <c r="D61" s="24">
        <f>68.1</f>
        <v>68.099999999999994</v>
      </c>
      <c r="E61" s="25" t="s">
        <v>11</v>
      </c>
      <c r="F61" s="26"/>
      <c r="G61" s="27"/>
      <c r="H61" s="28"/>
      <c r="I61" s="29"/>
    </row>
    <row r="62" spans="1:9" s="12" customFormat="1">
      <c r="A62" s="21"/>
      <c r="B62" s="22"/>
      <c r="C62" s="23"/>
      <c r="D62" s="24"/>
      <c r="E62" s="25"/>
      <c r="F62" s="26"/>
      <c r="G62" s="27"/>
      <c r="H62" s="28"/>
      <c r="I62" s="29"/>
    </row>
    <row r="63" spans="1:9" s="12" customFormat="1">
      <c r="A63" s="21"/>
      <c r="B63" s="22"/>
      <c r="C63" s="23" t="s">
        <v>102</v>
      </c>
      <c r="D63" s="24"/>
      <c r="E63" s="25"/>
      <c r="F63" s="26">
        <f>72+70</f>
        <v>142</v>
      </c>
      <c r="G63" s="27" t="s">
        <v>57</v>
      </c>
      <c r="H63" s="28"/>
      <c r="I63" s="29"/>
    </row>
    <row r="64" spans="1:9" s="12" customFormat="1">
      <c r="A64" s="21"/>
      <c r="B64" s="22"/>
      <c r="C64" s="23"/>
      <c r="D64" s="24"/>
      <c r="E64" s="25"/>
      <c r="F64" s="26"/>
      <c r="G64" s="27"/>
      <c r="H64" s="28"/>
      <c r="I64" s="29"/>
    </row>
    <row r="65" spans="1:9" s="12" customFormat="1">
      <c r="A65" s="30" t="s">
        <v>5</v>
      </c>
      <c r="B65" s="21"/>
      <c r="C65" s="21"/>
      <c r="D65" s="31">
        <f>SUM(D60:D64)</f>
        <v>148.5</v>
      </c>
      <c r="E65" s="29"/>
      <c r="F65" s="32">
        <f>SUM(F60:F64)</f>
        <v>284</v>
      </c>
      <c r="G65" s="33"/>
      <c r="H65" s="34">
        <f>SUM(H60:H64)</f>
        <v>303.5</v>
      </c>
      <c r="I65" s="35"/>
    </row>
    <row r="66" spans="1:9" s="12" customFormat="1" ht="13.5" thickBot="1">
      <c r="A66" s="36" t="s">
        <v>6</v>
      </c>
      <c r="B66" s="37">
        <f>SUM(D65+F65+H65)</f>
        <v>736</v>
      </c>
      <c r="C66" s="38"/>
      <c r="D66" s="39"/>
      <c r="E66" s="40"/>
      <c r="F66" s="41"/>
      <c r="G66" s="42"/>
      <c r="H66" s="43"/>
      <c r="I66" s="44"/>
    </row>
    <row r="67" spans="1:9" s="12" customFormat="1">
      <c r="A67" s="13" t="s">
        <v>48</v>
      </c>
      <c r="B67" s="14" t="s">
        <v>14</v>
      </c>
      <c r="C67" s="14" t="s">
        <v>12</v>
      </c>
      <c r="D67" s="15">
        <f>13.35+76.07</f>
        <v>89.419999999999987</v>
      </c>
      <c r="E67" s="16" t="s">
        <v>50</v>
      </c>
      <c r="F67" s="17"/>
      <c r="G67" s="18"/>
      <c r="H67" s="19">
        <f>483.99+50</f>
        <v>533.99</v>
      </c>
      <c r="I67" s="20" t="s">
        <v>16</v>
      </c>
    </row>
    <row r="68" spans="1:9" s="12" customFormat="1">
      <c r="A68" s="21"/>
      <c r="B68" s="22" t="s">
        <v>49</v>
      </c>
      <c r="C68" s="23"/>
      <c r="D68" s="24">
        <f>40.4</f>
        <v>40.4</v>
      </c>
      <c r="E68" s="25" t="s">
        <v>11</v>
      </c>
      <c r="F68" s="26"/>
      <c r="G68" s="27"/>
      <c r="H68" s="28">
        <f>303.02</f>
        <v>303.02</v>
      </c>
      <c r="I68" s="29" t="s">
        <v>8</v>
      </c>
    </row>
    <row r="69" spans="1:9" s="12" customFormat="1">
      <c r="A69" s="21"/>
      <c r="B69" s="22"/>
      <c r="C69" s="23"/>
      <c r="D69" s="24"/>
      <c r="E69" s="25"/>
      <c r="F69" s="26"/>
      <c r="G69" s="27"/>
      <c r="H69" s="28">
        <f>89.54</f>
        <v>89.54</v>
      </c>
      <c r="I69" s="29" t="s">
        <v>58</v>
      </c>
    </row>
    <row r="70" spans="1:9" s="12" customFormat="1">
      <c r="A70" s="21"/>
      <c r="B70" s="22"/>
      <c r="C70" s="23"/>
      <c r="D70" s="24"/>
      <c r="E70" s="25"/>
      <c r="F70" s="26"/>
      <c r="G70" s="27"/>
      <c r="H70" s="28"/>
      <c r="I70" s="29"/>
    </row>
    <row r="71" spans="1:9" s="12" customFormat="1">
      <c r="A71" s="21"/>
      <c r="B71" s="22"/>
      <c r="C71" s="23" t="s">
        <v>13</v>
      </c>
      <c r="D71" s="24">
        <f>55+132.98</f>
        <v>187.98</v>
      </c>
      <c r="E71" s="25" t="s">
        <v>50</v>
      </c>
      <c r="F71" s="26">
        <f>29.64</f>
        <v>29.64</v>
      </c>
      <c r="G71" s="27" t="s">
        <v>59</v>
      </c>
      <c r="H71" s="28">
        <f>483.99</f>
        <v>483.99</v>
      </c>
      <c r="I71" s="29" t="s">
        <v>16</v>
      </c>
    </row>
    <row r="72" spans="1:9" s="12" customFormat="1">
      <c r="A72" s="21"/>
      <c r="B72" s="22"/>
      <c r="C72" s="23"/>
      <c r="D72" s="24">
        <f>28.85</f>
        <v>28.85</v>
      </c>
      <c r="E72" s="25" t="s">
        <v>11</v>
      </c>
      <c r="F72" s="26"/>
      <c r="G72" s="27"/>
      <c r="H72" s="28">
        <f>303.02</f>
        <v>303.02</v>
      </c>
      <c r="I72" s="29" t="s">
        <v>8</v>
      </c>
    </row>
    <row r="73" spans="1:9" s="12" customFormat="1">
      <c r="A73" s="21"/>
      <c r="B73" s="22"/>
      <c r="C73" s="23"/>
      <c r="D73" s="24"/>
      <c r="E73" s="25"/>
      <c r="F73" s="26"/>
      <c r="G73" s="27"/>
      <c r="H73" s="28">
        <f>7.38</f>
        <v>7.38</v>
      </c>
      <c r="I73" s="29" t="s">
        <v>58</v>
      </c>
    </row>
    <row r="74" spans="1:9" s="12" customFormat="1">
      <c r="A74" s="21"/>
      <c r="B74" s="22"/>
      <c r="C74" s="23"/>
      <c r="D74" s="24"/>
      <c r="E74" s="25"/>
      <c r="F74" s="26"/>
      <c r="G74" s="27"/>
      <c r="H74" s="28"/>
      <c r="I74" s="29"/>
    </row>
    <row r="75" spans="1:9" s="12" customFormat="1">
      <c r="A75" s="30" t="s">
        <v>5</v>
      </c>
      <c r="B75" s="21"/>
      <c r="C75" s="21"/>
      <c r="D75" s="31">
        <f>SUM(D67:D74)</f>
        <v>346.65</v>
      </c>
      <c r="E75" s="29"/>
      <c r="F75" s="32">
        <f>SUM(F67:F74)</f>
        <v>29.64</v>
      </c>
      <c r="G75" s="33"/>
      <c r="H75" s="34">
        <f>SUM(H67:H74)</f>
        <v>1720.94</v>
      </c>
      <c r="I75" s="35"/>
    </row>
    <row r="76" spans="1:9" s="12" customFormat="1" ht="13.5" thickBot="1">
      <c r="A76" s="36" t="s">
        <v>6</v>
      </c>
      <c r="B76" s="37">
        <f>SUM(D75+F75+H75)</f>
        <v>2097.23</v>
      </c>
      <c r="C76" s="38"/>
      <c r="D76" s="39"/>
      <c r="E76" s="40"/>
      <c r="F76" s="41"/>
      <c r="G76" s="42"/>
      <c r="H76" s="43"/>
      <c r="I76" s="44"/>
    </row>
    <row r="77" spans="1:9" s="12" customFormat="1">
      <c r="A77" s="13">
        <v>42017</v>
      </c>
      <c r="B77" s="14" t="s">
        <v>62</v>
      </c>
      <c r="C77" s="14" t="s">
        <v>22</v>
      </c>
      <c r="D77" s="15">
        <f>2.71</f>
        <v>2.71</v>
      </c>
      <c r="E77" s="16" t="s">
        <v>50</v>
      </c>
      <c r="F77" s="17"/>
      <c r="G77" s="18"/>
      <c r="H77" s="19"/>
      <c r="I77" s="20"/>
    </row>
    <row r="78" spans="1:9" s="12" customFormat="1">
      <c r="A78" s="21"/>
      <c r="B78" s="22" t="s">
        <v>61</v>
      </c>
      <c r="C78" s="23"/>
      <c r="D78" s="24">
        <f>17</f>
        <v>17</v>
      </c>
      <c r="E78" s="25" t="s">
        <v>11</v>
      </c>
      <c r="F78" s="26"/>
      <c r="G78" s="27"/>
      <c r="H78" s="28"/>
      <c r="I78" s="29"/>
    </row>
    <row r="79" spans="1:9" s="12" customFormat="1">
      <c r="A79" s="21"/>
      <c r="B79" s="22"/>
      <c r="C79" s="23"/>
      <c r="D79" s="24"/>
      <c r="E79" s="25"/>
      <c r="F79" s="26"/>
      <c r="G79" s="27"/>
      <c r="H79" s="28"/>
      <c r="I79" s="29"/>
    </row>
    <row r="80" spans="1:9" s="12" customFormat="1">
      <c r="A80" s="21"/>
      <c r="B80" s="22"/>
      <c r="C80" s="23"/>
      <c r="D80" s="24"/>
      <c r="E80" s="25"/>
      <c r="F80" s="26"/>
      <c r="G80" s="27"/>
      <c r="H80" s="28"/>
      <c r="I80" s="29"/>
    </row>
    <row r="81" spans="1:9" s="12" customFormat="1">
      <c r="A81" s="30" t="s">
        <v>5</v>
      </c>
      <c r="B81" s="21"/>
      <c r="C81" s="21"/>
      <c r="D81" s="31">
        <f>SUM(D77:D78)</f>
        <v>19.71</v>
      </c>
      <c r="E81" s="29"/>
      <c r="F81" s="32">
        <f>SUM(F77:F78)</f>
        <v>0</v>
      </c>
      <c r="G81" s="33"/>
      <c r="H81" s="34">
        <f>SUM(H77:H78)</f>
        <v>0</v>
      </c>
      <c r="I81" s="35"/>
    </row>
    <row r="82" spans="1:9" s="12" customFormat="1" ht="13.5" thickBot="1">
      <c r="A82" s="36" t="s">
        <v>6</v>
      </c>
      <c r="B82" s="37">
        <f>SUM(D81+F81+H81)</f>
        <v>19.71</v>
      </c>
      <c r="C82" s="38"/>
      <c r="D82" s="39"/>
      <c r="E82" s="40"/>
      <c r="F82" s="41"/>
      <c r="G82" s="42"/>
      <c r="H82" s="43"/>
      <c r="I82" s="44"/>
    </row>
    <row r="83" spans="1:9" s="12" customFormat="1">
      <c r="A83" s="13">
        <v>42018</v>
      </c>
      <c r="B83" s="14" t="s">
        <v>14</v>
      </c>
      <c r="C83" s="14" t="s">
        <v>22</v>
      </c>
      <c r="D83" s="15">
        <f>16.25</f>
        <v>16.25</v>
      </c>
      <c r="E83" s="16" t="s">
        <v>11</v>
      </c>
      <c r="F83" s="17"/>
      <c r="G83" s="18"/>
      <c r="H83" s="19"/>
      <c r="I83" s="20"/>
    </row>
    <row r="84" spans="1:9" s="12" customFormat="1">
      <c r="A84" s="21"/>
      <c r="B84" s="22" t="s">
        <v>61</v>
      </c>
      <c r="C84" s="23"/>
      <c r="D84" s="24"/>
      <c r="E84" s="25"/>
      <c r="F84" s="26"/>
      <c r="G84" s="27"/>
      <c r="H84" s="28"/>
      <c r="I84" s="29"/>
    </row>
    <row r="85" spans="1:9" s="12" customFormat="1">
      <c r="A85" s="30" t="s">
        <v>5</v>
      </c>
      <c r="B85" s="21"/>
      <c r="C85" s="21"/>
      <c r="D85" s="31">
        <f>SUM(D83:D84)</f>
        <v>16.25</v>
      </c>
      <c r="E85" s="29"/>
      <c r="F85" s="32">
        <f>SUM(F83:F84)</f>
        <v>0</v>
      </c>
      <c r="G85" s="33"/>
      <c r="H85" s="34">
        <f>SUM(H83:H84)</f>
        <v>0</v>
      </c>
      <c r="I85" s="35"/>
    </row>
    <row r="86" spans="1:9" s="12" customFormat="1" ht="13.5" thickBot="1">
      <c r="A86" s="36" t="s">
        <v>6</v>
      </c>
      <c r="B86" s="37">
        <f>SUM(D85+F85+H85)</f>
        <v>16.25</v>
      </c>
      <c r="C86" s="38"/>
      <c r="D86" s="39"/>
      <c r="E86" s="40"/>
      <c r="F86" s="41"/>
      <c r="G86" s="42"/>
      <c r="H86" s="43"/>
      <c r="I86" s="44"/>
    </row>
    <row r="87" spans="1:9" s="12" customFormat="1">
      <c r="A87" s="13" t="s">
        <v>51</v>
      </c>
      <c r="B87" s="14" t="s">
        <v>52</v>
      </c>
      <c r="C87" s="14" t="s">
        <v>12</v>
      </c>
      <c r="D87" s="15">
        <f>1.1+17.96</f>
        <v>19.060000000000002</v>
      </c>
      <c r="E87" s="16" t="s">
        <v>50</v>
      </c>
      <c r="F87" s="17">
        <v>117</v>
      </c>
      <c r="G87" s="18" t="s">
        <v>57</v>
      </c>
      <c r="H87" s="19">
        <f>259.14</f>
        <v>259.14</v>
      </c>
      <c r="I87" s="20" t="s">
        <v>16</v>
      </c>
    </row>
    <row r="88" spans="1:9" s="12" customFormat="1">
      <c r="A88" s="21"/>
      <c r="B88" s="22" t="s">
        <v>53</v>
      </c>
      <c r="C88" s="23"/>
      <c r="D88" s="24">
        <f>36.8+54.47</f>
        <v>91.27</v>
      </c>
      <c r="E88" s="25" t="s">
        <v>11</v>
      </c>
      <c r="F88" s="26"/>
      <c r="G88" s="27"/>
      <c r="H88" s="28">
        <f>131.07</f>
        <v>131.07</v>
      </c>
      <c r="I88" s="29" t="s">
        <v>8</v>
      </c>
    </row>
    <row r="89" spans="1:9" s="12" customFormat="1">
      <c r="A89" s="21"/>
      <c r="B89" s="22"/>
      <c r="C89" s="23"/>
      <c r="D89" s="24"/>
      <c r="E89" s="25"/>
      <c r="F89" s="26"/>
      <c r="G89" s="27"/>
      <c r="H89" s="28"/>
      <c r="I89" s="29"/>
    </row>
    <row r="90" spans="1:9" s="12" customFormat="1">
      <c r="A90" s="21" t="s">
        <v>77</v>
      </c>
      <c r="B90" s="22"/>
      <c r="C90" s="23" t="s">
        <v>9</v>
      </c>
      <c r="D90" s="24">
        <f>1.2+646.56</f>
        <v>647.76</v>
      </c>
      <c r="E90" s="25" t="s">
        <v>50</v>
      </c>
      <c r="F90" s="26">
        <v>232</v>
      </c>
      <c r="G90" s="27" t="s">
        <v>57</v>
      </c>
      <c r="H90" s="28">
        <f>960.86</f>
        <v>960.86</v>
      </c>
      <c r="I90" s="29" t="s">
        <v>8</v>
      </c>
    </row>
    <row r="91" spans="1:9" s="12" customFormat="1">
      <c r="A91" s="21"/>
      <c r="B91" s="22"/>
      <c r="C91" s="23"/>
      <c r="D91" s="24">
        <f>477.61</f>
        <v>477.61</v>
      </c>
      <c r="E91" s="25" t="s">
        <v>11</v>
      </c>
      <c r="F91" s="26"/>
      <c r="G91" s="27"/>
      <c r="H91" s="28">
        <f>69.12</f>
        <v>69.12</v>
      </c>
      <c r="I91" s="29" t="s">
        <v>58</v>
      </c>
    </row>
    <row r="92" spans="1:9" s="12" customFormat="1">
      <c r="A92" s="21"/>
      <c r="B92" s="22"/>
      <c r="C92" s="23"/>
      <c r="D92" s="24"/>
      <c r="E92" s="25"/>
      <c r="F92" s="26"/>
      <c r="G92" s="27"/>
      <c r="H92" s="28"/>
      <c r="I92" s="29"/>
    </row>
    <row r="93" spans="1:9" s="12" customFormat="1">
      <c r="A93" s="21"/>
      <c r="B93" s="22"/>
      <c r="C93" s="23"/>
      <c r="D93" s="24"/>
      <c r="E93" s="25"/>
      <c r="F93" s="26"/>
      <c r="G93" s="27"/>
      <c r="H93" s="28"/>
      <c r="I93" s="29"/>
    </row>
    <row r="94" spans="1:9" s="12" customFormat="1">
      <c r="A94" s="30" t="s">
        <v>5</v>
      </c>
      <c r="B94" s="21"/>
      <c r="C94" s="21"/>
      <c r="D94" s="31">
        <f>SUM(D87:D93)</f>
        <v>1235.7</v>
      </c>
      <c r="E94" s="29"/>
      <c r="F94" s="32">
        <f>SUM(F87:F93)</f>
        <v>349</v>
      </c>
      <c r="G94" s="33"/>
      <c r="H94" s="34">
        <f>SUM(H87:H93)</f>
        <v>1420.19</v>
      </c>
      <c r="I94" s="35"/>
    </row>
    <row r="95" spans="1:9" s="12" customFormat="1" ht="13.5" thickBot="1">
      <c r="A95" s="36" t="s">
        <v>6</v>
      </c>
      <c r="B95" s="37">
        <f>SUM(D94+F94+H94)</f>
        <v>3004.8900000000003</v>
      </c>
      <c r="C95" s="38"/>
      <c r="D95" s="39"/>
      <c r="E95" s="40"/>
      <c r="F95" s="41"/>
      <c r="G95" s="42"/>
      <c r="H95" s="43"/>
      <c r="I95" s="44"/>
    </row>
    <row r="96" spans="1:9" s="12" customFormat="1">
      <c r="A96" s="13" t="s">
        <v>63</v>
      </c>
      <c r="B96" s="14" t="s">
        <v>64</v>
      </c>
      <c r="C96" s="14" t="s">
        <v>21</v>
      </c>
      <c r="D96" s="15">
        <f>197.69</f>
        <v>197.69</v>
      </c>
      <c r="E96" s="16" t="s">
        <v>50</v>
      </c>
      <c r="F96" s="17"/>
      <c r="G96" s="18"/>
      <c r="H96" s="19">
        <f>211.49</f>
        <v>211.49</v>
      </c>
      <c r="I96" s="20" t="s">
        <v>16</v>
      </c>
    </row>
    <row r="97" spans="1:9" s="12" customFormat="1">
      <c r="A97" s="21"/>
      <c r="B97" s="22" t="s">
        <v>65</v>
      </c>
      <c r="C97" s="23"/>
      <c r="D97" s="24">
        <f>170.25</f>
        <v>170.25</v>
      </c>
      <c r="E97" s="25" t="s">
        <v>11</v>
      </c>
      <c r="F97" s="26"/>
      <c r="G97" s="27"/>
      <c r="H97" s="28">
        <f>381.92-381.92+455.2</f>
        <v>455.2</v>
      </c>
      <c r="I97" s="29" t="s">
        <v>8</v>
      </c>
    </row>
    <row r="98" spans="1:9" s="12" customFormat="1">
      <c r="A98" s="21"/>
      <c r="B98" s="22"/>
      <c r="C98" s="23"/>
      <c r="D98" s="24"/>
      <c r="E98" s="25"/>
      <c r="F98" s="26"/>
      <c r="G98" s="27"/>
      <c r="H98" s="28">
        <f>77.53</f>
        <v>77.53</v>
      </c>
      <c r="I98" s="29" t="s">
        <v>66</v>
      </c>
    </row>
    <row r="99" spans="1:9" s="12" customFormat="1">
      <c r="A99" s="21"/>
      <c r="B99" s="22"/>
      <c r="C99" s="23"/>
      <c r="D99" s="24"/>
      <c r="E99" s="25"/>
      <c r="F99" s="26"/>
      <c r="G99" s="27"/>
      <c r="H99" s="28"/>
      <c r="I99" s="29"/>
    </row>
    <row r="100" spans="1:9" s="12" customFormat="1">
      <c r="A100" s="30" t="s">
        <v>5</v>
      </c>
      <c r="B100" s="21"/>
      <c r="C100" s="21"/>
      <c r="D100" s="31">
        <f>SUM(D96:D97)</f>
        <v>367.94</v>
      </c>
      <c r="E100" s="29"/>
      <c r="F100" s="32">
        <f>SUM(F96:F97)</f>
        <v>0</v>
      </c>
      <c r="G100" s="33"/>
      <c r="H100" s="34">
        <f>SUM(H96:H99)</f>
        <v>744.22</v>
      </c>
      <c r="I100" s="35"/>
    </row>
    <row r="101" spans="1:9" s="12" customFormat="1" ht="13.5" thickBot="1">
      <c r="A101" s="36" t="s">
        <v>6</v>
      </c>
      <c r="B101" s="37">
        <f>SUM(D100+F100+H100)</f>
        <v>1112.1600000000001</v>
      </c>
      <c r="C101" s="38"/>
      <c r="D101" s="39"/>
      <c r="E101" s="40"/>
      <c r="F101" s="41"/>
      <c r="G101" s="42"/>
      <c r="H101" s="43"/>
      <c r="I101" s="44"/>
    </row>
    <row r="102" spans="1:9" s="12" customFormat="1">
      <c r="A102" s="13" t="s">
        <v>37</v>
      </c>
      <c r="B102" s="14" t="s">
        <v>14</v>
      </c>
      <c r="C102" s="14" t="s">
        <v>15</v>
      </c>
      <c r="D102" s="15">
        <f>7.73</f>
        <v>7.73</v>
      </c>
      <c r="E102" s="16" t="s">
        <v>69</v>
      </c>
      <c r="F102" s="17">
        <f>1.9</f>
        <v>1.9</v>
      </c>
      <c r="G102" s="18" t="s">
        <v>68</v>
      </c>
      <c r="H102" s="19">
        <f>399.42</f>
        <v>399.42</v>
      </c>
      <c r="I102" s="20" t="s">
        <v>16</v>
      </c>
    </row>
    <row r="103" spans="1:9" s="12" customFormat="1">
      <c r="A103" s="21"/>
      <c r="B103" s="22" t="s">
        <v>38</v>
      </c>
      <c r="C103" s="23"/>
      <c r="D103" s="24"/>
      <c r="E103" s="25"/>
      <c r="F103" s="26"/>
      <c r="G103" s="27"/>
      <c r="H103" s="28">
        <f>182.76</f>
        <v>182.76</v>
      </c>
      <c r="I103" s="29" t="s">
        <v>8</v>
      </c>
    </row>
    <row r="104" spans="1:9" s="12" customFormat="1">
      <c r="A104" s="21"/>
      <c r="B104" s="22"/>
      <c r="C104" s="23"/>
      <c r="D104" s="24"/>
      <c r="E104" s="25"/>
      <c r="F104" s="26"/>
      <c r="G104" s="27"/>
      <c r="H104" s="28">
        <f>60.13</f>
        <v>60.13</v>
      </c>
      <c r="I104" s="29" t="s">
        <v>83</v>
      </c>
    </row>
    <row r="105" spans="1:9" s="12" customFormat="1">
      <c r="A105" s="21"/>
      <c r="B105" s="22"/>
      <c r="C105" s="23"/>
      <c r="D105" s="24"/>
      <c r="E105" s="25"/>
      <c r="F105" s="26"/>
      <c r="G105" s="27"/>
      <c r="H105" s="28"/>
      <c r="I105" s="29"/>
    </row>
    <row r="106" spans="1:9" s="12" customFormat="1">
      <c r="A106" s="21"/>
      <c r="B106" s="22"/>
      <c r="C106" s="23" t="s">
        <v>7</v>
      </c>
      <c r="D106" s="24">
        <f>18.5+17.82</f>
        <v>36.32</v>
      </c>
      <c r="E106" s="25" t="s">
        <v>50</v>
      </c>
      <c r="F106" s="26">
        <f>14.83</f>
        <v>14.83</v>
      </c>
      <c r="G106" s="27" t="s">
        <v>59</v>
      </c>
      <c r="H106" s="28">
        <f>362.85</f>
        <v>362.85</v>
      </c>
      <c r="I106" s="29" t="s">
        <v>16</v>
      </c>
    </row>
    <row r="107" spans="1:9" s="12" customFormat="1">
      <c r="A107" s="21"/>
      <c r="B107" s="22"/>
      <c r="C107" s="23"/>
      <c r="D107" s="24">
        <f>207.34</f>
        <v>207.34</v>
      </c>
      <c r="E107" s="25" t="s">
        <v>11</v>
      </c>
      <c r="F107" s="26">
        <f>7.7</f>
        <v>7.7</v>
      </c>
      <c r="G107" s="27" t="s">
        <v>82</v>
      </c>
      <c r="H107" s="28">
        <f>182.76</f>
        <v>182.76</v>
      </c>
      <c r="I107" s="29" t="s">
        <v>8</v>
      </c>
    </row>
    <row r="108" spans="1:9" s="12" customFormat="1">
      <c r="A108" s="21"/>
      <c r="B108" s="22"/>
      <c r="C108" s="23"/>
      <c r="D108" s="24"/>
      <c r="E108" s="25"/>
      <c r="F108" s="26">
        <f>59</f>
        <v>59</v>
      </c>
      <c r="G108" s="27" t="s">
        <v>68</v>
      </c>
      <c r="H108" s="28"/>
      <c r="I108" s="29"/>
    </row>
    <row r="109" spans="1:9" s="12" customFormat="1">
      <c r="A109" s="21"/>
      <c r="B109" s="22"/>
      <c r="C109" s="23"/>
      <c r="D109" s="24"/>
      <c r="E109" s="25"/>
      <c r="F109" s="26"/>
      <c r="G109" s="27"/>
      <c r="H109" s="28"/>
      <c r="I109" s="29"/>
    </row>
    <row r="110" spans="1:9" s="12" customFormat="1">
      <c r="A110" s="30" t="s">
        <v>5</v>
      </c>
      <c r="B110" s="21"/>
      <c r="C110" s="21"/>
      <c r="D110" s="31">
        <f>SUM(D102:D109)</f>
        <v>251.39</v>
      </c>
      <c r="E110" s="29"/>
      <c r="F110" s="32">
        <f>SUM(F102:F109)</f>
        <v>83.43</v>
      </c>
      <c r="G110" s="33"/>
      <c r="H110" s="34">
        <f>SUM(H102:H109)</f>
        <v>1187.92</v>
      </c>
      <c r="I110" s="35"/>
    </row>
    <row r="111" spans="1:9" s="12" customFormat="1" ht="13.5" thickBot="1">
      <c r="A111" s="36" t="s">
        <v>6</v>
      </c>
      <c r="B111" s="37">
        <f>SUM(D110+F110+H110)</f>
        <v>1522.74</v>
      </c>
      <c r="C111" s="38"/>
      <c r="D111" s="39"/>
      <c r="E111" s="40"/>
      <c r="F111" s="41"/>
      <c r="G111" s="42"/>
      <c r="H111" s="43"/>
      <c r="I111" s="44"/>
    </row>
    <row r="112" spans="1:9" s="12" customFormat="1">
      <c r="A112" s="13">
        <v>42025</v>
      </c>
      <c r="B112" s="14" t="s">
        <v>67</v>
      </c>
      <c r="C112" s="14" t="s">
        <v>23</v>
      </c>
      <c r="D112" s="15">
        <v>103</v>
      </c>
      <c r="E112" s="16" t="s">
        <v>50</v>
      </c>
      <c r="F112" s="17"/>
      <c r="G112" s="18"/>
      <c r="H112" s="19"/>
      <c r="I112" s="20"/>
    </row>
    <row r="113" spans="1:9" s="12" customFormat="1">
      <c r="A113" s="21"/>
      <c r="B113" s="22" t="s">
        <v>70</v>
      </c>
      <c r="C113" s="23"/>
      <c r="D113" s="24"/>
      <c r="E113" s="25"/>
      <c r="F113" s="26"/>
      <c r="G113" s="27"/>
      <c r="H113" s="28"/>
      <c r="I113" s="29"/>
    </row>
    <row r="114" spans="1:9" s="12" customFormat="1">
      <c r="A114" s="21"/>
      <c r="B114" s="22"/>
      <c r="C114" s="23" t="s">
        <v>13</v>
      </c>
      <c r="D114" s="24">
        <f>36</f>
        <v>36</v>
      </c>
      <c r="E114" s="25" t="s">
        <v>50</v>
      </c>
      <c r="F114" s="26"/>
      <c r="G114" s="27"/>
      <c r="H114" s="28"/>
      <c r="I114" s="29"/>
    </row>
    <row r="115" spans="1:9" s="12" customFormat="1">
      <c r="A115" s="21"/>
      <c r="B115" s="22"/>
      <c r="C115" s="23"/>
      <c r="D115" s="24"/>
      <c r="E115" s="25"/>
      <c r="F115" s="26"/>
      <c r="G115" s="27"/>
      <c r="H115" s="28"/>
      <c r="I115" s="29"/>
    </row>
    <row r="116" spans="1:9" s="12" customFormat="1">
      <c r="A116" s="30" t="s">
        <v>5</v>
      </c>
      <c r="B116" s="21"/>
      <c r="C116" s="21"/>
      <c r="D116" s="31">
        <f>SUM(D112:D115)</f>
        <v>139</v>
      </c>
      <c r="E116" s="29"/>
      <c r="F116" s="32">
        <f>SUM(F112:F113)</f>
        <v>0</v>
      </c>
      <c r="G116" s="33"/>
      <c r="H116" s="34">
        <f>SUM(H112:H113)</f>
        <v>0</v>
      </c>
      <c r="I116" s="35"/>
    </row>
    <row r="117" spans="1:9" s="12" customFormat="1" ht="13.5" thickBot="1">
      <c r="A117" s="36" t="s">
        <v>6</v>
      </c>
      <c r="B117" s="37">
        <f>SUM(D116+F116+H116)</f>
        <v>139</v>
      </c>
      <c r="C117" s="38"/>
      <c r="D117" s="39"/>
      <c r="E117" s="40"/>
      <c r="F117" s="41"/>
      <c r="G117" s="42"/>
      <c r="H117" s="43"/>
      <c r="I117" s="44"/>
    </row>
    <row r="118" spans="1:9" s="12" customFormat="1">
      <c r="A118" s="13" t="s">
        <v>54</v>
      </c>
      <c r="B118" s="14" t="s">
        <v>55</v>
      </c>
      <c r="C118" s="14" t="s">
        <v>12</v>
      </c>
      <c r="D118" s="15">
        <f>6.95+53.78</f>
        <v>60.730000000000004</v>
      </c>
      <c r="E118" s="16" t="s">
        <v>50</v>
      </c>
      <c r="F118" s="17">
        <v>12</v>
      </c>
      <c r="G118" s="18" t="s">
        <v>57</v>
      </c>
      <c r="H118" s="19">
        <f>1077.09+194</f>
        <v>1271.0899999999999</v>
      </c>
      <c r="I118" s="20" t="s">
        <v>16</v>
      </c>
    </row>
    <row r="119" spans="1:9" s="12" customFormat="1">
      <c r="A119" s="21"/>
      <c r="B119" s="22" t="s">
        <v>56</v>
      </c>
      <c r="C119" s="23"/>
      <c r="D119" s="24">
        <f>28.7+116.33</f>
        <v>145.03</v>
      </c>
      <c r="E119" s="25" t="s">
        <v>11</v>
      </c>
      <c r="F119" s="26"/>
      <c r="G119" s="27"/>
      <c r="H119" s="28">
        <f>466.32</f>
        <v>466.32</v>
      </c>
      <c r="I119" s="29" t="s">
        <v>8</v>
      </c>
    </row>
    <row r="120" spans="1:9" s="12" customFormat="1">
      <c r="A120" s="21"/>
      <c r="B120" s="22"/>
      <c r="C120" s="23"/>
      <c r="D120" s="24">
        <f>15</f>
        <v>15</v>
      </c>
      <c r="E120" s="25" t="s">
        <v>28</v>
      </c>
      <c r="F120" s="26"/>
      <c r="G120" s="27"/>
      <c r="H120" s="28">
        <f>41.66</f>
        <v>41.66</v>
      </c>
      <c r="I120" s="29" t="s">
        <v>58</v>
      </c>
    </row>
    <row r="121" spans="1:9" s="12" customFormat="1">
      <c r="A121" s="21"/>
      <c r="B121" s="22"/>
      <c r="C121" s="23"/>
      <c r="D121" s="24"/>
      <c r="E121" s="25"/>
      <c r="F121" s="26"/>
      <c r="G121" s="27"/>
      <c r="H121" s="28"/>
      <c r="I121" s="29"/>
    </row>
    <row r="122" spans="1:9" s="12" customFormat="1">
      <c r="A122" s="30" t="s">
        <v>5</v>
      </c>
      <c r="B122" s="21"/>
      <c r="C122" s="21"/>
      <c r="D122" s="31">
        <f>SUM(D118:D121)</f>
        <v>220.76</v>
      </c>
      <c r="E122" s="29"/>
      <c r="F122" s="32">
        <f>SUM(F118:F119)</f>
        <v>12</v>
      </c>
      <c r="G122" s="33"/>
      <c r="H122" s="34">
        <f>SUM(H118:H121)</f>
        <v>1779.07</v>
      </c>
      <c r="I122" s="35"/>
    </row>
    <row r="123" spans="1:9" s="12" customFormat="1" ht="13.5" thickBot="1">
      <c r="A123" s="36" t="s">
        <v>6</v>
      </c>
      <c r="B123" s="37">
        <f>SUM(D122+F122+H122)</f>
        <v>2011.83</v>
      </c>
      <c r="C123" s="38"/>
      <c r="D123" s="39"/>
      <c r="E123" s="40"/>
      <c r="F123" s="41"/>
      <c r="G123" s="42"/>
      <c r="H123" s="43"/>
      <c r="I123" s="44"/>
    </row>
    <row r="124" spans="1:9" s="12" customFormat="1">
      <c r="A124" s="13" t="s">
        <v>80</v>
      </c>
      <c r="B124" s="14" t="s">
        <v>64</v>
      </c>
      <c r="C124" s="14" t="s">
        <v>15</v>
      </c>
      <c r="D124" s="15">
        <f>92.1</f>
        <v>92.1</v>
      </c>
      <c r="E124" s="16" t="s">
        <v>50</v>
      </c>
      <c r="F124" s="17">
        <f>3.9</f>
        <v>3.9</v>
      </c>
      <c r="G124" s="18" t="s">
        <v>82</v>
      </c>
      <c r="H124" s="19">
        <f>1674.24</f>
        <v>1674.24</v>
      </c>
      <c r="I124" s="20" t="s">
        <v>16</v>
      </c>
    </row>
    <row r="125" spans="1:9" s="12" customFormat="1">
      <c r="A125" s="21"/>
      <c r="B125" s="22" t="s">
        <v>81</v>
      </c>
      <c r="C125" s="23"/>
      <c r="D125" s="24">
        <f>139.18</f>
        <v>139.18</v>
      </c>
      <c r="E125" s="25" t="s">
        <v>11</v>
      </c>
      <c r="F125" s="26"/>
      <c r="G125" s="27"/>
      <c r="H125" s="28">
        <f>548.04</f>
        <v>548.04</v>
      </c>
      <c r="I125" s="29" t="s">
        <v>8</v>
      </c>
    </row>
    <row r="126" spans="1:9" s="12" customFormat="1">
      <c r="A126" s="21"/>
      <c r="B126" s="22"/>
      <c r="C126" s="23"/>
      <c r="D126" s="24">
        <f>12.98</f>
        <v>12.98</v>
      </c>
      <c r="E126" s="25" t="s">
        <v>69</v>
      </c>
      <c r="F126" s="26"/>
      <c r="G126" s="27"/>
      <c r="H126" s="28">
        <f>18.54</f>
        <v>18.54</v>
      </c>
      <c r="I126" s="29" t="s">
        <v>58</v>
      </c>
    </row>
    <row r="127" spans="1:9" s="12" customFormat="1">
      <c r="A127" s="21"/>
      <c r="B127" s="22"/>
      <c r="C127" s="23"/>
      <c r="D127" s="24"/>
      <c r="E127" s="25"/>
      <c r="F127" s="26"/>
      <c r="G127" s="27"/>
      <c r="H127" s="28"/>
      <c r="I127" s="29"/>
    </row>
    <row r="128" spans="1:9" s="12" customFormat="1">
      <c r="A128" s="30" t="s">
        <v>5</v>
      </c>
      <c r="B128" s="21"/>
      <c r="C128" s="21"/>
      <c r="D128" s="31">
        <f>SUM(D124:D127)</f>
        <v>244.26</v>
      </c>
      <c r="E128" s="29"/>
      <c r="F128" s="32">
        <f>SUM(F124:F125)</f>
        <v>3.9</v>
      </c>
      <c r="G128" s="33"/>
      <c r="H128" s="34">
        <f>SUM(H124:H127)</f>
        <v>2240.8199999999997</v>
      </c>
      <c r="I128" s="35"/>
    </row>
    <row r="129" spans="1:9" s="12" customFormat="1" ht="13.5" thickBot="1">
      <c r="A129" s="36" t="s">
        <v>6</v>
      </c>
      <c r="B129" s="37">
        <f>SUM(D128+F128+H128)</f>
        <v>2488.9799999999996</v>
      </c>
      <c r="C129" s="38"/>
      <c r="D129" s="39"/>
      <c r="E129" s="40"/>
      <c r="F129" s="41"/>
      <c r="G129" s="42"/>
      <c r="H129" s="43"/>
      <c r="I129" s="44"/>
    </row>
    <row r="130" spans="1:9" s="12" customFormat="1">
      <c r="A130" s="13">
        <v>42030</v>
      </c>
      <c r="B130" s="14" t="s">
        <v>67</v>
      </c>
      <c r="C130" s="14" t="s">
        <v>21</v>
      </c>
      <c r="D130" s="15">
        <f>27.81</f>
        <v>27.81</v>
      </c>
      <c r="E130" s="16" t="s">
        <v>50</v>
      </c>
      <c r="F130" s="17">
        <f>1.52</f>
        <v>1.52</v>
      </c>
      <c r="G130" s="18" t="s">
        <v>68</v>
      </c>
      <c r="H130" s="19"/>
      <c r="I130" s="20"/>
    </row>
    <row r="131" spans="1:9" s="12" customFormat="1">
      <c r="A131" s="21"/>
      <c r="B131" s="22" t="s">
        <v>65</v>
      </c>
      <c r="C131" s="23"/>
      <c r="D131" s="24">
        <f>109.15</f>
        <v>109.15</v>
      </c>
      <c r="E131" s="25" t="s">
        <v>69</v>
      </c>
      <c r="F131" s="26"/>
      <c r="G131" s="27"/>
      <c r="H131" s="28"/>
      <c r="I131" s="29"/>
    </row>
    <row r="132" spans="1:9" s="12" customFormat="1">
      <c r="A132" s="21"/>
      <c r="B132" s="22"/>
      <c r="C132" s="23"/>
      <c r="D132" s="24"/>
      <c r="E132" s="25"/>
      <c r="F132" s="26"/>
      <c r="G132" s="27"/>
      <c r="H132" s="28"/>
      <c r="I132" s="29"/>
    </row>
    <row r="133" spans="1:9" s="12" customFormat="1">
      <c r="A133" s="21" t="s">
        <v>97</v>
      </c>
      <c r="B133" s="22"/>
      <c r="C133" s="23" t="s">
        <v>4</v>
      </c>
      <c r="D133" s="24"/>
      <c r="E133" s="25"/>
      <c r="F133" s="26"/>
      <c r="G133" s="27"/>
      <c r="H133" s="28">
        <f>401.5-401.5+447.2</f>
        <v>447.2</v>
      </c>
      <c r="I133" s="29" t="s">
        <v>8</v>
      </c>
    </row>
    <row r="134" spans="1:9" s="12" customFormat="1">
      <c r="A134" s="21"/>
      <c r="B134" s="22"/>
      <c r="C134" s="23"/>
      <c r="D134" s="24"/>
      <c r="E134" s="25"/>
      <c r="F134" s="26"/>
      <c r="G134" s="27"/>
      <c r="H134" s="28"/>
      <c r="I134" s="29"/>
    </row>
    <row r="135" spans="1:9" s="12" customFormat="1">
      <c r="A135" s="30" t="s">
        <v>5</v>
      </c>
      <c r="B135" s="21"/>
      <c r="C135" s="21"/>
      <c r="D135" s="31">
        <f>SUM(D130:D134)</f>
        <v>136.96</v>
      </c>
      <c r="E135" s="29"/>
      <c r="F135" s="32">
        <f>SUM(F130:F134)</f>
        <v>1.52</v>
      </c>
      <c r="G135" s="33"/>
      <c r="H135" s="34">
        <f>SUM(H130:H134)</f>
        <v>447.2</v>
      </c>
      <c r="I135" s="35"/>
    </row>
    <row r="136" spans="1:9" s="12" customFormat="1" ht="13.5" thickBot="1">
      <c r="A136" s="36" t="s">
        <v>6</v>
      </c>
      <c r="B136" s="37">
        <f>SUM(D135+F135+H135)</f>
        <v>585.68000000000006</v>
      </c>
      <c r="C136" s="38"/>
      <c r="D136" s="39"/>
      <c r="E136" s="40"/>
      <c r="F136" s="41"/>
      <c r="G136" s="42"/>
      <c r="H136" s="43"/>
      <c r="I136" s="44"/>
    </row>
    <row r="137" spans="1:9" s="12" customFormat="1">
      <c r="A137" s="13" t="s">
        <v>89</v>
      </c>
      <c r="B137" s="14" t="s">
        <v>52</v>
      </c>
      <c r="C137" s="14" t="s">
        <v>13</v>
      </c>
      <c r="D137" s="15">
        <f>37.2+139.77</f>
        <v>176.97000000000003</v>
      </c>
      <c r="E137" s="16" t="s">
        <v>50</v>
      </c>
      <c r="F137" s="17">
        <f>63.84</f>
        <v>63.84</v>
      </c>
      <c r="G137" s="18" t="s">
        <v>59</v>
      </c>
      <c r="H137" s="19">
        <f>1207.65</f>
        <v>1207.6500000000001</v>
      </c>
      <c r="I137" s="20" t="s">
        <v>16</v>
      </c>
    </row>
    <row r="138" spans="1:9" s="12" customFormat="1">
      <c r="A138" s="21"/>
      <c r="B138" s="22" t="s">
        <v>84</v>
      </c>
      <c r="C138" s="23"/>
      <c r="D138" s="24">
        <f>23.91</f>
        <v>23.91</v>
      </c>
      <c r="E138" s="25" t="s">
        <v>11</v>
      </c>
      <c r="F138" s="26"/>
      <c r="G138" s="27"/>
      <c r="H138" s="28">
        <v>927.35</v>
      </c>
      <c r="I138" s="29" t="s">
        <v>8</v>
      </c>
    </row>
    <row r="139" spans="1:9" s="12" customFormat="1">
      <c r="A139" s="21"/>
      <c r="B139" s="22"/>
      <c r="C139" s="23"/>
      <c r="D139" s="24">
        <f>163.85</f>
        <v>163.85</v>
      </c>
      <c r="E139" s="25" t="s">
        <v>69</v>
      </c>
      <c r="F139" s="26"/>
      <c r="G139" s="27"/>
      <c r="H139" s="28">
        <f>137.97</f>
        <v>137.97</v>
      </c>
      <c r="I139" s="29" t="s">
        <v>58</v>
      </c>
    </row>
    <row r="140" spans="1:9" s="12" customFormat="1">
      <c r="A140" s="21"/>
      <c r="B140" s="22"/>
      <c r="C140" s="23"/>
      <c r="D140" s="24"/>
      <c r="E140" s="25"/>
      <c r="F140" s="26"/>
      <c r="G140" s="27"/>
      <c r="H140" s="28"/>
      <c r="I140" s="29"/>
    </row>
    <row r="141" spans="1:9" s="12" customFormat="1">
      <c r="A141" s="21"/>
      <c r="B141" s="22"/>
      <c r="C141" s="23" t="s">
        <v>20</v>
      </c>
      <c r="D141" s="24">
        <f>29.77</f>
        <v>29.77</v>
      </c>
      <c r="E141" s="25" t="s">
        <v>50</v>
      </c>
      <c r="F141" s="26"/>
      <c r="G141" s="27"/>
      <c r="H141" s="28">
        <f>550.57</f>
        <v>550.57000000000005</v>
      </c>
      <c r="I141" s="29" t="s">
        <v>16</v>
      </c>
    </row>
    <row r="142" spans="1:9" s="12" customFormat="1">
      <c r="A142" s="21"/>
      <c r="B142" s="22"/>
      <c r="C142" s="23"/>
      <c r="D142" s="24">
        <f>35.85+57.09</f>
        <v>92.94</v>
      </c>
      <c r="E142" s="25" t="s">
        <v>11</v>
      </c>
      <c r="F142" s="26"/>
      <c r="G142" s="27"/>
      <c r="H142" s="28">
        <f>1105.38</f>
        <v>1105.3800000000001</v>
      </c>
      <c r="I142" s="29" t="s">
        <v>8</v>
      </c>
    </row>
    <row r="143" spans="1:9" s="12" customFormat="1">
      <c r="A143" s="21"/>
      <c r="B143" s="22"/>
      <c r="C143" s="23"/>
      <c r="D143" s="24">
        <f>1.69</f>
        <v>1.69</v>
      </c>
      <c r="E143" s="25" t="s">
        <v>69</v>
      </c>
      <c r="F143" s="26"/>
      <c r="G143" s="27"/>
      <c r="H143" s="28">
        <f>181.04</f>
        <v>181.04</v>
      </c>
      <c r="I143" s="29" t="s">
        <v>58</v>
      </c>
    </row>
    <row r="144" spans="1:9" s="12" customFormat="1">
      <c r="A144" s="21"/>
      <c r="B144" s="22"/>
      <c r="C144" s="23"/>
      <c r="D144" s="24"/>
      <c r="E144" s="25"/>
      <c r="F144" s="26"/>
      <c r="G144" s="27"/>
      <c r="H144" s="28"/>
      <c r="I144" s="29"/>
    </row>
    <row r="145" spans="1:9" s="12" customFormat="1">
      <c r="A145" s="30" t="s">
        <v>5</v>
      </c>
      <c r="B145" s="21"/>
      <c r="C145" s="21"/>
      <c r="D145" s="31">
        <f>SUM(D137:D144)</f>
        <v>489.13</v>
      </c>
      <c r="E145" s="29"/>
      <c r="F145" s="32">
        <f>SUM(F137:F138)</f>
        <v>63.84</v>
      </c>
      <c r="G145" s="33"/>
      <c r="H145" s="34">
        <f>SUM(H137:H144)</f>
        <v>4109.96</v>
      </c>
      <c r="I145" s="35"/>
    </row>
    <row r="146" spans="1:9" s="12" customFormat="1" ht="13.5" thickBot="1">
      <c r="A146" s="36" t="s">
        <v>6</v>
      </c>
      <c r="B146" s="37">
        <f>SUM(D145+F145+H145)</f>
        <v>4662.93</v>
      </c>
      <c r="C146" s="38"/>
      <c r="D146" s="39"/>
      <c r="E146" s="40"/>
      <c r="F146" s="41"/>
      <c r="G146" s="42"/>
      <c r="H146" s="43"/>
      <c r="I146" s="44"/>
    </row>
    <row r="147" spans="1:9" s="12" customFormat="1">
      <c r="A147" s="13">
        <v>42031</v>
      </c>
      <c r="B147" s="14" t="s">
        <v>88</v>
      </c>
      <c r="C147" s="14" t="s">
        <v>70</v>
      </c>
      <c r="D147" s="15">
        <f>2.7</f>
        <v>2.7</v>
      </c>
      <c r="E147" s="16" t="s">
        <v>50</v>
      </c>
      <c r="F147" s="17">
        <v>5.2</v>
      </c>
      <c r="G147" s="18" t="s">
        <v>59</v>
      </c>
      <c r="H147" s="19">
        <f>739.87</f>
        <v>739.87</v>
      </c>
      <c r="I147" s="20" t="s">
        <v>16</v>
      </c>
    </row>
    <row r="148" spans="1:9" s="12" customFormat="1">
      <c r="A148" s="21"/>
      <c r="B148" s="22" t="s">
        <v>38</v>
      </c>
      <c r="C148" s="23"/>
      <c r="D148" s="24"/>
      <c r="E148" s="25"/>
      <c r="F148" s="26">
        <v>28</v>
      </c>
      <c r="G148" s="27" t="s">
        <v>68</v>
      </c>
      <c r="H148" s="28"/>
      <c r="I148" s="29"/>
    </row>
    <row r="149" spans="1:9" s="12" customFormat="1">
      <c r="A149" s="21"/>
      <c r="B149" s="22"/>
      <c r="C149" s="23"/>
      <c r="D149" s="24"/>
      <c r="E149" s="25"/>
      <c r="F149" s="26"/>
      <c r="G149" s="27"/>
      <c r="H149" s="28"/>
      <c r="I149" s="29"/>
    </row>
    <row r="150" spans="1:9" s="12" customFormat="1">
      <c r="A150" s="21"/>
      <c r="B150" s="22"/>
      <c r="C150" s="23" t="s">
        <v>7</v>
      </c>
      <c r="D150" s="24">
        <f>87.73</f>
        <v>87.73</v>
      </c>
      <c r="E150" s="25" t="s">
        <v>50</v>
      </c>
      <c r="F150" s="26">
        <f>27</f>
        <v>27</v>
      </c>
      <c r="G150" s="27" t="s">
        <v>68</v>
      </c>
      <c r="H150" s="28">
        <f>739.87</f>
        <v>739.87</v>
      </c>
      <c r="I150" s="29" t="s">
        <v>16</v>
      </c>
    </row>
    <row r="151" spans="1:9" s="12" customFormat="1">
      <c r="A151" s="21"/>
      <c r="B151" s="22"/>
      <c r="C151" s="23"/>
      <c r="D151" s="24">
        <f>135.88</f>
        <v>135.88</v>
      </c>
      <c r="E151" s="25" t="s">
        <v>11</v>
      </c>
      <c r="F151" s="26"/>
      <c r="G151" s="27"/>
      <c r="H151" s="28">
        <f>482.37+199.84</f>
        <v>682.21</v>
      </c>
      <c r="I151" s="29" t="s">
        <v>134</v>
      </c>
    </row>
    <row r="152" spans="1:9" s="12" customFormat="1">
      <c r="A152" s="21"/>
      <c r="B152" s="22"/>
      <c r="C152" s="23"/>
      <c r="D152" s="24"/>
      <c r="E152" s="25"/>
      <c r="F152" s="26"/>
      <c r="G152" s="27"/>
      <c r="H152" s="28"/>
      <c r="I152" s="29"/>
    </row>
    <row r="153" spans="1:9" s="12" customFormat="1">
      <c r="A153" s="30" t="s">
        <v>5</v>
      </c>
      <c r="B153" s="21"/>
      <c r="C153" s="21"/>
      <c r="D153" s="31">
        <f>SUM(D147:D152)</f>
        <v>226.31</v>
      </c>
      <c r="E153" s="29"/>
      <c r="F153" s="32">
        <f>SUM(F147:F152)</f>
        <v>60.2</v>
      </c>
      <c r="G153" s="33"/>
      <c r="H153" s="34">
        <f>SUM(H147:H152)</f>
        <v>2161.9499999999998</v>
      </c>
      <c r="I153" s="35"/>
    </row>
    <row r="154" spans="1:9" s="12" customFormat="1" ht="13.5" thickBot="1">
      <c r="A154" s="36" t="s">
        <v>6</v>
      </c>
      <c r="B154" s="37">
        <f>SUM(D153+F153+H153)</f>
        <v>2448.46</v>
      </c>
      <c r="C154" s="38"/>
      <c r="D154" s="39"/>
      <c r="E154" s="40"/>
      <c r="F154" s="41"/>
      <c r="G154" s="42"/>
      <c r="H154" s="43"/>
      <c r="I154" s="44"/>
    </row>
    <row r="155" spans="1:9" s="12" customFormat="1">
      <c r="A155" s="13" t="s">
        <v>135</v>
      </c>
      <c r="B155" s="14" t="s">
        <v>14</v>
      </c>
      <c r="C155" s="14" t="s">
        <v>21</v>
      </c>
      <c r="D155" s="15">
        <f>28.9</f>
        <v>28.9</v>
      </c>
      <c r="E155" s="16" t="s">
        <v>50</v>
      </c>
      <c r="F155" s="17">
        <f>73.87</f>
        <v>73.87</v>
      </c>
      <c r="G155" s="18" t="s">
        <v>59</v>
      </c>
      <c r="H155" s="19"/>
      <c r="I155" s="20"/>
    </row>
    <row r="156" spans="1:9" s="12" customFormat="1">
      <c r="A156" s="21"/>
      <c r="B156" s="22" t="s">
        <v>65</v>
      </c>
      <c r="C156" s="23"/>
      <c r="D156" s="24"/>
      <c r="E156" s="25"/>
      <c r="F156" s="26">
        <v>1.33</v>
      </c>
      <c r="G156" s="27" t="s">
        <v>68</v>
      </c>
      <c r="H156" s="28"/>
      <c r="I156" s="29"/>
    </row>
    <row r="157" spans="1:9" s="12" customFormat="1">
      <c r="A157" s="21"/>
      <c r="B157" s="22"/>
      <c r="C157" s="23"/>
      <c r="D157" s="24"/>
      <c r="E157" s="25"/>
      <c r="F157" s="26"/>
      <c r="G157" s="27"/>
      <c r="H157" s="28"/>
      <c r="I157" s="29"/>
    </row>
    <row r="158" spans="1:9" s="12" customFormat="1">
      <c r="A158" s="21"/>
      <c r="B158" s="22"/>
      <c r="C158" s="23" t="s">
        <v>4</v>
      </c>
      <c r="D158" s="24"/>
      <c r="E158" s="25"/>
      <c r="F158" s="26"/>
      <c r="G158" s="27"/>
      <c r="H158" s="28">
        <f>501.11+813.66</f>
        <v>1314.77</v>
      </c>
      <c r="I158" s="29" t="s">
        <v>16</v>
      </c>
    </row>
    <row r="159" spans="1:9" s="12" customFormat="1">
      <c r="A159" s="21"/>
      <c r="B159" s="22"/>
      <c r="C159" s="23"/>
      <c r="D159" s="24"/>
      <c r="E159" s="25"/>
      <c r="F159" s="26"/>
      <c r="G159" s="27"/>
      <c r="H159" s="28">
        <f>152.01+152.01-152.01+76</f>
        <v>228.01</v>
      </c>
      <c r="I159" s="29" t="s">
        <v>8</v>
      </c>
    </row>
    <row r="160" spans="1:9" s="12" customFormat="1">
      <c r="A160" s="21"/>
      <c r="B160" s="22"/>
      <c r="C160" s="23"/>
      <c r="D160" s="24"/>
      <c r="E160" s="25"/>
      <c r="F160" s="26"/>
      <c r="G160" s="27"/>
      <c r="H160" s="28"/>
      <c r="I160" s="29"/>
    </row>
    <row r="161" spans="1:11" s="12" customFormat="1">
      <c r="A161" s="30" t="s">
        <v>5</v>
      </c>
      <c r="B161" s="21"/>
      <c r="C161" s="21"/>
      <c r="D161" s="31">
        <f>SUM(D155:D156)</f>
        <v>28.9</v>
      </c>
      <c r="E161" s="29"/>
      <c r="F161" s="32">
        <f>SUM(F155:F156)</f>
        <v>75.2</v>
      </c>
      <c r="G161" s="33"/>
      <c r="H161" s="34">
        <f>SUM(H155:H160)</f>
        <v>1542.78</v>
      </c>
      <c r="I161" s="35"/>
    </row>
    <row r="162" spans="1:11" s="12" customFormat="1" ht="13.5" thickBot="1">
      <c r="A162" s="36" t="s">
        <v>6</v>
      </c>
      <c r="B162" s="37">
        <f>SUM(D161+F161+H161)</f>
        <v>1646.8799999999999</v>
      </c>
      <c r="C162" s="38"/>
      <c r="D162" s="39"/>
      <c r="E162" s="40"/>
      <c r="F162" s="41"/>
      <c r="G162" s="42"/>
      <c r="H162" s="43"/>
      <c r="I162" s="44"/>
    </row>
    <row r="163" spans="1:11" s="12" customFormat="1">
      <c r="A163" s="13" t="s">
        <v>90</v>
      </c>
      <c r="B163" s="14" t="s">
        <v>86</v>
      </c>
      <c r="C163" s="14" t="s">
        <v>22</v>
      </c>
      <c r="D163" s="15">
        <f>108.14</f>
        <v>108.14</v>
      </c>
      <c r="E163" s="16" t="s">
        <v>50</v>
      </c>
      <c r="F163" s="17"/>
      <c r="G163" s="18"/>
      <c r="H163" s="19">
        <f>1836.01</f>
        <v>1836.01</v>
      </c>
      <c r="I163" s="20" t="s">
        <v>16</v>
      </c>
    </row>
    <row r="164" spans="1:11" s="12" customFormat="1">
      <c r="A164" s="21"/>
      <c r="B164" s="22" t="s">
        <v>65</v>
      </c>
      <c r="C164" s="23"/>
      <c r="D164" s="24">
        <f>14.72+16.19+37.81</f>
        <v>68.72</v>
      </c>
      <c r="E164" s="25" t="s">
        <v>11</v>
      </c>
      <c r="F164" s="26"/>
      <c r="G164" s="27"/>
      <c r="H164" s="28">
        <f>152.02+137.67-152.02</f>
        <v>137.66999999999999</v>
      </c>
      <c r="I164" s="29" t="s">
        <v>8</v>
      </c>
    </row>
    <row r="165" spans="1:11" s="12" customFormat="1">
      <c r="A165" s="21"/>
      <c r="B165" s="22"/>
      <c r="C165" s="23"/>
      <c r="D165" s="24"/>
      <c r="E165" s="25"/>
      <c r="F165" s="26"/>
      <c r="G165" s="27"/>
      <c r="H165" s="28">
        <f>340.18</f>
        <v>340.18</v>
      </c>
      <c r="I165" s="29" t="s">
        <v>109</v>
      </c>
    </row>
    <row r="166" spans="1:11" s="12" customFormat="1">
      <c r="A166" s="21"/>
      <c r="B166" s="22"/>
      <c r="C166" s="23"/>
      <c r="D166" s="24"/>
      <c r="E166" s="25"/>
      <c r="F166" s="26"/>
      <c r="G166" s="27"/>
      <c r="H166" s="28"/>
      <c r="I166" s="29"/>
    </row>
    <row r="167" spans="1:11" s="12" customFormat="1">
      <c r="A167" s="21" t="s">
        <v>136</v>
      </c>
      <c r="B167" s="22"/>
      <c r="C167" s="23" t="s">
        <v>4</v>
      </c>
      <c r="D167" s="24"/>
      <c r="E167" s="25"/>
      <c r="F167" s="26"/>
      <c r="G167" s="27"/>
      <c r="H167" s="28">
        <f>137.67+137.67-137.67</f>
        <v>137.66999999999999</v>
      </c>
      <c r="I167" s="29" t="s">
        <v>8</v>
      </c>
    </row>
    <row r="168" spans="1:11" s="12" customFormat="1">
      <c r="A168" s="21"/>
      <c r="B168" s="22"/>
      <c r="C168" s="23"/>
      <c r="D168" s="24"/>
      <c r="E168" s="25"/>
      <c r="F168" s="26"/>
      <c r="G168" s="27"/>
      <c r="H168" s="28"/>
      <c r="I168" s="29"/>
    </row>
    <row r="169" spans="1:11" s="12" customFormat="1">
      <c r="A169" s="30" t="s">
        <v>5</v>
      </c>
      <c r="B169" s="21"/>
      <c r="C169" s="21"/>
      <c r="D169" s="31">
        <f>SUM(D163:D168)</f>
        <v>176.86</v>
      </c>
      <c r="E169" s="29"/>
      <c r="F169" s="32">
        <f>SUM(F163:F164)</f>
        <v>0</v>
      </c>
      <c r="G169" s="33"/>
      <c r="H169" s="34">
        <f>SUM(H163:H168)</f>
        <v>2451.5300000000002</v>
      </c>
      <c r="I169" s="35"/>
    </row>
    <row r="170" spans="1:11" s="12" customFormat="1" ht="13.5" thickBot="1">
      <c r="A170" s="36" t="s">
        <v>6</v>
      </c>
      <c r="B170" s="37">
        <f>SUM(D169+F169+H169)</f>
        <v>2628.3900000000003</v>
      </c>
      <c r="C170" s="38"/>
      <c r="D170" s="39"/>
      <c r="E170" s="40"/>
      <c r="F170" s="41"/>
      <c r="G170" s="42"/>
      <c r="H170" s="43"/>
      <c r="I170" s="44"/>
    </row>
    <row r="171" spans="1:11" ht="13.5" thickBot="1">
      <c r="J171" s="12"/>
      <c r="K171" s="46"/>
    </row>
    <row r="172" spans="1:11" ht="15.75">
      <c r="A172" s="2" t="s">
        <v>106</v>
      </c>
      <c r="B172" s="7">
        <f>SUM(B53,B59,B76,B86,B111,B123,B162,B170)</f>
        <v>14571.239999999998</v>
      </c>
      <c r="J172" s="12"/>
      <c r="K172" s="46"/>
    </row>
    <row r="173" spans="1:11" ht="15.75">
      <c r="A173" s="3" t="s">
        <v>105</v>
      </c>
      <c r="B173" s="8">
        <f>SUM(B47,B95,B101,B129,B146)</f>
        <v>12466.14</v>
      </c>
      <c r="J173" s="12"/>
      <c r="K173" s="46"/>
    </row>
    <row r="174" spans="1:11" ht="15.75">
      <c r="A174" s="3" t="s">
        <v>107</v>
      </c>
      <c r="B174" s="9">
        <v>0</v>
      </c>
      <c r="J174" s="12"/>
      <c r="K174" s="46"/>
    </row>
    <row r="175" spans="1:11" ht="16.5" thickBot="1">
      <c r="A175" s="4" t="s">
        <v>108</v>
      </c>
      <c r="B175" s="10">
        <f>SUM(B5,B41,B66,B82,B117,B136,B154)</f>
        <v>25153.3</v>
      </c>
      <c r="J175" s="12"/>
      <c r="K175" s="46"/>
    </row>
    <row r="176" spans="1:11" ht="16.5" thickBot="1">
      <c r="A176" s="5" t="s">
        <v>25</v>
      </c>
      <c r="B176" s="6">
        <f>SUM(B172:B175)</f>
        <v>52190.679999999993</v>
      </c>
      <c r="J176" s="12"/>
      <c r="K176" s="46"/>
    </row>
    <row r="177" spans="1:11" ht="15.75">
      <c r="A177" s="1"/>
      <c r="B177" s="47">
        <f>B176-SUM(B5,B41,B47,B53,B59,B66,B76,B82,B86,B95,B101,B111,B117,B123,B129,B136,B146,B154,B162,B170)</f>
        <v>0</v>
      </c>
      <c r="J177" s="12"/>
      <c r="K177" s="48"/>
    </row>
    <row r="178" spans="1:11">
      <c r="J178" s="12"/>
      <c r="K178" s="46"/>
    </row>
  </sheetData>
  <mergeCells count="3"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8"/>
  <sheetViews>
    <sheetView topLeftCell="A76" workbookViewId="0">
      <selection activeCell="C118" sqref="C118"/>
    </sheetView>
  </sheetViews>
  <sheetFormatPr defaultRowHeight="12.75"/>
  <cols>
    <col min="1" max="1" width="31.7109375" style="45" bestFit="1" customWidth="1"/>
    <col min="2" max="2" width="35.5703125" style="45" bestFit="1" customWidth="1"/>
    <col min="3" max="3" width="19.140625" style="45" customWidth="1"/>
    <col min="4" max="4" width="18.28515625" style="45" customWidth="1"/>
    <col min="5" max="5" width="26.42578125" style="45" customWidth="1"/>
    <col min="6" max="6" width="15.7109375" style="45" customWidth="1"/>
    <col min="7" max="7" width="30.140625" style="45" customWidth="1"/>
    <col min="8" max="8" width="19.28515625" style="45" customWidth="1"/>
    <col min="9" max="9" width="33.28515625" style="45" customWidth="1"/>
    <col min="10" max="10" width="14.42578125" style="45" bestFit="1" customWidth="1"/>
    <col min="11" max="11" width="9.7109375" style="45" bestFit="1" customWidth="1"/>
    <col min="12" max="16384" width="9.140625" style="45"/>
  </cols>
  <sheetData>
    <row r="1" spans="1:9" s="12" customFormat="1" ht="13.5" thickBot="1">
      <c r="A1" s="11" t="s">
        <v>0</v>
      </c>
      <c r="B1" s="11" t="s">
        <v>1</v>
      </c>
      <c r="C1" s="11" t="s">
        <v>2</v>
      </c>
      <c r="D1" s="55" t="s">
        <v>3</v>
      </c>
      <c r="E1" s="56"/>
      <c r="F1" s="57" t="s">
        <v>30</v>
      </c>
      <c r="G1" s="58"/>
      <c r="H1" s="57" t="s">
        <v>31</v>
      </c>
      <c r="I1" s="58"/>
    </row>
    <row r="2" spans="1:9" s="12" customFormat="1">
      <c r="A2" s="13" t="s">
        <v>78</v>
      </c>
      <c r="B2" s="14" t="s">
        <v>14</v>
      </c>
      <c r="C2" s="14" t="s">
        <v>9</v>
      </c>
      <c r="D2" s="15">
        <f>214.03+44.2</f>
        <v>258.23</v>
      </c>
      <c r="E2" s="16" t="s">
        <v>50</v>
      </c>
      <c r="F2" s="17">
        <f>12</f>
        <v>12</v>
      </c>
      <c r="G2" s="18" t="s">
        <v>57</v>
      </c>
      <c r="H2" s="19">
        <f>472.06+554.35</f>
        <v>1026.4100000000001</v>
      </c>
      <c r="I2" s="20" t="s">
        <v>16</v>
      </c>
    </row>
    <row r="3" spans="1:9" s="12" customFormat="1">
      <c r="A3" s="49"/>
      <c r="B3" s="22" t="s">
        <v>34</v>
      </c>
      <c r="C3" s="23"/>
      <c r="D3" s="24">
        <f>40</f>
        <v>40</v>
      </c>
      <c r="E3" s="25" t="s">
        <v>11</v>
      </c>
      <c r="F3" s="26"/>
      <c r="G3" s="27"/>
      <c r="H3" s="28">
        <f>340.98+340.98-340.98</f>
        <v>340.98</v>
      </c>
      <c r="I3" s="29" t="s">
        <v>119</v>
      </c>
    </row>
    <row r="4" spans="1:9" s="12" customFormat="1">
      <c r="A4" s="49"/>
      <c r="B4" s="22"/>
      <c r="C4" s="23"/>
      <c r="D4" s="24">
        <f>27.99</f>
        <v>27.99</v>
      </c>
      <c r="E4" s="25" t="s">
        <v>69</v>
      </c>
      <c r="F4" s="26"/>
      <c r="G4" s="27"/>
      <c r="H4" s="28">
        <f>7.63</f>
        <v>7.63</v>
      </c>
      <c r="I4" s="29" t="s">
        <v>58</v>
      </c>
    </row>
    <row r="5" spans="1:9" s="12" customFormat="1">
      <c r="A5" s="49"/>
      <c r="B5" s="22"/>
      <c r="C5" s="23"/>
      <c r="D5" s="24"/>
      <c r="E5" s="25"/>
      <c r="F5" s="26"/>
      <c r="G5" s="27"/>
      <c r="H5" s="28"/>
      <c r="I5" s="29"/>
    </row>
    <row r="6" spans="1:9" s="12" customFormat="1">
      <c r="A6" s="49"/>
      <c r="B6" s="22"/>
      <c r="C6" s="23" t="s">
        <v>12</v>
      </c>
      <c r="D6" s="24">
        <f>2.3+241.49</f>
        <v>243.79000000000002</v>
      </c>
      <c r="E6" s="25" t="s">
        <v>50</v>
      </c>
      <c r="F6" s="26">
        <f>12</f>
        <v>12</v>
      </c>
      <c r="G6" s="27" t="s">
        <v>57</v>
      </c>
      <c r="H6" s="28">
        <f>472.06+554.35</f>
        <v>1026.4100000000001</v>
      </c>
      <c r="I6" s="29" t="s">
        <v>16</v>
      </c>
    </row>
    <row r="7" spans="1:9" s="12" customFormat="1">
      <c r="A7" s="49"/>
      <c r="B7" s="22"/>
      <c r="C7" s="23"/>
      <c r="D7" s="24">
        <f>29.3+82.08</f>
        <v>111.38</v>
      </c>
      <c r="E7" s="25" t="s">
        <v>11</v>
      </c>
      <c r="F7" s="26"/>
      <c r="G7" s="27"/>
      <c r="H7" s="28">
        <f>340.98</f>
        <v>340.98</v>
      </c>
      <c r="I7" s="29" t="s">
        <v>8</v>
      </c>
    </row>
    <row r="8" spans="1:9" s="12" customFormat="1">
      <c r="A8" s="49"/>
      <c r="B8" s="22"/>
      <c r="C8" s="23"/>
      <c r="D8" s="24"/>
      <c r="E8" s="25"/>
      <c r="F8" s="26"/>
      <c r="G8" s="27"/>
      <c r="H8" s="28">
        <f>49.56</f>
        <v>49.56</v>
      </c>
      <c r="I8" s="29" t="s">
        <v>58</v>
      </c>
    </row>
    <row r="9" spans="1:9" s="12" customFormat="1">
      <c r="A9" s="21"/>
      <c r="B9" s="22"/>
      <c r="C9" s="23"/>
      <c r="D9" s="24"/>
      <c r="E9" s="25"/>
      <c r="F9" s="26"/>
      <c r="G9" s="27"/>
      <c r="H9" s="28"/>
      <c r="I9" s="29"/>
    </row>
    <row r="10" spans="1:9" s="12" customFormat="1">
      <c r="A10" s="30" t="s">
        <v>5</v>
      </c>
      <c r="B10" s="21"/>
      <c r="C10" s="21"/>
      <c r="D10" s="31">
        <f>SUM(D2:D9)</f>
        <v>681.39</v>
      </c>
      <c r="E10" s="29"/>
      <c r="F10" s="32">
        <f>SUM(F2:F9)</f>
        <v>24</v>
      </c>
      <c r="G10" s="33"/>
      <c r="H10" s="34">
        <f>SUM(H2:H9)</f>
        <v>2791.9700000000003</v>
      </c>
      <c r="I10" s="35"/>
    </row>
    <row r="11" spans="1:9" s="12" customFormat="1" ht="13.5" thickBot="1">
      <c r="A11" s="36" t="s">
        <v>6</v>
      </c>
      <c r="B11" s="37">
        <f>SUM(D10+F10+H10)</f>
        <v>3497.36</v>
      </c>
      <c r="C11" s="38"/>
      <c r="D11" s="39"/>
      <c r="E11" s="40"/>
      <c r="F11" s="41"/>
      <c r="G11" s="42"/>
      <c r="H11" s="43"/>
      <c r="I11" s="44"/>
    </row>
    <row r="12" spans="1:9" s="12" customFormat="1">
      <c r="A12" s="13" t="s">
        <v>95</v>
      </c>
      <c r="B12" s="14" t="s">
        <v>14</v>
      </c>
      <c r="C12" s="14" t="s">
        <v>21</v>
      </c>
      <c r="D12" s="15"/>
      <c r="E12" s="16"/>
      <c r="F12" s="17"/>
      <c r="G12" s="18"/>
      <c r="H12" s="19">
        <f>791.23</f>
        <v>791.23</v>
      </c>
      <c r="I12" s="20" t="s">
        <v>16</v>
      </c>
    </row>
    <row r="13" spans="1:9" s="12" customFormat="1">
      <c r="A13" s="49"/>
      <c r="B13" s="22" t="s">
        <v>96</v>
      </c>
      <c r="C13" s="23"/>
      <c r="D13" s="24"/>
      <c r="E13" s="25"/>
      <c r="F13" s="26"/>
      <c r="G13" s="27"/>
      <c r="H13" s="28">
        <f>266.77+421.26</f>
        <v>688.03</v>
      </c>
      <c r="I13" s="29" t="s">
        <v>8</v>
      </c>
    </row>
    <row r="14" spans="1:9" s="12" customFormat="1">
      <c r="A14" s="49"/>
      <c r="B14" s="22"/>
      <c r="C14" s="23"/>
      <c r="D14" s="24"/>
      <c r="E14" s="25"/>
      <c r="F14" s="26"/>
      <c r="G14" s="27"/>
      <c r="H14" s="28"/>
      <c r="I14" s="29"/>
    </row>
    <row r="15" spans="1:9" s="12" customFormat="1">
      <c r="A15" s="49" t="s">
        <v>138</v>
      </c>
      <c r="B15" s="22"/>
      <c r="C15" s="23" t="s">
        <v>4</v>
      </c>
      <c r="D15" s="24"/>
      <c r="E15" s="25"/>
      <c r="F15" s="26"/>
      <c r="G15" s="27"/>
      <c r="H15" s="28">
        <f>312.32</f>
        <v>312.32</v>
      </c>
      <c r="I15" s="29" t="s">
        <v>8</v>
      </c>
    </row>
    <row r="16" spans="1:9" s="12" customFormat="1">
      <c r="A16" s="49"/>
      <c r="B16" s="22"/>
      <c r="C16" s="23"/>
      <c r="D16" s="24"/>
      <c r="E16" s="25"/>
      <c r="F16" s="26"/>
      <c r="G16" s="27"/>
      <c r="H16" s="28"/>
      <c r="I16" s="29"/>
    </row>
    <row r="17" spans="1:9" s="12" customFormat="1">
      <c r="A17" s="30" t="s">
        <v>5</v>
      </c>
      <c r="B17" s="21"/>
      <c r="C17" s="21"/>
      <c r="D17" s="31">
        <f>SUM(D12:D16)</f>
        <v>0</v>
      </c>
      <c r="E17" s="29"/>
      <c r="F17" s="32">
        <f>SUM(F12:F16)</f>
        <v>0</v>
      </c>
      <c r="G17" s="33"/>
      <c r="H17" s="34">
        <f>SUM(H12:H16)</f>
        <v>1791.58</v>
      </c>
      <c r="I17" s="35"/>
    </row>
    <row r="18" spans="1:9" s="12" customFormat="1" ht="13.5" thickBot="1">
      <c r="A18" s="36" t="s">
        <v>6</v>
      </c>
      <c r="B18" s="37">
        <f>SUM(D17+F17+H17)</f>
        <v>1791.58</v>
      </c>
      <c r="C18" s="38"/>
      <c r="D18" s="39"/>
      <c r="E18" s="40"/>
      <c r="F18" s="41"/>
      <c r="G18" s="42"/>
      <c r="H18" s="43"/>
      <c r="I18" s="44"/>
    </row>
    <row r="19" spans="1:9" s="12" customFormat="1">
      <c r="A19" s="13" t="s">
        <v>110</v>
      </c>
      <c r="B19" s="14" t="s">
        <v>86</v>
      </c>
      <c r="C19" s="14" t="s">
        <v>22</v>
      </c>
      <c r="D19" s="15">
        <f>107.86</f>
        <v>107.86</v>
      </c>
      <c r="E19" s="16" t="s">
        <v>50</v>
      </c>
      <c r="F19" s="17"/>
      <c r="G19" s="18"/>
      <c r="H19" s="19"/>
      <c r="I19" s="20"/>
    </row>
    <row r="20" spans="1:9" s="12" customFormat="1">
      <c r="A20" s="49"/>
      <c r="B20" s="22" t="s">
        <v>61</v>
      </c>
      <c r="C20" s="23"/>
      <c r="D20" s="24">
        <f>123.75</f>
        <v>123.75</v>
      </c>
      <c r="E20" s="25" t="s">
        <v>11</v>
      </c>
      <c r="F20" s="26"/>
      <c r="G20" s="27"/>
      <c r="H20" s="28"/>
      <c r="I20" s="29"/>
    </row>
    <row r="21" spans="1:9" s="12" customFormat="1">
      <c r="A21" s="49"/>
      <c r="B21" s="22"/>
      <c r="C21" s="23"/>
      <c r="D21" s="24"/>
      <c r="E21" s="25"/>
      <c r="F21" s="26"/>
      <c r="G21" s="27"/>
      <c r="H21" s="28"/>
      <c r="I21" s="29"/>
    </row>
    <row r="22" spans="1:9" s="12" customFormat="1">
      <c r="A22" s="30" t="s">
        <v>5</v>
      </c>
      <c r="B22" s="21"/>
      <c r="C22" s="21"/>
      <c r="D22" s="31">
        <f>SUM(D19:D21)</f>
        <v>231.61</v>
      </c>
      <c r="E22" s="29"/>
      <c r="F22" s="32">
        <f>SUM(F19:F21)</f>
        <v>0</v>
      </c>
      <c r="G22" s="33"/>
      <c r="H22" s="34">
        <f>SUM(H19:H21)</f>
        <v>0</v>
      </c>
      <c r="I22" s="35"/>
    </row>
    <row r="23" spans="1:9" s="12" customFormat="1" ht="13.5" thickBot="1">
      <c r="A23" s="36" t="s">
        <v>6</v>
      </c>
      <c r="B23" s="37">
        <f>SUM(D22+F22+H22)</f>
        <v>231.61</v>
      </c>
      <c r="C23" s="38"/>
      <c r="D23" s="39"/>
      <c r="E23" s="40"/>
      <c r="F23" s="41"/>
      <c r="G23" s="42"/>
      <c r="H23" s="43"/>
      <c r="I23" s="44"/>
    </row>
    <row r="24" spans="1:9" s="12" customFormat="1">
      <c r="A24" s="13">
        <v>42045</v>
      </c>
      <c r="B24" s="14" t="s">
        <v>14</v>
      </c>
      <c r="C24" s="14" t="s">
        <v>20</v>
      </c>
      <c r="D24" s="15">
        <f>1.07</f>
        <v>1.07</v>
      </c>
      <c r="E24" s="16" t="s">
        <v>50</v>
      </c>
      <c r="F24" s="17"/>
      <c r="G24" s="18"/>
      <c r="H24" s="19">
        <f>400.99</f>
        <v>400.99</v>
      </c>
      <c r="I24" s="20" t="s">
        <v>16</v>
      </c>
    </row>
    <row r="25" spans="1:9" s="12" customFormat="1">
      <c r="A25" s="49"/>
      <c r="B25" s="22" t="s">
        <v>104</v>
      </c>
      <c r="C25" s="23"/>
      <c r="D25" s="24">
        <f>29.83+14.92</f>
        <v>44.75</v>
      </c>
      <c r="E25" s="25" t="s">
        <v>11</v>
      </c>
      <c r="F25" s="26"/>
      <c r="G25" s="27"/>
      <c r="H25" s="28"/>
      <c r="I25" s="29"/>
    </row>
    <row r="26" spans="1:9" s="12" customFormat="1">
      <c r="A26" s="49"/>
      <c r="B26" s="22"/>
      <c r="C26" s="23"/>
      <c r="D26" s="24"/>
      <c r="E26" s="25"/>
      <c r="F26" s="26"/>
      <c r="G26" s="27"/>
      <c r="H26" s="28"/>
      <c r="I26" s="29"/>
    </row>
    <row r="27" spans="1:9" s="12" customFormat="1">
      <c r="A27" s="49" t="s">
        <v>137</v>
      </c>
      <c r="B27" s="22"/>
      <c r="C27" s="23" t="s">
        <v>19</v>
      </c>
      <c r="D27" s="24">
        <f>25.02</f>
        <v>25.02</v>
      </c>
      <c r="E27" s="25" t="s">
        <v>50</v>
      </c>
      <c r="F27" s="26">
        <f>18</f>
        <v>18</v>
      </c>
      <c r="G27" s="27" t="s">
        <v>57</v>
      </c>
      <c r="H27" s="28">
        <f>440.99</f>
        <v>440.99</v>
      </c>
      <c r="I27" s="29" t="s">
        <v>16</v>
      </c>
    </row>
    <row r="28" spans="1:9" s="12" customFormat="1">
      <c r="A28" s="49"/>
      <c r="B28" s="22"/>
      <c r="C28" s="23"/>
      <c r="D28" s="24">
        <f>81.48</f>
        <v>81.48</v>
      </c>
      <c r="E28" s="25" t="s">
        <v>11</v>
      </c>
      <c r="F28" s="26"/>
      <c r="G28" s="27"/>
      <c r="H28" s="28">
        <f>155.38</f>
        <v>155.38</v>
      </c>
      <c r="I28" s="29" t="s">
        <v>8</v>
      </c>
    </row>
    <row r="29" spans="1:9" s="12" customFormat="1">
      <c r="A29" s="49"/>
      <c r="B29" s="22"/>
      <c r="C29" s="23"/>
      <c r="D29" s="24"/>
      <c r="E29" s="25"/>
      <c r="F29" s="26"/>
      <c r="G29" s="27"/>
      <c r="H29" s="28">
        <f>154.96</f>
        <v>154.96</v>
      </c>
      <c r="I29" s="29" t="s">
        <v>58</v>
      </c>
    </row>
    <row r="30" spans="1:9" s="12" customFormat="1">
      <c r="A30" s="21"/>
      <c r="B30" s="22"/>
      <c r="C30" s="23"/>
      <c r="D30" s="24"/>
      <c r="E30" s="25"/>
      <c r="F30" s="26"/>
      <c r="G30" s="27"/>
      <c r="H30" s="28"/>
      <c r="I30" s="29"/>
    </row>
    <row r="31" spans="1:9" s="12" customFormat="1">
      <c r="A31" s="30" t="s">
        <v>5</v>
      </c>
      <c r="B31" s="21"/>
      <c r="C31" s="21"/>
      <c r="D31" s="31">
        <f>SUM(D24:D30)</f>
        <v>152.32</v>
      </c>
      <c r="E31" s="29"/>
      <c r="F31" s="32">
        <f>SUM(F24:F30)</f>
        <v>18</v>
      </c>
      <c r="G31" s="33"/>
      <c r="H31" s="34">
        <f>SUM(H24:H30)</f>
        <v>1152.32</v>
      </c>
      <c r="I31" s="35"/>
    </row>
    <row r="32" spans="1:9" s="12" customFormat="1" ht="13.5" thickBot="1">
      <c r="A32" s="36" t="s">
        <v>6</v>
      </c>
      <c r="B32" s="37">
        <f>SUM(D31+F31+H31)</f>
        <v>1322.6399999999999</v>
      </c>
      <c r="C32" s="38"/>
      <c r="D32" s="39"/>
      <c r="E32" s="40"/>
      <c r="F32" s="41"/>
      <c r="G32" s="42"/>
      <c r="H32" s="43"/>
      <c r="I32" s="44"/>
    </row>
    <row r="33" spans="1:9" s="12" customFormat="1">
      <c r="A33" s="13">
        <v>42045</v>
      </c>
      <c r="B33" s="14" t="s">
        <v>14</v>
      </c>
      <c r="C33" s="14" t="s">
        <v>22</v>
      </c>
      <c r="D33" s="15">
        <f>19.82</f>
        <v>19.82</v>
      </c>
      <c r="E33" s="16" t="s">
        <v>11</v>
      </c>
      <c r="F33" s="17"/>
      <c r="G33" s="18"/>
      <c r="H33" s="19"/>
      <c r="I33" s="20"/>
    </row>
    <row r="34" spans="1:9" s="12" customFormat="1">
      <c r="A34" s="49"/>
      <c r="B34" s="22" t="s">
        <v>61</v>
      </c>
      <c r="C34" s="23"/>
      <c r="D34" s="24"/>
      <c r="E34" s="25"/>
      <c r="F34" s="26"/>
      <c r="G34" s="27"/>
      <c r="H34" s="28"/>
      <c r="I34" s="29"/>
    </row>
    <row r="35" spans="1:9" s="12" customFormat="1">
      <c r="A35" s="30" t="s">
        <v>5</v>
      </c>
      <c r="B35" s="21"/>
      <c r="C35" s="21"/>
      <c r="D35" s="31">
        <f>SUM(D33:D34)</f>
        <v>19.82</v>
      </c>
      <c r="E35" s="29"/>
      <c r="F35" s="32">
        <f>SUM(F33:F34)</f>
        <v>0</v>
      </c>
      <c r="G35" s="33"/>
      <c r="H35" s="34">
        <f>SUM(H33:H34)</f>
        <v>0</v>
      </c>
      <c r="I35" s="35"/>
    </row>
    <row r="36" spans="1:9" s="12" customFormat="1" ht="13.5" thickBot="1">
      <c r="A36" s="36" t="s">
        <v>6</v>
      </c>
      <c r="B36" s="37">
        <f>SUM(D35+F35+H35)</f>
        <v>19.82</v>
      </c>
      <c r="C36" s="38"/>
      <c r="D36" s="39"/>
      <c r="E36" s="40"/>
      <c r="F36" s="41"/>
      <c r="G36" s="42"/>
      <c r="H36" s="43"/>
      <c r="I36" s="44"/>
    </row>
    <row r="37" spans="1:9" s="12" customFormat="1">
      <c r="A37" s="13" t="s">
        <v>128</v>
      </c>
      <c r="B37" s="14" t="s">
        <v>55</v>
      </c>
      <c r="C37" s="14" t="s">
        <v>21</v>
      </c>
      <c r="D37" s="15"/>
      <c r="E37" s="16"/>
      <c r="F37" s="17"/>
      <c r="G37" s="18"/>
      <c r="H37" s="19">
        <f>302.14</f>
        <v>302.14</v>
      </c>
      <c r="I37" s="20" t="s">
        <v>16</v>
      </c>
    </row>
    <row r="38" spans="1:9" s="12" customFormat="1">
      <c r="A38" s="49"/>
      <c r="B38" s="22" t="s">
        <v>65</v>
      </c>
      <c r="C38" s="23"/>
      <c r="D38" s="24"/>
      <c r="E38" s="25"/>
      <c r="F38" s="26"/>
      <c r="G38" s="27"/>
      <c r="H38" s="28">
        <f>142.94+142.94-142.94</f>
        <v>142.94</v>
      </c>
      <c r="I38" s="29" t="s">
        <v>8</v>
      </c>
    </row>
    <row r="39" spans="1:9" s="12" customFormat="1">
      <c r="A39" s="49"/>
      <c r="B39" s="22"/>
      <c r="C39" s="23"/>
      <c r="D39" s="24"/>
      <c r="E39" s="25"/>
      <c r="F39" s="26"/>
      <c r="G39" s="27"/>
      <c r="H39" s="28"/>
      <c r="I39" s="29"/>
    </row>
    <row r="40" spans="1:9" s="12" customFormat="1">
      <c r="A40" s="30" t="s">
        <v>5</v>
      </c>
      <c r="B40" s="21"/>
      <c r="C40" s="21"/>
      <c r="D40" s="31">
        <f>SUM(D37:D39)</f>
        <v>0</v>
      </c>
      <c r="E40" s="29"/>
      <c r="F40" s="32">
        <f>SUM(F37:F39)</f>
        <v>0</v>
      </c>
      <c r="G40" s="33"/>
      <c r="H40" s="34">
        <f>SUM(H37:H39)</f>
        <v>445.08</v>
      </c>
      <c r="I40" s="35"/>
    </row>
    <row r="41" spans="1:9" s="12" customFormat="1" ht="13.5" thickBot="1">
      <c r="A41" s="36" t="s">
        <v>6</v>
      </c>
      <c r="B41" s="37">
        <f>SUM(D40+F40+H40)</f>
        <v>445.08</v>
      </c>
      <c r="C41" s="38"/>
      <c r="D41" s="39"/>
      <c r="E41" s="40"/>
      <c r="F41" s="41"/>
      <c r="G41" s="42"/>
      <c r="H41" s="43"/>
      <c r="I41" s="44"/>
    </row>
    <row r="42" spans="1:9" s="12" customFormat="1">
      <c r="A42" s="13" t="s">
        <v>120</v>
      </c>
      <c r="B42" s="14" t="s">
        <v>88</v>
      </c>
      <c r="C42" s="14" t="s">
        <v>70</v>
      </c>
      <c r="D42" s="15">
        <f>9.2</f>
        <v>9.1999999999999993</v>
      </c>
      <c r="E42" s="16" t="s">
        <v>50</v>
      </c>
      <c r="F42" s="17">
        <f>5.1</f>
        <v>5.0999999999999996</v>
      </c>
      <c r="G42" s="18" t="s">
        <v>59</v>
      </c>
      <c r="H42" s="19">
        <f>449.1</f>
        <v>449.1</v>
      </c>
      <c r="I42" s="20" t="s">
        <v>16</v>
      </c>
    </row>
    <row r="43" spans="1:9" s="12" customFormat="1">
      <c r="A43" s="49"/>
      <c r="B43" s="22" t="s">
        <v>121</v>
      </c>
      <c r="C43" s="23"/>
      <c r="D43" s="24"/>
      <c r="E43" s="25"/>
      <c r="F43" s="26">
        <f>74</f>
        <v>74</v>
      </c>
      <c r="G43" s="27" t="s">
        <v>68</v>
      </c>
      <c r="H43" s="28">
        <f>125.28</f>
        <v>125.28</v>
      </c>
      <c r="I43" s="29" t="s">
        <v>8</v>
      </c>
    </row>
    <row r="44" spans="1:9" s="12" customFormat="1">
      <c r="A44" s="49"/>
      <c r="B44" s="22"/>
      <c r="C44" s="23"/>
      <c r="D44" s="24"/>
      <c r="E44" s="25"/>
      <c r="F44" s="26"/>
      <c r="G44" s="27"/>
      <c r="H44" s="28"/>
      <c r="I44" s="29"/>
    </row>
    <row r="45" spans="1:9" s="12" customFormat="1">
      <c r="A45" s="49"/>
      <c r="B45" s="22"/>
      <c r="C45" s="23" t="s">
        <v>23</v>
      </c>
      <c r="D45" s="24">
        <f>44.64</f>
        <v>44.64</v>
      </c>
      <c r="E45" s="25" t="s">
        <v>50</v>
      </c>
      <c r="F45" s="26">
        <f>13.9</f>
        <v>13.9</v>
      </c>
      <c r="G45" s="27" t="s">
        <v>59</v>
      </c>
      <c r="H45" s="28">
        <f>540.1</f>
        <v>540.1</v>
      </c>
      <c r="I45" s="29" t="s">
        <v>16</v>
      </c>
    </row>
    <row r="46" spans="1:9" s="12" customFormat="1">
      <c r="A46" s="49"/>
      <c r="B46" s="22"/>
      <c r="C46" s="23"/>
      <c r="D46" s="24">
        <f>32</f>
        <v>32</v>
      </c>
      <c r="E46" s="25" t="s">
        <v>11</v>
      </c>
      <c r="F46" s="26">
        <v>6.2</v>
      </c>
      <c r="G46" s="27" t="s">
        <v>82</v>
      </c>
      <c r="H46" s="28">
        <f>125.28</f>
        <v>125.28</v>
      </c>
      <c r="I46" s="29" t="s">
        <v>8</v>
      </c>
    </row>
    <row r="47" spans="1:9" s="12" customFormat="1">
      <c r="A47" s="49"/>
      <c r="B47" s="22"/>
      <c r="C47" s="23"/>
      <c r="D47" s="24"/>
      <c r="E47" s="25"/>
      <c r="F47" s="26">
        <v>59</v>
      </c>
      <c r="G47" s="27" t="s">
        <v>68</v>
      </c>
      <c r="H47" s="28">
        <f>87.91</f>
        <v>87.91</v>
      </c>
      <c r="I47" s="29" t="s">
        <v>58</v>
      </c>
    </row>
    <row r="48" spans="1:9" s="12" customFormat="1">
      <c r="A48" s="49"/>
      <c r="B48" s="22"/>
      <c r="C48" s="23"/>
      <c r="D48" s="24"/>
      <c r="E48" s="25"/>
      <c r="F48" s="26"/>
      <c r="G48" s="27"/>
      <c r="H48" s="28">
        <f>39.22+39.22-39.22</f>
        <v>39.22</v>
      </c>
      <c r="I48" s="29" t="s">
        <v>163</v>
      </c>
    </row>
    <row r="49" spans="1:9" s="12" customFormat="1">
      <c r="A49" s="49"/>
      <c r="B49" s="22"/>
      <c r="C49" s="23"/>
      <c r="D49" s="24"/>
      <c r="E49" s="25"/>
      <c r="F49" s="26"/>
      <c r="G49" s="27"/>
      <c r="H49" s="28"/>
      <c r="I49" s="29"/>
    </row>
    <row r="50" spans="1:9" s="12" customFormat="1">
      <c r="A50" s="30" t="s">
        <v>5</v>
      </c>
      <c r="B50" s="21"/>
      <c r="C50" s="21"/>
      <c r="D50" s="31">
        <f>SUM(D42:D49)</f>
        <v>85.84</v>
      </c>
      <c r="E50" s="29"/>
      <c r="F50" s="32">
        <f>SUM(F42:F49)</f>
        <v>158.19999999999999</v>
      </c>
      <c r="G50" s="33"/>
      <c r="H50" s="34">
        <f>SUM(H42:H49)</f>
        <v>1366.89</v>
      </c>
      <c r="I50" s="35"/>
    </row>
    <row r="51" spans="1:9" s="12" customFormat="1" ht="13.5" thickBot="1">
      <c r="A51" s="36" t="s">
        <v>6</v>
      </c>
      <c r="B51" s="37">
        <f>SUM(D50+F50+H50)</f>
        <v>1610.93</v>
      </c>
      <c r="C51" s="38"/>
      <c r="D51" s="39"/>
      <c r="E51" s="40"/>
      <c r="F51" s="41"/>
      <c r="G51" s="42"/>
      <c r="H51" s="43"/>
      <c r="I51" s="44"/>
    </row>
    <row r="52" spans="1:9" s="12" customFormat="1">
      <c r="A52" s="13" t="s">
        <v>111</v>
      </c>
      <c r="B52" s="14" t="s">
        <v>112</v>
      </c>
      <c r="C52" s="14" t="s">
        <v>22</v>
      </c>
      <c r="D52" s="15">
        <f>54.27</f>
        <v>54.27</v>
      </c>
      <c r="E52" s="16" t="s">
        <v>11</v>
      </c>
      <c r="F52" s="17"/>
      <c r="G52" s="18"/>
      <c r="H52" s="19"/>
      <c r="I52" s="20"/>
    </row>
    <row r="53" spans="1:9" s="12" customFormat="1">
      <c r="A53" s="49"/>
      <c r="B53" s="22" t="s">
        <v>61</v>
      </c>
      <c r="C53" s="23"/>
      <c r="D53" s="24"/>
      <c r="E53" s="25"/>
      <c r="F53" s="26"/>
      <c r="G53" s="27"/>
      <c r="H53" s="28"/>
      <c r="I53" s="29"/>
    </row>
    <row r="54" spans="1:9" s="12" customFormat="1">
      <c r="A54" s="30" t="s">
        <v>5</v>
      </c>
      <c r="B54" s="21"/>
      <c r="C54" s="21"/>
      <c r="D54" s="31">
        <f>SUM(D52:D53)</f>
        <v>54.27</v>
      </c>
      <c r="E54" s="29"/>
      <c r="F54" s="32">
        <f>SUM(F52:F53)</f>
        <v>0</v>
      </c>
      <c r="G54" s="33"/>
      <c r="H54" s="34">
        <f>SUM(H52:H53)</f>
        <v>0</v>
      </c>
      <c r="I54" s="35"/>
    </row>
    <row r="55" spans="1:9" s="12" customFormat="1" ht="13.5" thickBot="1">
      <c r="A55" s="36" t="s">
        <v>6</v>
      </c>
      <c r="B55" s="37">
        <f>SUM(D54+F54+H54)</f>
        <v>54.27</v>
      </c>
      <c r="C55" s="38"/>
      <c r="D55" s="39"/>
      <c r="E55" s="40"/>
      <c r="F55" s="41"/>
      <c r="G55" s="42"/>
      <c r="H55" s="43"/>
      <c r="I55" s="44"/>
    </row>
    <row r="56" spans="1:9" s="12" customFormat="1">
      <c r="A56" s="13">
        <v>42048</v>
      </c>
      <c r="B56" s="14" t="s">
        <v>88</v>
      </c>
      <c r="C56" s="14" t="s">
        <v>19</v>
      </c>
      <c r="D56" s="15">
        <f>77.34</f>
        <v>77.34</v>
      </c>
      <c r="E56" s="16" t="s">
        <v>11</v>
      </c>
      <c r="F56" s="17"/>
      <c r="G56" s="18"/>
      <c r="H56" s="19"/>
      <c r="I56" s="20"/>
    </row>
    <row r="57" spans="1:9" s="12" customFormat="1">
      <c r="A57" s="49"/>
      <c r="B57" s="22" t="s">
        <v>94</v>
      </c>
      <c r="C57" s="23"/>
      <c r="D57" s="24"/>
      <c r="E57" s="25"/>
      <c r="F57" s="26"/>
      <c r="G57" s="27"/>
      <c r="H57" s="28"/>
      <c r="I57" s="29"/>
    </row>
    <row r="58" spans="1:9" s="12" customFormat="1">
      <c r="A58" s="30" t="s">
        <v>5</v>
      </c>
      <c r="B58" s="21"/>
      <c r="C58" s="21"/>
      <c r="D58" s="31">
        <f>SUM(D56:D57)</f>
        <v>77.34</v>
      </c>
      <c r="E58" s="29"/>
      <c r="F58" s="32">
        <f>SUM(F56:F57)</f>
        <v>0</v>
      </c>
      <c r="G58" s="33"/>
      <c r="H58" s="34">
        <f>SUM(H56:H57)</f>
        <v>0</v>
      </c>
      <c r="I58" s="35"/>
    </row>
    <row r="59" spans="1:9" s="12" customFormat="1" ht="13.5" thickBot="1">
      <c r="A59" s="36" t="s">
        <v>6</v>
      </c>
      <c r="B59" s="37">
        <f>SUM(D58+F58+H58)</f>
        <v>77.34</v>
      </c>
      <c r="C59" s="38"/>
      <c r="D59" s="39"/>
      <c r="E59" s="40"/>
      <c r="F59" s="41"/>
      <c r="G59" s="42"/>
      <c r="H59" s="43"/>
      <c r="I59" s="44"/>
    </row>
    <row r="60" spans="1:9" s="12" customFormat="1">
      <c r="A60" s="13" t="s">
        <v>85</v>
      </c>
      <c r="B60" s="14" t="s">
        <v>86</v>
      </c>
      <c r="C60" s="14" t="s">
        <v>9</v>
      </c>
      <c r="D60" s="15">
        <f>16.47+108.7</f>
        <v>125.17</v>
      </c>
      <c r="E60" s="16" t="s">
        <v>50</v>
      </c>
      <c r="F60" s="17">
        <f>51.7</f>
        <v>51.7</v>
      </c>
      <c r="G60" s="18" t="s">
        <v>59</v>
      </c>
      <c r="H60" s="19">
        <f>344.5</f>
        <v>344.5</v>
      </c>
      <c r="I60" s="20" t="s">
        <v>16</v>
      </c>
    </row>
    <row r="61" spans="1:9" s="12" customFormat="1">
      <c r="A61" s="49"/>
      <c r="B61" s="22" t="s">
        <v>87</v>
      </c>
      <c r="C61" s="23"/>
      <c r="D61" s="24">
        <f>28</f>
        <v>28</v>
      </c>
      <c r="E61" s="25" t="s">
        <v>11</v>
      </c>
      <c r="F61" s="26">
        <f>6</f>
        <v>6</v>
      </c>
      <c r="G61" s="27" t="s">
        <v>82</v>
      </c>
      <c r="H61" s="28">
        <f>406.95</f>
        <v>406.95</v>
      </c>
      <c r="I61" s="29" t="s">
        <v>8</v>
      </c>
    </row>
    <row r="62" spans="1:9" s="12" customFormat="1">
      <c r="A62" s="49"/>
      <c r="B62" s="22"/>
      <c r="C62" s="23"/>
      <c r="D62" s="24"/>
      <c r="E62" s="25"/>
      <c r="F62" s="26">
        <f>117</f>
        <v>117</v>
      </c>
      <c r="G62" s="27" t="s">
        <v>68</v>
      </c>
      <c r="H62" s="28">
        <f>77.7</f>
        <v>77.7</v>
      </c>
      <c r="I62" s="29" t="s">
        <v>58</v>
      </c>
    </row>
    <row r="63" spans="1:9" s="12" customFormat="1">
      <c r="A63" s="49"/>
      <c r="B63" s="22"/>
      <c r="C63" s="23"/>
      <c r="D63" s="24"/>
      <c r="E63" s="25"/>
      <c r="F63" s="26"/>
      <c r="G63" s="27"/>
      <c r="H63" s="28"/>
      <c r="I63" s="29"/>
    </row>
    <row r="64" spans="1:9" s="12" customFormat="1">
      <c r="A64" s="49"/>
      <c r="B64" s="22"/>
      <c r="C64" s="23" t="s">
        <v>7</v>
      </c>
      <c r="D64" s="24"/>
      <c r="E64" s="25"/>
      <c r="F64" s="26">
        <f>35</f>
        <v>35</v>
      </c>
      <c r="G64" s="27" t="s">
        <v>68</v>
      </c>
      <c r="H64" s="28">
        <f>344.5</f>
        <v>344.5</v>
      </c>
      <c r="I64" s="29" t="s">
        <v>16</v>
      </c>
    </row>
    <row r="65" spans="1:9" s="12" customFormat="1">
      <c r="A65" s="49"/>
      <c r="B65" s="22"/>
      <c r="C65" s="23"/>
      <c r="D65" s="24"/>
      <c r="E65" s="25"/>
      <c r="F65" s="26"/>
      <c r="G65" s="27"/>
      <c r="H65" s="28">
        <f>406.95</f>
        <v>406.95</v>
      </c>
      <c r="I65" s="29" t="s">
        <v>8</v>
      </c>
    </row>
    <row r="66" spans="1:9" s="12" customFormat="1">
      <c r="A66" s="49"/>
      <c r="B66" s="22"/>
      <c r="C66" s="23"/>
      <c r="D66" s="24"/>
      <c r="E66" s="25"/>
      <c r="F66" s="26"/>
      <c r="G66" s="27"/>
      <c r="H66" s="28">
        <f>202.65</f>
        <v>202.65</v>
      </c>
      <c r="I66" s="29" t="s">
        <v>58</v>
      </c>
    </row>
    <row r="67" spans="1:9" s="12" customFormat="1">
      <c r="A67" s="21"/>
      <c r="B67" s="22"/>
      <c r="C67" s="23"/>
      <c r="D67" s="24"/>
      <c r="E67" s="25"/>
      <c r="F67" s="26"/>
      <c r="G67" s="27"/>
      <c r="H67" s="28"/>
      <c r="I67" s="29"/>
    </row>
    <row r="68" spans="1:9" s="12" customFormat="1">
      <c r="A68" s="30" t="s">
        <v>5</v>
      </c>
      <c r="B68" s="21"/>
      <c r="C68" s="21"/>
      <c r="D68" s="31">
        <f>SUM(D60:D67)</f>
        <v>153.17000000000002</v>
      </c>
      <c r="E68" s="29"/>
      <c r="F68" s="32">
        <f>SUM(F60:F67)</f>
        <v>209.7</v>
      </c>
      <c r="G68" s="33"/>
      <c r="H68" s="34">
        <f>SUM(H60:H67)</f>
        <v>1783.2500000000002</v>
      </c>
      <c r="I68" s="35"/>
    </row>
    <row r="69" spans="1:9" s="12" customFormat="1" ht="13.5" thickBot="1">
      <c r="A69" s="36" t="s">
        <v>6</v>
      </c>
      <c r="B69" s="37">
        <f>SUM(D68+F68+H68)</f>
        <v>2146.1200000000003</v>
      </c>
      <c r="C69" s="38"/>
      <c r="D69" s="39"/>
      <c r="E69" s="40"/>
      <c r="F69" s="41"/>
      <c r="G69" s="42"/>
      <c r="H69" s="43"/>
      <c r="I69" s="44"/>
    </row>
    <row r="70" spans="1:9" s="12" customFormat="1">
      <c r="A70" s="13" t="s">
        <v>113</v>
      </c>
      <c r="B70" s="14" t="s">
        <v>14</v>
      </c>
      <c r="C70" s="14" t="s">
        <v>22</v>
      </c>
      <c r="D70" s="15">
        <f>41.56</f>
        <v>41.56</v>
      </c>
      <c r="E70" s="16" t="s">
        <v>11</v>
      </c>
      <c r="F70" s="17"/>
      <c r="G70" s="18"/>
      <c r="H70" s="19"/>
      <c r="I70" s="20"/>
    </row>
    <row r="71" spans="1:9" s="12" customFormat="1">
      <c r="A71" s="49"/>
      <c r="B71" s="22" t="s">
        <v>61</v>
      </c>
      <c r="C71" s="23"/>
      <c r="D71" s="24"/>
      <c r="E71" s="25"/>
      <c r="F71" s="26"/>
      <c r="G71" s="27"/>
      <c r="H71" s="28"/>
      <c r="I71" s="29"/>
    </row>
    <row r="72" spans="1:9" s="12" customFormat="1">
      <c r="A72" s="30" t="s">
        <v>5</v>
      </c>
      <c r="B72" s="21"/>
      <c r="C72" s="21"/>
      <c r="D72" s="31">
        <f>SUM(D70:D71)</f>
        <v>41.56</v>
      </c>
      <c r="E72" s="29"/>
      <c r="F72" s="32">
        <f>SUM(F70:F71)</f>
        <v>0</v>
      </c>
      <c r="G72" s="33"/>
      <c r="H72" s="34">
        <f>SUM(H70:H71)</f>
        <v>0</v>
      </c>
      <c r="I72" s="35"/>
    </row>
    <row r="73" spans="1:9" s="12" customFormat="1" ht="13.5" thickBot="1">
      <c r="A73" s="36" t="s">
        <v>6</v>
      </c>
      <c r="B73" s="37">
        <f>SUM(D72+F72+H72)</f>
        <v>41.56</v>
      </c>
      <c r="C73" s="38"/>
      <c r="D73" s="39"/>
      <c r="E73" s="40"/>
      <c r="F73" s="41"/>
      <c r="G73" s="42"/>
      <c r="H73" s="43"/>
      <c r="I73" s="44"/>
    </row>
    <row r="74" spans="1:9" s="12" customFormat="1">
      <c r="A74" s="13">
        <v>42055</v>
      </c>
      <c r="B74" s="14" t="s">
        <v>86</v>
      </c>
      <c r="C74" s="14" t="s">
        <v>22</v>
      </c>
      <c r="D74" s="15">
        <f>21.64</f>
        <v>21.64</v>
      </c>
      <c r="E74" s="16" t="s">
        <v>11</v>
      </c>
      <c r="F74" s="17"/>
      <c r="G74" s="18"/>
      <c r="H74" s="19"/>
      <c r="I74" s="20"/>
    </row>
    <row r="75" spans="1:9" s="12" customFormat="1">
      <c r="A75" s="49"/>
      <c r="B75" s="22" t="s">
        <v>61</v>
      </c>
      <c r="C75" s="23"/>
      <c r="D75" s="24"/>
      <c r="E75" s="25"/>
      <c r="F75" s="26"/>
      <c r="G75" s="27"/>
      <c r="H75" s="28"/>
      <c r="I75" s="29"/>
    </row>
    <row r="76" spans="1:9" s="12" customFormat="1">
      <c r="A76" s="30" t="s">
        <v>5</v>
      </c>
      <c r="B76" s="21"/>
      <c r="C76" s="21"/>
      <c r="D76" s="31">
        <f>SUM(D74:D75)</f>
        <v>21.64</v>
      </c>
      <c r="E76" s="29"/>
      <c r="F76" s="32">
        <f>SUM(F74:F75)</f>
        <v>0</v>
      </c>
      <c r="G76" s="33"/>
      <c r="H76" s="34">
        <f>SUM(H74:H75)</f>
        <v>0</v>
      </c>
      <c r="I76" s="35"/>
    </row>
    <row r="77" spans="1:9" s="12" customFormat="1" ht="13.5" thickBot="1">
      <c r="A77" s="36" t="s">
        <v>6</v>
      </c>
      <c r="B77" s="37">
        <f>SUM(D76+F76+H76)</f>
        <v>21.64</v>
      </c>
      <c r="C77" s="38"/>
      <c r="D77" s="39"/>
      <c r="E77" s="40"/>
      <c r="F77" s="41"/>
      <c r="G77" s="42"/>
      <c r="H77" s="43"/>
      <c r="I77" s="44"/>
    </row>
    <row r="78" spans="1:9" s="12" customFormat="1">
      <c r="A78" s="13" t="s">
        <v>35</v>
      </c>
      <c r="B78" s="14" t="s">
        <v>36</v>
      </c>
      <c r="C78" s="14" t="s">
        <v>13</v>
      </c>
      <c r="D78" s="15">
        <f>10.2+291.21+23.88</f>
        <v>325.28999999999996</v>
      </c>
      <c r="E78" s="16" t="s">
        <v>50</v>
      </c>
      <c r="F78" s="17">
        <f>29.64</f>
        <v>29.64</v>
      </c>
      <c r="G78" s="18" t="s">
        <v>59</v>
      </c>
      <c r="H78" s="19">
        <f>646.58</f>
        <v>646.58000000000004</v>
      </c>
      <c r="I78" s="20" t="s">
        <v>16</v>
      </c>
    </row>
    <row r="79" spans="1:9" s="12" customFormat="1">
      <c r="A79" s="21"/>
      <c r="B79" s="22" t="s">
        <v>34</v>
      </c>
      <c r="C79" s="23"/>
      <c r="D79" s="24">
        <f>62.89</f>
        <v>62.89</v>
      </c>
      <c r="E79" s="25" t="s">
        <v>11</v>
      </c>
      <c r="F79" s="26"/>
      <c r="G79" s="27"/>
      <c r="H79" s="28">
        <f>1917.89</f>
        <v>1917.89</v>
      </c>
      <c r="I79" s="29" t="s">
        <v>8</v>
      </c>
    </row>
    <row r="80" spans="1:9" s="12" customFormat="1">
      <c r="A80" s="21"/>
      <c r="B80" s="22"/>
      <c r="C80" s="23"/>
      <c r="D80" s="24"/>
      <c r="E80" s="25"/>
      <c r="F80" s="26"/>
      <c r="G80" s="27"/>
      <c r="H80" s="28">
        <f>470.97</f>
        <v>470.97</v>
      </c>
      <c r="I80" s="29" t="s">
        <v>58</v>
      </c>
    </row>
    <row r="81" spans="1:9" s="12" customFormat="1">
      <c r="A81" s="21"/>
      <c r="B81" s="22"/>
      <c r="C81" s="23"/>
      <c r="D81" s="24"/>
      <c r="E81" s="25"/>
      <c r="F81" s="26"/>
      <c r="G81" s="27"/>
      <c r="H81" s="28"/>
      <c r="I81" s="29"/>
    </row>
    <row r="82" spans="1:9" s="12" customFormat="1">
      <c r="A82" s="21"/>
      <c r="B82" s="22"/>
      <c r="C82" s="23" t="s">
        <v>12</v>
      </c>
      <c r="D82" s="24">
        <f>9.8+655.45</f>
        <v>665.25</v>
      </c>
      <c r="E82" s="25" t="s">
        <v>50</v>
      </c>
      <c r="F82" s="26">
        <f>24</f>
        <v>24</v>
      </c>
      <c r="G82" s="27" t="s">
        <v>57</v>
      </c>
      <c r="H82" s="28">
        <f>646.58</f>
        <v>646.58000000000004</v>
      </c>
      <c r="I82" s="29" t="s">
        <v>16</v>
      </c>
    </row>
    <row r="83" spans="1:9" s="12" customFormat="1">
      <c r="A83" s="21"/>
      <c r="B83" s="22"/>
      <c r="C83" s="23"/>
      <c r="D83" s="24">
        <f>31.1+8.16</f>
        <v>39.260000000000005</v>
      </c>
      <c r="E83" s="25" t="s">
        <v>11</v>
      </c>
      <c r="F83" s="26"/>
      <c r="G83" s="27"/>
      <c r="H83" s="28">
        <v>1917.89</v>
      </c>
      <c r="I83" s="29" t="s">
        <v>8</v>
      </c>
    </row>
    <row r="84" spans="1:9" s="12" customFormat="1">
      <c r="A84" s="21"/>
      <c r="B84" s="22"/>
      <c r="C84" s="23"/>
      <c r="D84" s="24"/>
      <c r="E84" s="25"/>
      <c r="F84" s="26"/>
      <c r="G84" s="27"/>
      <c r="H84" s="28">
        <f>410.96</f>
        <v>410.96</v>
      </c>
      <c r="I84" s="29" t="s">
        <v>58</v>
      </c>
    </row>
    <row r="85" spans="1:9" s="12" customFormat="1">
      <c r="A85" s="21"/>
      <c r="B85" s="22"/>
      <c r="C85" s="23"/>
      <c r="D85" s="24"/>
      <c r="E85" s="25"/>
      <c r="F85" s="26"/>
      <c r="G85" s="27"/>
      <c r="H85" s="28">
        <f>7.9+30.36-7.9</f>
        <v>30.36</v>
      </c>
      <c r="I85" s="29" t="s">
        <v>162</v>
      </c>
    </row>
    <row r="86" spans="1:9" s="12" customFormat="1">
      <c r="A86" s="21"/>
      <c r="B86" s="22"/>
      <c r="C86" s="23"/>
      <c r="D86" s="24"/>
      <c r="E86" s="25"/>
      <c r="F86" s="26"/>
      <c r="G86" s="27"/>
      <c r="H86" s="28"/>
      <c r="I86" s="29"/>
    </row>
    <row r="87" spans="1:9" s="12" customFormat="1">
      <c r="A87" s="21"/>
      <c r="B87" s="22"/>
      <c r="C87" s="23" t="s">
        <v>23</v>
      </c>
      <c r="D87" s="24">
        <f>65.91</f>
        <v>65.91</v>
      </c>
      <c r="E87" s="25" t="s">
        <v>50</v>
      </c>
      <c r="F87" s="26">
        <f>13.9</f>
        <v>13.9</v>
      </c>
      <c r="G87" s="27" t="s">
        <v>59</v>
      </c>
      <c r="H87" s="28">
        <f>646.58</f>
        <v>646.58000000000004</v>
      </c>
      <c r="I87" s="29" t="s">
        <v>16</v>
      </c>
    </row>
    <row r="88" spans="1:9" s="12" customFormat="1">
      <c r="A88" s="21"/>
      <c r="B88" s="22"/>
      <c r="C88" s="23"/>
      <c r="D88" s="24">
        <f>78.48</f>
        <v>78.48</v>
      </c>
      <c r="E88" s="25" t="s">
        <v>11</v>
      </c>
      <c r="F88" s="26">
        <v>6.6</v>
      </c>
      <c r="G88" s="27" t="s">
        <v>82</v>
      </c>
      <c r="H88" s="28">
        <f>1917.89</f>
        <v>1917.89</v>
      </c>
      <c r="I88" s="29" t="s">
        <v>8</v>
      </c>
    </row>
    <row r="89" spans="1:9" s="12" customFormat="1">
      <c r="A89" s="21"/>
      <c r="B89" s="22"/>
      <c r="C89" s="23"/>
      <c r="D89" s="24"/>
      <c r="E89" s="25"/>
      <c r="F89" s="26">
        <v>44</v>
      </c>
      <c r="G89" s="27" t="s">
        <v>68</v>
      </c>
      <c r="H89" s="28">
        <f>554.43</f>
        <v>554.42999999999995</v>
      </c>
      <c r="I89" s="29" t="s">
        <v>58</v>
      </c>
    </row>
    <row r="90" spans="1:9" s="12" customFormat="1">
      <c r="A90" s="21"/>
      <c r="B90" s="22"/>
      <c r="C90" s="23"/>
      <c r="D90" s="24"/>
      <c r="E90" s="25"/>
      <c r="F90" s="26"/>
      <c r="G90" s="27"/>
      <c r="H90" s="28"/>
      <c r="I90" s="29"/>
    </row>
    <row r="91" spans="1:9" s="12" customFormat="1">
      <c r="A91" s="30" t="s">
        <v>5</v>
      </c>
      <c r="B91" s="21"/>
      <c r="C91" s="21"/>
      <c r="D91" s="31">
        <f>SUM(D78:D90)</f>
        <v>1237.08</v>
      </c>
      <c r="E91" s="29"/>
      <c r="F91" s="32">
        <f>SUM(F78:F90)</f>
        <v>118.14</v>
      </c>
      <c r="G91" s="33"/>
      <c r="H91" s="34">
        <f>SUM(H78:H90)</f>
        <v>9160.130000000001</v>
      </c>
      <c r="I91" s="35"/>
    </row>
    <row r="92" spans="1:9" s="12" customFormat="1" ht="13.5" thickBot="1">
      <c r="A92" s="36" t="s">
        <v>6</v>
      </c>
      <c r="B92" s="37">
        <f>SUM(D91+F91+H91)</f>
        <v>10515.35</v>
      </c>
      <c r="C92" s="38"/>
      <c r="D92" s="39"/>
      <c r="E92" s="40"/>
      <c r="F92" s="41"/>
      <c r="G92" s="42"/>
      <c r="H92" s="43"/>
      <c r="I92" s="44"/>
    </row>
    <row r="93" spans="1:9" s="12" customFormat="1">
      <c r="A93" s="13" t="s">
        <v>130</v>
      </c>
      <c r="B93" s="14" t="s">
        <v>131</v>
      </c>
      <c r="C93" s="14" t="s">
        <v>132</v>
      </c>
      <c r="D93" s="15"/>
      <c r="E93" s="16"/>
      <c r="F93" s="17"/>
      <c r="G93" s="18"/>
      <c r="H93" s="19">
        <f>934.28</f>
        <v>934.28</v>
      </c>
      <c r="I93" s="20" t="s">
        <v>16</v>
      </c>
    </row>
    <row r="94" spans="1:9" s="12" customFormat="1">
      <c r="A94" s="49"/>
      <c r="B94" s="22" t="s">
        <v>10</v>
      </c>
      <c r="C94" s="23"/>
      <c r="D94" s="24"/>
      <c r="E94" s="25"/>
      <c r="F94" s="26"/>
      <c r="G94" s="27"/>
      <c r="H94" s="28">
        <f>507.3+1296-507.3</f>
        <v>1296</v>
      </c>
      <c r="I94" s="29" t="s">
        <v>8</v>
      </c>
    </row>
    <row r="95" spans="1:9" s="12" customFormat="1">
      <c r="A95" s="49"/>
      <c r="B95" s="22"/>
      <c r="C95" s="23"/>
      <c r="D95" s="24"/>
      <c r="E95" s="25"/>
      <c r="F95" s="26"/>
      <c r="G95" s="27"/>
      <c r="H95" s="28"/>
      <c r="I95" s="29"/>
    </row>
    <row r="96" spans="1:9" s="12" customFormat="1">
      <c r="A96" s="49"/>
      <c r="B96" s="22"/>
      <c r="C96" s="23" t="s">
        <v>133</v>
      </c>
      <c r="D96" s="24">
        <f>6.38+66.25+2.41+29.56</f>
        <v>104.6</v>
      </c>
      <c r="E96" s="25" t="s">
        <v>50</v>
      </c>
      <c r="F96" s="26"/>
      <c r="G96" s="27"/>
      <c r="H96" s="28">
        <f>934.28</f>
        <v>934.28</v>
      </c>
      <c r="I96" s="29" t="s">
        <v>16</v>
      </c>
    </row>
    <row r="97" spans="1:11" s="12" customFormat="1">
      <c r="A97" s="49"/>
      <c r="B97" s="22"/>
      <c r="C97" s="23"/>
      <c r="D97" s="24">
        <f>15.51+13.6</f>
        <v>29.11</v>
      </c>
      <c r="E97" s="25" t="s">
        <v>11</v>
      </c>
      <c r="F97" s="26"/>
      <c r="G97" s="27"/>
      <c r="H97" s="28">
        <f>507.3+1296-507.3-1296+84.55+141.55+179.55+265.05</f>
        <v>670.7</v>
      </c>
      <c r="I97" s="29" t="s">
        <v>119</v>
      </c>
    </row>
    <row r="98" spans="1:11" s="12" customFormat="1">
      <c r="A98" s="49"/>
      <c r="B98" s="22"/>
      <c r="C98" s="23"/>
      <c r="D98" s="24">
        <f>25.73</f>
        <v>25.73</v>
      </c>
      <c r="E98" s="25" t="s">
        <v>69</v>
      </c>
      <c r="F98" s="26"/>
      <c r="G98" s="27"/>
      <c r="H98" s="28"/>
      <c r="I98" s="29"/>
    </row>
    <row r="99" spans="1:11" s="12" customFormat="1">
      <c r="A99" s="49"/>
      <c r="B99" s="22"/>
      <c r="C99" s="23"/>
      <c r="D99" s="24"/>
      <c r="E99" s="25"/>
      <c r="F99" s="26"/>
      <c r="G99" s="27"/>
      <c r="H99" s="28"/>
      <c r="I99" s="29"/>
    </row>
    <row r="100" spans="1:11" s="12" customFormat="1">
      <c r="A100" s="49"/>
      <c r="B100" s="22"/>
      <c r="C100" s="23" t="s">
        <v>70</v>
      </c>
      <c r="D100" s="24">
        <f>225.5</f>
        <v>225.5</v>
      </c>
      <c r="E100" s="25" t="s">
        <v>50</v>
      </c>
      <c r="F100" s="26">
        <f>4</f>
        <v>4</v>
      </c>
      <c r="G100" s="27" t="s">
        <v>68</v>
      </c>
      <c r="H100" s="28"/>
      <c r="I100" s="29"/>
    </row>
    <row r="101" spans="1:11" s="12" customFormat="1">
      <c r="A101" s="49"/>
      <c r="B101" s="22"/>
      <c r="C101" s="23"/>
      <c r="D101" s="24"/>
      <c r="E101" s="25"/>
      <c r="F101" s="26"/>
      <c r="G101" s="27"/>
      <c r="H101" s="28"/>
      <c r="I101" s="29"/>
    </row>
    <row r="102" spans="1:11" s="12" customFormat="1">
      <c r="A102" s="30" t="s">
        <v>5</v>
      </c>
      <c r="B102" s="21"/>
      <c r="C102" s="21"/>
      <c r="D102" s="31">
        <f>SUM(D93:D101)</f>
        <v>384.93999999999994</v>
      </c>
      <c r="E102" s="29"/>
      <c r="F102" s="32">
        <f>SUM(F93:F101)</f>
        <v>4</v>
      </c>
      <c r="G102" s="33"/>
      <c r="H102" s="34">
        <f>SUM(H93:H101)</f>
        <v>3835.2599999999993</v>
      </c>
      <c r="I102" s="35"/>
    </row>
    <row r="103" spans="1:11" s="12" customFormat="1" ht="13.5" thickBot="1">
      <c r="A103" s="36" t="s">
        <v>6</v>
      </c>
      <c r="B103" s="37">
        <f>SUM(D102+F102+H102)</f>
        <v>4224.1999999999989</v>
      </c>
      <c r="C103" s="38"/>
      <c r="D103" s="39"/>
      <c r="E103" s="40"/>
      <c r="F103" s="41"/>
      <c r="G103" s="42"/>
      <c r="H103" s="43"/>
      <c r="I103" s="44"/>
    </row>
    <row r="104" spans="1:11" s="12" customFormat="1">
      <c r="A104" s="13" t="s">
        <v>117</v>
      </c>
      <c r="B104" s="14" t="s">
        <v>64</v>
      </c>
      <c r="C104" s="14" t="s">
        <v>9</v>
      </c>
      <c r="D104" s="15">
        <v>740.21</v>
      </c>
      <c r="E104" s="16" t="s">
        <v>50</v>
      </c>
      <c r="F104" s="17"/>
      <c r="G104" s="18"/>
      <c r="H104" s="19"/>
      <c r="I104" s="20"/>
    </row>
    <row r="105" spans="1:11" s="12" customFormat="1">
      <c r="A105" s="49"/>
      <c r="B105" s="22" t="s">
        <v>118</v>
      </c>
      <c r="C105" s="23"/>
      <c r="D105" s="24"/>
      <c r="E105" s="25"/>
      <c r="F105" s="26"/>
      <c r="G105" s="27"/>
      <c r="H105" s="28"/>
      <c r="I105" s="29"/>
    </row>
    <row r="106" spans="1:11" s="12" customFormat="1">
      <c r="A106" s="30" t="s">
        <v>5</v>
      </c>
      <c r="B106" s="21"/>
      <c r="C106" s="21"/>
      <c r="D106" s="31">
        <f>SUM(D104:D105)</f>
        <v>740.21</v>
      </c>
      <c r="E106" s="29"/>
      <c r="F106" s="32">
        <f>SUM(F104:F105)</f>
        <v>0</v>
      </c>
      <c r="G106" s="33"/>
      <c r="H106" s="34">
        <f>SUM(H104:H105)</f>
        <v>0</v>
      </c>
      <c r="I106" s="35"/>
    </row>
    <row r="107" spans="1:11" s="12" customFormat="1" ht="13.5" thickBot="1">
      <c r="A107" s="36" t="s">
        <v>6</v>
      </c>
      <c r="B107" s="37">
        <f>SUM(D106+F106+H106)</f>
        <v>740.21</v>
      </c>
      <c r="C107" s="38"/>
      <c r="D107" s="39"/>
      <c r="E107" s="40"/>
      <c r="F107" s="41"/>
      <c r="G107" s="42"/>
      <c r="H107" s="43"/>
      <c r="I107" s="44"/>
    </row>
    <row r="108" spans="1:11" s="12" customFormat="1">
      <c r="A108" s="13">
        <v>42062</v>
      </c>
      <c r="B108" s="14" t="s">
        <v>88</v>
      </c>
      <c r="C108" s="14" t="s">
        <v>19</v>
      </c>
      <c r="D108" s="15">
        <v>4.2300000000000004</v>
      </c>
      <c r="E108" s="16" t="s">
        <v>50</v>
      </c>
      <c r="F108" s="17"/>
      <c r="G108" s="18"/>
      <c r="H108" s="19"/>
      <c r="I108" s="20"/>
    </row>
    <row r="109" spans="1:11" s="12" customFormat="1">
      <c r="A109" s="49"/>
      <c r="B109" s="22"/>
      <c r="C109" s="23"/>
      <c r="D109" s="24"/>
      <c r="E109" s="25"/>
      <c r="F109" s="26"/>
      <c r="G109" s="27"/>
      <c r="H109" s="28"/>
      <c r="I109" s="29"/>
    </row>
    <row r="110" spans="1:11" s="12" customFormat="1">
      <c r="A110" s="30" t="s">
        <v>5</v>
      </c>
      <c r="B110" s="21"/>
      <c r="C110" s="21"/>
      <c r="D110" s="31">
        <f>SUM(D108:D109)</f>
        <v>4.2300000000000004</v>
      </c>
      <c r="E110" s="29"/>
      <c r="F110" s="32">
        <f>SUM(F108:F109)</f>
        <v>0</v>
      </c>
      <c r="G110" s="33"/>
      <c r="H110" s="34">
        <f>SUM(H108:H109)</f>
        <v>0</v>
      </c>
      <c r="I110" s="35"/>
    </row>
    <row r="111" spans="1:11" s="12" customFormat="1" ht="13.5" thickBot="1">
      <c r="A111" s="36" t="s">
        <v>6</v>
      </c>
      <c r="B111" s="37">
        <f>SUM(D110+F110+H110)</f>
        <v>4.2300000000000004</v>
      </c>
      <c r="C111" s="38"/>
      <c r="D111" s="39"/>
      <c r="E111" s="40"/>
      <c r="F111" s="41"/>
      <c r="G111" s="42"/>
      <c r="H111" s="43"/>
      <c r="I111" s="44"/>
    </row>
    <row r="112" spans="1:11" ht="13.5" thickBot="1">
      <c r="J112" s="12"/>
      <c r="K112" s="46"/>
    </row>
    <row r="113" spans="1:11" ht="15.75">
      <c r="A113" s="2" t="s">
        <v>106</v>
      </c>
      <c r="B113" s="7">
        <f>SUM(B11,B18,B23,B32,B36,B41,B69,B73,B77)</f>
        <v>9517.41</v>
      </c>
      <c r="J113" s="12"/>
      <c r="K113" s="46"/>
    </row>
    <row r="114" spans="1:11" ht="15.75">
      <c r="A114" s="3" t="s">
        <v>105</v>
      </c>
      <c r="B114" s="8">
        <f>SUM(B107)</f>
        <v>740.21</v>
      </c>
      <c r="J114" s="12"/>
      <c r="K114" s="48"/>
    </row>
    <row r="115" spans="1:11" ht="15.75">
      <c r="A115" s="3" t="s">
        <v>107</v>
      </c>
      <c r="B115" s="8">
        <f>SUM(B55,B92)</f>
        <v>10569.62</v>
      </c>
      <c r="J115" s="12"/>
      <c r="K115" s="46"/>
    </row>
    <row r="116" spans="1:11" ht="16.5" thickBot="1">
      <c r="A116" s="4" t="s">
        <v>108</v>
      </c>
      <c r="B116" s="10">
        <f>SUM(B51,B59,B103,B111)</f>
        <v>5916.6999999999989</v>
      </c>
    </row>
    <row r="117" spans="1:11" ht="16.5" thickBot="1">
      <c r="A117" s="5" t="s">
        <v>25</v>
      </c>
      <c r="B117" s="6">
        <f>SUM(B113:B116)</f>
        <v>26743.939999999995</v>
      </c>
    </row>
    <row r="118" spans="1:11" ht="15.75">
      <c r="A118" s="1"/>
      <c r="B118" s="47">
        <f>B117-SUM(B11,B18,B23,B32,B36,B41,B51,B55,B59,B69,B73,B77,B92,B103,B107,B111)</f>
        <v>0</v>
      </c>
    </row>
  </sheetData>
  <mergeCells count="3"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5"/>
  <sheetViews>
    <sheetView topLeftCell="A154" workbookViewId="0">
      <selection activeCell="G32" sqref="G32"/>
    </sheetView>
  </sheetViews>
  <sheetFormatPr defaultRowHeight="12.75"/>
  <cols>
    <col min="1" max="1" width="31.7109375" style="45" bestFit="1" customWidth="1"/>
    <col min="2" max="2" width="35.5703125" style="45" bestFit="1" customWidth="1"/>
    <col min="3" max="3" width="19.140625" style="45" customWidth="1"/>
    <col min="4" max="4" width="18.28515625" style="45" customWidth="1"/>
    <col min="5" max="5" width="26.42578125" style="45" customWidth="1"/>
    <col min="6" max="6" width="15.7109375" style="45" customWidth="1"/>
    <col min="7" max="7" width="30.140625" style="45" customWidth="1"/>
    <col min="8" max="8" width="19.28515625" style="45" customWidth="1"/>
    <col min="9" max="9" width="33.28515625" style="45" customWidth="1"/>
    <col min="10" max="10" width="14.42578125" style="45" bestFit="1" customWidth="1"/>
    <col min="11" max="11" width="9.7109375" style="45" bestFit="1" customWidth="1"/>
    <col min="12" max="16384" width="9.140625" style="45"/>
  </cols>
  <sheetData>
    <row r="1" spans="1:9" s="12" customFormat="1" ht="13.5" thickBot="1">
      <c r="A1" s="11" t="s">
        <v>0</v>
      </c>
      <c r="B1" s="11" t="s">
        <v>1</v>
      </c>
      <c r="C1" s="11" t="s">
        <v>2</v>
      </c>
      <c r="D1" s="55" t="s">
        <v>3</v>
      </c>
      <c r="E1" s="56"/>
      <c r="F1" s="57" t="s">
        <v>30</v>
      </c>
      <c r="G1" s="58"/>
      <c r="H1" s="57" t="s">
        <v>31</v>
      </c>
      <c r="I1" s="58"/>
    </row>
    <row r="2" spans="1:9" s="12" customFormat="1">
      <c r="A2" s="13">
        <v>42125</v>
      </c>
      <c r="B2" s="14" t="s">
        <v>125</v>
      </c>
      <c r="C2" s="14" t="s">
        <v>72</v>
      </c>
      <c r="D2" s="15">
        <f>21.4+77.35</f>
        <v>98.75</v>
      </c>
      <c r="E2" s="16" t="s">
        <v>50</v>
      </c>
      <c r="F2" s="17">
        <f>101.83</f>
        <v>101.83</v>
      </c>
      <c r="G2" s="18" t="s">
        <v>59</v>
      </c>
      <c r="H2" s="19">
        <f>948.14+20</f>
        <v>968.14</v>
      </c>
      <c r="I2" s="20" t="s">
        <v>16</v>
      </c>
    </row>
    <row r="3" spans="1:9" s="12" customFormat="1">
      <c r="A3" s="21"/>
      <c r="B3" s="22" t="s">
        <v>94</v>
      </c>
      <c r="C3" s="23"/>
      <c r="D3" s="24">
        <f>49.4</f>
        <v>49.4</v>
      </c>
      <c r="E3" s="25" t="s">
        <v>11</v>
      </c>
      <c r="F3" s="26">
        <f>11.1</f>
        <v>11.1</v>
      </c>
      <c r="G3" s="27" t="s">
        <v>82</v>
      </c>
      <c r="H3" s="28">
        <f>568.44-568.44+839.99</f>
        <v>839.99</v>
      </c>
      <c r="I3" s="29" t="s">
        <v>8</v>
      </c>
    </row>
    <row r="4" spans="1:9" s="12" customFormat="1">
      <c r="A4" s="21"/>
      <c r="B4" s="22"/>
      <c r="C4" s="23"/>
      <c r="D4" s="24">
        <f>35.56</f>
        <v>35.56</v>
      </c>
      <c r="E4" s="25" t="s">
        <v>69</v>
      </c>
      <c r="F4" s="26">
        <f>161</f>
        <v>161</v>
      </c>
      <c r="G4" s="27" t="s">
        <v>68</v>
      </c>
      <c r="H4" s="28">
        <f>298.69</f>
        <v>298.69</v>
      </c>
      <c r="I4" s="29" t="s">
        <v>58</v>
      </c>
    </row>
    <row r="5" spans="1:9" s="12" customFormat="1">
      <c r="A5" s="21"/>
      <c r="B5" s="22"/>
      <c r="C5" s="23"/>
      <c r="D5" s="24"/>
      <c r="E5" s="25"/>
      <c r="F5" s="26"/>
      <c r="G5" s="27"/>
      <c r="H5" s="28"/>
      <c r="I5" s="29"/>
    </row>
    <row r="6" spans="1:9" s="12" customFormat="1">
      <c r="A6" s="21"/>
      <c r="B6" s="22"/>
      <c r="C6" s="23" t="s">
        <v>127</v>
      </c>
      <c r="D6" s="24">
        <f>24.31</f>
        <v>24.31</v>
      </c>
      <c r="E6" s="25" t="s">
        <v>50</v>
      </c>
      <c r="F6" s="26">
        <f>40.15</f>
        <v>40.15</v>
      </c>
      <c r="G6" s="27" t="s">
        <v>68</v>
      </c>
      <c r="H6" s="28"/>
      <c r="I6" s="29"/>
    </row>
    <row r="7" spans="1:9" s="12" customFormat="1">
      <c r="A7" s="21"/>
      <c r="B7" s="22"/>
      <c r="C7" s="23"/>
      <c r="D7" s="24">
        <f>4.13</f>
        <v>4.13</v>
      </c>
      <c r="E7" s="25" t="s">
        <v>11</v>
      </c>
      <c r="F7" s="26"/>
      <c r="G7" s="27"/>
      <c r="H7" s="28"/>
      <c r="I7" s="29"/>
    </row>
    <row r="8" spans="1:9" s="12" customFormat="1">
      <c r="A8" s="21"/>
      <c r="B8" s="22"/>
      <c r="C8" s="23"/>
      <c r="D8" s="24"/>
      <c r="E8" s="25"/>
      <c r="F8" s="26"/>
      <c r="G8" s="27"/>
      <c r="H8" s="28"/>
      <c r="I8" s="29"/>
    </row>
    <row r="9" spans="1:9" s="12" customFormat="1">
      <c r="A9" s="21"/>
      <c r="B9" s="22"/>
      <c r="C9" s="23" t="s">
        <v>19</v>
      </c>
      <c r="D9" s="24">
        <f>304.35</f>
        <v>304.35000000000002</v>
      </c>
      <c r="E9" s="25" t="s">
        <v>50</v>
      </c>
      <c r="F9" s="26"/>
      <c r="G9" s="27"/>
      <c r="H9" s="28"/>
      <c r="I9" s="29"/>
    </row>
    <row r="10" spans="1:9" s="12" customFormat="1">
      <c r="A10" s="21"/>
      <c r="B10" s="22"/>
      <c r="C10" s="23"/>
      <c r="D10" s="24">
        <f>37.22</f>
        <v>37.22</v>
      </c>
      <c r="E10" s="25" t="s">
        <v>11</v>
      </c>
      <c r="F10" s="26"/>
      <c r="G10" s="27"/>
      <c r="H10" s="28"/>
      <c r="I10" s="29"/>
    </row>
    <row r="11" spans="1:9" s="12" customFormat="1">
      <c r="A11" s="21"/>
      <c r="B11" s="22"/>
      <c r="C11" s="23"/>
      <c r="D11" s="24">
        <f>80.64</f>
        <v>80.64</v>
      </c>
      <c r="E11" s="25" t="s">
        <v>69</v>
      </c>
      <c r="F11" s="26"/>
      <c r="G11" s="27"/>
      <c r="H11" s="28"/>
      <c r="I11" s="29"/>
    </row>
    <row r="12" spans="1:9" s="12" customFormat="1">
      <c r="A12" s="21"/>
      <c r="B12" s="22"/>
      <c r="C12" s="23"/>
      <c r="D12" s="24"/>
      <c r="E12" s="25"/>
      <c r="F12" s="26"/>
      <c r="G12" s="27"/>
      <c r="H12" s="28"/>
      <c r="I12" s="29"/>
    </row>
    <row r="13" spans="1:9" s="12" customFormat="1">
      <c r="A13" s="30" t="s">
        <v>5</v>
      </c>
      <c r="B13" s="21"/>
      <c r="C13" s="21"/>
      <c r="D13" s="31">
        <f>SUM(D2:D12)</f>
        <v>634.36</v>
      </c>
      <c r="E13" s="29"/>
      <c r="F13" s="32">
        <f>SUM(F2:F12)</f>
        <v>314.08</v>
      </c>
      <c r="G13" s="33"/>
      <c r="H13" s="34">
        <f>SUM(H2:H12)</f>
        <v>2106.8200000000002</v>
      </c>
      <c r="I13" s="35"/>
    </row>
    <row r="14" spans="1:9" s="12" customFormat="1" ht="13.5" thickBot="1">
      <c r="A14" s="36" t="s">
        <v>6</v>
      </c>
      <c r="B14" s="37">
        <f>SUM(D13+F13+H13)</f>
        <v>3055.26</v>
      </c>
      <c r="C14" s="38"/>
      <c r="D14" s="39"/>
      <c r="E14" s="40"/>
      <c r="F14" s="41"/>
      <c r="G14" s="42"/>
      <c r="H14" s="43"/>
      <c r="I14" s="44"/>
    </row>
    <row r="15" spans="1:9" s="12" customFormat="1">
      <c r="A15" s="13" t="s">
        <v>91</v>
      </c>
      <c r="B15" s="14" t="s">
        <v>64</v>
      </c>
      <c r="C15" s="14" t="s">
        <v>9</v>
      </c>
      <c r="D15" s="15">
        <f>5.7+365.27</f>
        <v>370.96999999999997</v>
      </c>
      <c r="E15" s="16" t="s">
        <v>50</v>
      </c>
      <c r="F15" s="17">
        <f>140+140+113-130</f>
        <v>263</v>
      </c>
      <c r="G15" s="18" t="s">
        <v>57</v>
      </c>
      <c r="H15" s="19">
        <f>700.43-700.43+712.97</f>
        <v>712.97</v>
      </c>
      <c r="I15" s="20" t="s">
        <v>8</v>
      </c>
    </row>
    <row r="16" spans="1:9" s="12" customFormat="1">
      <c r="A16" s="21"/>
      <c r="B16" s="22" t="s">
        <v>53</v>
      </c>
      <c r="C16" s="23"/>
      <c r="D16" s="24">
        <f>332.24</f>
        <v>332.24</v>
      </c>
      <c r="E16" s="25" t="s">
        <v>11</v>
      </c>
      <c r="F16" s="26">
        <f>42.3</f>
        <v>42.3</v>
      </c>
      <c r="G16" s="27" t="s">
        <v>59</v>
      </c>
      <c r="H16" s="28">
        <f>100.66</f>
        <v>100.66</v>
      </c>
      <c r="I16" s="29" t="s">
        <v>58</v>
      </c>
    </row>
    <row r="17" spans="1:9" s="12" customFormat="1">
      <c r="A17" s="21"/>
      <c r="B17" s="22"/>
      <c r="C17" s="23"/>
      <c r="D17" s="24"/>
      <c r="E17" s="25"/>
      <c r="F17" s="26">
        <f>3.8</f>
        <v>3.8</v>
      </c>
      <c r="G17" s="27" t="s">
        <v>82</v>
      </c>
      <c r="H17" s="28"/>
      <c r="I17" s="29"/>
    </row>
    <row r="18" spans="1:9" s="12" customFormat="1">
      <c r="A18" s="21"/>
      <c r="B18" s="22"/>
      <c r="C18" s="23"/>
      <c r="D18" s="24"/>
      <c r="E18" s="25"/>
      <c r="F18" s="26">
        <f>69</f>
        <v>69</v>
      </c>
      <c r="G18" s="27" t="s">
        <v>68</v>
      </c>
      <c r="H18" s="28"/>
      <c r="I18" s="29"/>
    </row>
    <row r="19" spans="1:9" s="12" customFormat="1">
      <c r="A19" s="21"/>
      <c r="B19" s="22"/>
      <c r="C19" s="23"/>
      <c r="D19" s="24"/>
      <c r="E19" s="25"/>
      <c r="F19" s="26"/>
      <c r="G19" s="27"/>
      <c r="H19" s="28"/>
      <c r="I19" s="29"/>
    </row>
    <row r="20" spans="1:9" s="12" customFormat="1">
      <c r="A20" s="30" t="s">
        <v>5</v>
      </c>
      <c r="B20" s="21"/>
      <c r="C20" s="21"/>
      <c r="D20" s="31">
        <f>SUM(D15:D19)</f>
        <v>703.21</v>
      </c>
      <c r="E20" s="29"/>
      <c r="F20" s="32">
        <f>SUM(F15:F19)</f>
        <v>378.1</v>
      </c>
      <c r="G20" s="33"/>
      <c r="H20" s="34">
        <f>SUM(H15:H19)</f>
        <v>813.63</v>
      </c>
      <c r="I20" s="35"/>
    </row>
    <row r="21" spans="1:9" s="12" customFormat="1" ht="13.5" thickBot="1">
      <c r="A21" s="36" t="s">
        <v>6</v>
      </c>
      <c r="B21" s="37">
        <f>SUM(D20+F20+H20)</f>
        <v>1894.94</v>
      </c>
      <c r="C21" s="38"/>
      <c r="D21" s="39"/>
      <c r="E21" s="40"/>
      <c r="F21" s="41"/>
      <c r="G21" s="42"/>
      <c r="H21" s="43"/>
      <c r="I21" s="44"/>
    </row>
    <row r="22" spans="1:9" s="12" customFormat="1">
      <c r="A22" s="13" t="s">
        <v>115</v>
      </c>
      <c r="B22" s="14" t="s">
        <v>14</v>
      </c>
      <c r="C22" s="14" t="s">
        <v>21</v>
      </c>
      <c r="D22" s="15">
        <f>6.5+510.68</f>
        <v>517.18000000000006</v>
      </c>
      <c r="E22" s="16" t="s">
        <v>50</v>
      </c>
      <c r="F22" s="17">
        <v>131.81</v>
      </c>
      <c r="G22" s="18" t="s">
        <v>57</v>
      </c>
      <c r="H22" s="28">
        <f>88.53</f>
        <v>88.53</v>
      </c>
      <c r="I22" s="29" t="s">
        <v>58</v>
      </c>
    </row>
    <row r="23" spans="1:9" s="12" customFormat="1">
      <c r="A23" s="21"/>
      <c r="B23" s="22" t="s">
        <v>96</v>
      </c>
      <c r="C23" s="23"/>
      <c r="D23" s="24">
        <f>56.73+88.55</f>
        <v>145.28</v>
      </c>
      <c r="E23" s="25" t="s">
        <v>11</v>
      </c>
      <c r="F23" s="26"/>
      <c r="G23" s="27"/>
      <c r="H23" s="28"/>
      <c r="I23" s="29"/>
    </row>
    <row r="24" spans="1:9" s="12" customFormat="1">
      <c r="A24" s="21"/>
      <c r="B24" s="22"/>
      <c r="C24" s="23"/>
      <c r="D24" s="24"/>
      <c r="E24" s="25"/>
      <c r="F24" s="26"/>
      <c r="G24" s="27"/>
    </row>
    <row r="25" spans="1:9" s="12" customFormat="1">
      <c r="A25" s="21"/>
      <c r="B25" s="22"/>
      <c r="C25" s="23"/>
      <c r="D25" s="24"/>
      <c r="E25" s="25"/>
      <c r="F25" s="26"/>
      <c r="G25" s="27"/>
      <c r="H25" s="28"/>
      <c r="I25" s="29"/>
    </row>
    <row r="26" spans="1:9" s="12" customFormat="1">
      <c r="A26" s="30" t="s">
        <v>5</v>
      </c>
      <c r="B26" s="21"/>
      <c r="C26" s="21"/>
      <c r="D26" s="31">
        <f>SUM(D22:D25)</f>
        <v>662.46</v>
      </c>
      <c r="E26" s="29"/>
      <c r="F26" s="32">
        <f>SUM(F22:F23)</f>
        <v>131.81</v>
      </c>
      <c r="G26" s="33"/>
      <c r="H26" s="34">
        <f>SUM(H22:H25)</f>
        <v>88.53</v>
      </c>
      <c r="I26" s="35"/>
    </row>
    <row r="27" spans="1:9" s="12" customFormat="1" ht="13.5" thickBot="1">
      <c r="A27" s="36" t="s">
        <v>6</v>
      </c>
      <c r="B27" s="37">
        <f>SUM(D26+F26+H26)</f>
        <v>882.8</v>
      </c>
      <c r="C27" s="38"/>
      <c r="D27" s="39"/>
      <c r="E27" s="40"/>
      <c r="F27" s="41"/>
      <c r="G27" s="42"/>
      <c r="H27" s="43"/>
      <c r="I27" s="44"/>
    </row>
    <row r="28" spans="1:9" s="12" customFormat="1">
      <c r="A28" s="13" t="s">
        <v>151</v>
      </c>
      <c r="B28" s="14" t="s">
        <v>88</v>
      </c>
      <c r="C28" s="14" t="s">
        <v>70</v>
      </c>
      <c r="D28" s="15">
        <f>271.52</f>
        <v>271.52</v>
      </c>
      <c r="E28" s="16" t="s">
        <v>50</v>
      </c>
      <c r="F28" s="17">
        <f>5.62</f>
        <v>5.62</v>
      </c>
      <c r="G28" s="18" t="s">
        <v>59</v>
      </c>
      <c r="H28" s="19">
        <f>3827.28</f>
        <v>3827.28</v>
      </c>
      <c r="I28" s="20" t="s">
        <v>16</v>
      </c>
    </row>
    <row r="29" spans="1:9" s="12" customFormat="1">
      <c r="A29" s="21"/>
      <c r="B29" s="22" t="s">
        <v>96</v>
      </c>
      <c r="C29" s="23"/>
      <c r="D29" s="24">
        <f>154.66</f>
        <v>154.66</v>
      </c>
      <c r="E29" s="25" t="s">
        <v>11</v>
      </c>
      <c r="F29" s="26">
        <f>45</f>
        <v>45</v>
      </c>
      <c r="G29" s="27" t="s">
        <v>68</v>
      </c>
      <c r="H29" s="28">
        <f>244+100.08+307.39+286.16</f>
        <v>937.63000000000011</v>
      </c>
      <c r="I29" s="29" t="s">
        <v>160</v>
      </c>
    </row>
    <row r="30" spans="1:9" s="12" customFormat="1">
      <c r="A30" s="21"/>
      <c r="B30" s="22"/>
      <c r="C30" s="23"/>
      <c r="D30" s="24"/>
      <c r="E30" s="25"/>
      <c r="F30" s="26"/>
      <c r="G30" s="27"/>
      <c r="H30" s="28">
        <f>496.3-244</f>
        <v>252.3</v>
      </c>
      <c r="I30" s="29" t="s">
        <v>58</v>
      </c>
    </row>
    <row r="31" spans="1:9" s="12" customFormat="1">
      <c r="A31" s="21"/>
      <c r="B31" s="22"/>
      <c r="C31" s="23"/>
      <c r="D31" s="24"/>
      <c r="E31" s="25"/>
      <c r="F31" s="26"/>
      <c r="G31" s="27"/>
      <c r="H31" s="28"/>
      <c r="I31" s="29"/>
    </row>
    <row r="32" spans="1:9" s="12" customFormat="1">
      <c r="A32" s="21"/>
      <c r="B32" s="22"/>
      <c r="C32" s="23" t="s">
        <v>41</v>
      </c>
      <c r="D32" s="24">
        <f>65.04</f>
        <v>65.040000000000006</v>
      </c>
      <c r="E32" s="25" t="s">
        <v>50</v>
      </c>
      <c r="F32" s="26">
        <v>14.6</v>
      </c>
      <c r="G32" s="27" t="s">
        <v>59</v>
      </c>
      <c r="H32" s="28">
        <f>100.08+314.54</f>
        <v>414.62</v>
      </c>
      <c r="I32" s="29" t="s">
        <v>8</v>
      </c>
    </row>
    <row r="33" spans="1:9" s="12" customFormat="1">
      <c r="A33" s="21"/>
      <c r="B33" s="22"/>
      <c r="C33" s="23"/>
      <c r="D33" s="24"/>
      <c r="E33" s="25"/>
      <c r="F33" s="26"/>
      <c r="G33" s="27"/>
      <c r="H33" s="28"/>
      <c r="I33" s="29"/>
    </row>
    <row r="34" spans="1:9" s="12" customFormat="1">
      <c r="A34" s="30" t="s">
        <v>5</v>
      </c>
      <c r="B34" s="21"/>
      <c r="C34" s="21"/>
      <c r="D34" s="31">
        <f>SUM(D28:D33)</f>
        <v>491.21999999999997</v>
      </c>
      <c r="E34" s="29"/>
      <c r="F34" s="32">
        <f>SUM(F28:F29)</f>
        <v>50.62</v>
      </c>
      <c r="G34" s="33"/>
      <c r="H34" s="34">
        <f>SUM(H28:H33)</f>
        <v>5431.83</v>
      </c>
      <c r="I34" s="35"/>
    </row>
    <row r="35" spans="1:9" s="12" customFormat="1" ht="13.5" thickBot="1">
      <c r="A35" s="36" t="s">
        <v>6</v>
      </c>
      <c r="B35" s="37">
        <f>SUM(D34+F34+H34)</f>
        <v>5973.67</v>
      </c>
      <c r="C35" s="38"/>
      <c r="D35" s="39"/>
      <c r="E35" s="40"/>
      <c r="F35" s="41"/>
      <c r="G35" s="42"/>
      <c r="H35" s="43"/>
      <c r="I35" s="44"/>
    </row>
    <row r="36" spans="1:9" s="12" customFormat="1">
      <c r="A36" s="13" t="s">
        <v>145</v>
      </c>
      <c r="B36" s="14" t="s">
        <v>14</v>
      </c>
      <c r="C36" s="14" t="s">
        <v>7</v>
      </c>
      <c r="D36" s="15">
        <f>30.35</f>
        <v>30.35</v>
      </c>
      <c r="E36" s="16" t="s">
        <v>50</v>
      </c>
      <c r="F36" s="17"/>
      <c r="G36" s="18"/>
      <c r="H36" s="19">
        <f>673.04+662.66+353+70</f>
        <v>1758.6999999999998</v>
      </c>
      <c r="I36" s="20" t="s">
        <v>16</v>
      </c>
    </row>
    <row r="37" spans="1:9" s="12" customFormat="1">
      <c r="A37" s="21"/>
      <c r="B37" s="22" t="s">
        <v>114</v>
      </c>
      <c r="C37" s="23"/>
      <c r="D37" s="24">
        <f>20</f>
        <v>20</v>
      </c>
      <c r="E37" s="25" t="s">
        <v>11</v>
      </c>
      <c r="F37" s="26"/>
      <c r="G37" s="27"/>
      <c r="H37" s="28">
        <f>850.02</f>
        <v>850.02</v>
      </c>
      <c r="I37" s="29" t="s">
        <v>8</v>
      </c>
    </row>
    <row r="38" spans="1:9" s="12" customFormat="1">
      <c r="A38" s="21"/>
      <c r="B38" s="22"/>
      <c r="C38" s="23"/>
      <c r="D38" s="24"/>
      <c r="E38" s="25"/>
      <c r="F38" s="26"/>
      <c r="G38" s="27"/>
      <c r="H38" s="28">
        <f>103.79</f>
        <v>103.79</v>
      </c>
      <c r="I38" s="29" t="s">
        <v>58</v>
      </c>
    </row>
    <row r="39" spans="1:9" s="12" customFormat="1">
      <c r="A39" s="21"/>
      <c r="B39" s="22"/>
      <c r="C39" s="23"/>
      <c r="D39" s="24"/>
      <c r="E39" s="25"/>
      <c r="F39" s="26"/>
      <c r="G39" s="27"/>
      <c r="H39" s="28"/>
      <c r="I39" s="29"/>
    </row>
    <row r="40" spans="1:9" s="12" customFormat="1">
      <c r="A40" s="21"/>
      <c r="B40" s="22"/>
      <c r="C40" s="23" t="s">
        <v>15</v>
      </c>
      <c r="D40" s="24">
        <f>34.35+14.23</f>
        <v>48.58</v>
      </c>
      <c r="E40" s="25" t="s">
        <v>50</v>
      </c>
      <c r="F40" s="26">
        <f>2.75</f>
        <v>2.75</v>
      </c>
      <c r="G40" s="27" t="s">
        <v>68</v>
      </c>
      <c r="H40" s="28"/>
      <c r="I40" s="29"/>
    </row>
    <row r="41" spans="1:9" s="12" customFormat="1">
      <c r="A41" s="21"/>
      <c r="B41" s="22"/>
      <c r="C41" s="23"/>
      <c r="D41" s="24">
        <f>60+180</f>
        <v>240</v>
      </c>
      <c r="E41" s="25" t="s">
        <v>11</v>
      </c>
      <c r="F41" s="26"/>
      <c r="G41" s="27"/>
      <c r="H41" s="28">
        <f>390+972.05+47</f>
        <v>1409.05</v>
      </c>
      <c r="I41" s="29" t="s">
        <v>170</v>
      </c>
    </row>
    <row r="42" spans="1:9" s="12" customFormat="1">
      <c r="A42" s="21"/>
      <c r="B42" s="22"/>
      <c r="C42" s="23"/>
      <c r="D42" s="24">
        <f>50</f>
        <v>50</v>
      </c>
      <c r="E42" s="25" t="s">
        <v>28</v>
      </c>
      <c r="F42" s="26"/>
      <c r="G42" s="27"/>
      <c r="H42" s="28">
        <f>763.78</f>
        <v>763.78</v>
      </c>
      <c r="I42" s="29" t="s">
        <v>8</v>
      </c>
    </row>
    <row r="43" spans="1:9" s="12" customFormat="1">
      <c r="A43" s="21"/>
      <c r="B43" s="22"/>
      <c r="C43" s="23"/>
      <c r="D43" s="24"/>
      <c r="E43" s="25"/>
      <c r="F43" s="26"/>
      <c r="G43" s="27"/>
      <c r="H43" s="28">
        <v>103.99</v>
      </c>
      <c r="I43" s="29" t="s">
        <v>58</v>
      </c>
    </row>
    <row r="44" spans="1:9" s="12" customFormat="1">
      <c r="A44" s="21"/>
      <c r="B44" s="22"/>
      <c r="C44" s="23"/>
      <c r="D44" s="24"/>
      <c r="E44" s="25"/>
      <c r="F44" s="26"/>
      <c r="G44" s="27"/>
      <c r="H44" s="28"/>
      <c r="I44" s="29"/>
    </row>
    <row r="45" spans="1:9" s="12" customFormat="1">
      <c r="A45" s="30" t="s">
        <v>5</v>
      </c>
      <c r="B45" s="21"/>
      <c r="C45" s="21"/>
      <c r="D45" s="31">
        <f>SUM(D36:D44)</f>
        <v>388.93</v>
      </c>
      <c r="E45" s="29"/>
      <c r="F45" s="32">
        <f>SUM(F36:F37)</f>
        <v>0</v>
      </c>
      <c r="G45" s="33"/>
      <c r="H45" s="34">
        <f>SUM(H36:H44)</f>
        <v>4989.329999999999</v>
      </c>
      <c r="I45" s="35"/>
    </row>
    <row r="46" spans="1:9" s="12" customFormat="1" ht="13.5" thickBot="1">
      <c r="A46" s="36" t="s">
        <v>6</v>
      </c>
      <c r="B46" s="37">
        <f>SUM(D45+F45+H45)</f>
        <v>5378.2599999999993</v>
      </c>
      <c r="C46" s="38"/>
      <c r="D46" s="39"/>
      <c r="E46" s="40"/>
      <c r="F46" s="41"/>
      <c r="G46" s="42"/>
      <c r="H46" s="43"/>
      <c r="I46" s="44"/>
    </row>
    <row r="47" spans="1:9" s="12" customFormat="1">
      <c r="A47" s="13" t="s">
        <v>39</v>
      </c>
      <c r="B47" s="14" t="s">
        <v>40</v>
      </c>
      <c r="C47" s="14" t="s">
        <v>9</v>
      </c>
      <c r="D47" s="15"/>
      <c r="E47" s="16"/>
      <c r="F47" s="17"/>
      <c r="G47" s="18"/>
      <c r="H47" s="19">
        <f>224.31</f>
        <v>224.31</v>
      </c>
      <c r="I47" s="20" t="s">
        <v>16</v>
      </c>
    </row>
    <row r="48" spans="1:9" s="12" customFormat="1">
      <c r="A48" s="21"/>
      <c r="B48" s="22" t="s">
        <v>38</v>
      </c>
      <c r="C48" s="23"/>
      <c r="D48" s="24"/>
      <c r="E48" s="25"/>
      <c r="F48" s="26"/>
      <c r="G48" s="27"/>
      <c r="H48" s="28">
        <f>686.33</f>
        <v>686.33</v>
      </c>
      <c r="I48" s="29" t="s">
        <v>8</v>
      </c>
    </row>
    <row r="49" spans="1:9" s="12" customFormat="1">
      <c r="A49" s="21"/>
      <c r="B49" s="22"/>
      <c r="C49" s="23"/>
      <c r="D49" s="24"/>
      <c r="E49" s="25"/>
      <c r="F49" s="26"/>
      <c r="G49" s="27"/>
      <c r="H49" s="28"/>
      <c r="I49" s="29"/>
    </row>
    <row r="50" spans="1:9" s="12" customFormat="1">
      <c r="A50" s="21"/>
      <c r="B50" s="22"/>
      <c r="C50" s="23" t="s">
        <v>7</v>
      </c>
      <c r="D50" s="24"/>
      <c r="E50" s="25"/>
      <c r="F50" s="26"/>
      <c r="G50" s="27"/>
      <c r="H50" s="28">
        <f>224.31</f>
        <v>224.31</v>
      </c>
      <c r="I50" s="29" t="s">
        <v>16</v>
      </c>
    </row>
    <row r="51" spans="1:9" s="12" customFormat="1">
      <c r="A51" s="21"/>
      <c r="B51" s="22"/>
      <c r="C51" s="23"/>
      <c r="D51" s="24"/>
      <c r="E51" s="25"/>
      <c r="F51" s="26"/>
      <c r="G51" s="27"/>
      <c r="H51" s="28">
        <f>686.33</f>
        <v>686.33</v>
      </c>
      <c r="I51" s="29" t="s">
        <v>8</v>
      </c>
    </row>
    <row r="52" spans="1:9" s="12" customFormat="1">
      <c r="A52" s="21"/>
      <c r="B52" s="22"/>
      <c r="C52" s="23"/>
      <c r="D52" s="24"/>
      <c r="E52" s="25"/>
      <c r="F52" s="26"/>
      <c r="G52" s="27"/>
      <c r="H52" s="28"/>
      <c r="I52" s="29"/>
    </row>
    <row r="53" spans="1:9" s="12" customFormat="1">
      <c r="A53" s="21"/>
      <c r="B53" s="22"/>
      <c r="C53" s="23" t="s">
        <v>23</v>
      </c>
      <c r="D53" s="24">
        <f>6+312.85</f>
        <v>318.85000000000002</v>
      </c>
      <c r="E53" s="25" t="s">
        <v>50</v>
      </c>
      <c r="F53" s="26">
        <f>5.91</f>
        <v>5.91</v>
      </c>
      <c r="G53" s="27" t="s">
        <v>59</v>
      </c>
      <c r="H53" s="28">
        <f>224.31</f>
        <v>224.31</v>
      </c>
      <c r="I53" s="29" t="s">
        <v>16</v>
      </c>
    </row>
    <row r="54" spans="1:9" s="12" customFormat="1">
      <c r="A54" s="21"/>
      <c r="B54" s="22"/>
      <c r="C54" s="23"/>
      <c r="D54" s="24">
        <f>387.85</f>
        <v>387.85</v>
      </c>
      <c r="E54" s="25" t="s">
        <v>11</v>
      </c>
      <c r="F54" s="26">
        <f>40</f>
        <v>40</v>
      </c>
      <c r="G54" s="27" t="s">
        <v>68</v>
      </c>
      <c r="H54" s="28">
        <f>686.33</f>
        <v>686.33</v>
      </c>
      <c r="I54" s="29" t="s">
        <v>8</v>
      </c>
    </row>
    <row r="55" spans="1:9" s="12" customFormat="1">
      <c r="A55" s="21"/>
      <c r="B55" s="22"/>
      <c r="C55" s="23"/>
      <c r="D55" s="24">
        <f>20</f>
        <v>20</v>
      </c>
      <c r="E55" s="25" t="s">
        <v>69</v>
      </c>
      <c r="F55" s="26"/>
      <c r="G55" s="27"/>
      <c r="H55" s="28">
        <f>314.81</f>
        <v>314.81</v>
      </c>
      <c r="I55" s="29" t="s">
        <v>58</v>
      </c>
    </row>
    <row r="56" spans="1:9" s="12" customFormat="1">
      <c r="A56" s="21"/>
      <c r="B56" s="22"/>
      <c r="C56" s="23"/>
      <c r="D56" s="24"/>
      <c r="E56" s="25"/>
      <c r="F56" s="26"/>
      <c r="G56" s="27"/>
      <c r="H56" s="28"/>
      <c r="I56" s="29"/>
    </row>
    <row r="57" spans="1:9" s="12" customFormat="1">
      <c r="A57" s="21"/>
      <c r="B57" s="22"/>
      <c r="C57" s="23" t="s">
        <v>129</v>
      </c>
      <c r="D57" s="24">
        <f>21.21</f>
        <v>21.21</v>
      </c>
      <c r="E57" s="25" t="s">
        <v>50</v>
      </c>
      <c r="F57" s="26">
        <f>8.53</f>
        <v>8.5299999999999994</v>
      </c>
      <c r="G57" s="27" t="s">
        <v>57</v>
      </c>
      <c r="H57" s="28">
        <f>843.78</f>
        <v>843.78</v>
      </c>
      <c r="I57" s="29" t="s">
        <v>16</v>
      </c>
    </row>
    <row r="58" spans="1:9" s="12" customFormat="1">
      <c r="A58" s="21"/>
      <c r="B58" s="22"/>
      <c r="C58" s="23"/>
      <c r="D58" s="24">
        <f>25+171.98</f>
        <v>196.98</v>
      </c>
      <c r="E58" s="25" t="s">
        <v>11</v>
      </c>
      <c r="F58" s="26"/>
      <c r="G58" s="27"/>
      <c r="H58" s="28"/>
      <c r="I58" s="29"/>
    </row>
    <row r="59" spans="1:9" s="12" customFormat="1">
      <c r="A59" s="21"/>
      <c r="B59" s="22"/>
      <c r="C59" s="23"/>
      <c r="D59" s="24"/>
      <c r="E59" s="25"/>
      <c r="F59" s="26"/>
      <c r="G59" s="27"/>
      <c r="H59" s="28"/>
      <c r="I59" s="29"/>
    </row>
    <row r="60" spans="1:9" s="12" customFormat="1">
      <c r="A60" s="30" t="s">
        <v>5</v>
      </c>
      <c r="B60" s="21"/>
      <c r="C60" s="21"/>
      <c r="D60" s="31">
        <f>SUM(D47:D59)</f>
        <v>944.8900000000001</v>
      </c>
      <c r="E60" s="29"/>
      <c r="F60" s="32">
        <f>SUM(F47:F59)</f>
        <v>54.44</v>
      </c>
      <c r="G60" s="33"/>
      <c r="H60" s="34">
        <f>SUM(H47:H59)</f>
        <v>3890.51</v>
      </c>
      <c r="I60" s="35"/>
    </row>
    <row r="61" spans="1:9" s="12" customFormat="1" ht="13.5" thickBot="1">
      <c r="A61" s="36" t="s">
        <v>6</v>
      </c>
      <c r="B61" s="37">
        <f>SUM(D60+F60+H60)</f>
        <v>4889.84</v>
      </c>
      <c r="C61" s="38"/>
      <c r="D61" s="39"/>
      <c r="E61" s="40"/>
      <c r="F61" s="41"/>
      <c r="G61" s="42"/>
      <c r="H61" s="43"/>
      <c r="I61" s="44"/>
    </row>
    <row r="62" spans="1:9" s="12" customFormat="1">
      <c r="A62" s="13" t="s">
        <v>39</v>
      </c>
      <c r="B62" s="14" t="s">
        <v>86</v>
      </c>
      <c r="C62" s="14" t="s">
        <v>13</v>
      </c>
      <c r="D62" s="15">
        <f>9.5+9.51+289.55</f>
        <v>308.56</v>
      </c>
      <c r="E62" s="16" t="s">
        <v>50</v>
      </c>
      <c r="F62" s="17">
        <f>29.64</f>
        <v>29.64</v>
      </c>
      <c r="G62" s="18" t="s">
        <v>59</v>
      </c>
      <c r="H62" s="19">
        <f>403.67+353.78</f>
        <v>757.45</v>
      </c>
      <c r="I62" s="20" t="s">
        <v>16</v>
      </c>
    </row>
    <row r="63" spans="1:9" s="12" customFormat="1">
      <c r="A63" s="21"/>
      <c r="B63" s="22" t="s">
        <v>126</v>
      </c>
      <c r="C63" s="23"/>
      <c r="D63" s="24"/>
      <c r="E63" s="25" t="s">
        <v>11</v>
      </c>
      <c r="F63" s="26"/>
      <c r="G63" s="27"/>
      <c r="H63" s="28">
        <f>583.61</f>
        <v>583.61</v>
      </c>
      <c r="I63" s="29" t="s">
        <v>8</v>
      </c>
    </row>
    <row r="64" spans="1:9" s="12" customFormat="1">
      <c r="A64" s="21"/>
      <c r="B64" s="22"/>
      <c r="C64" s="23"/>
      <c r="D64" s="24"/>
      <c r="E64" s="25"/>
      <c r="F64" s="26"/>
      <c r="G64" s="27"/>
      <c r="H64" s="28">
        <f>23.4</f>
        <v>23.4</v>
      </c>
      <c r="I64" s="29" t="s">
        <v>58</v>
      </c>
    </row>
    <row r="65" spans="1:9" s="12" customFormat="1">
      <c r="A65" s="21"/>
      <c r="B65" s="22"/>
      <c r="C65" s="23"/>
      <c r="D65" s="24"/>
      <c r="E65" s="25"/>
      <c r="F65" s="26"/>
      <c r="G65" s="27"/>
      <c r="H65" s="28"/>
      <c r="I65" s="29"/>
    </row>
    <row r="66" spans="1:9" s="12" customFormat="1">
      <c r="A66" s="21"/>
      <c r="B66" s="22"/>
      <c r="C66" s="23" t="s">
        <v>12</v>
      </c>
      <c r="D66" s="24">
        <f>10.1+12.56</f>
        <v>22.66</v>
      </c>
      <c r="E66" s="25" t="s">
        <v>50</v>
      </c>
      <c r="F66" s="26">
        <f>24</f>
        <v>24</v>
      </c>
      <c r="G66" s="27" t="s">
        <v>57</v>
      </c>
      <c r="H66" s="28">
        <f>406.77+353.78</f>
        <v>760.55</v>
      </c>
      <c r="I66" s="29" t="s">
        <v>16</v>
      </c>
    </row>
    <row r="67" spans="1:9" s="12" customFormat="1">
      <c r="A67" s="21"/>
      <c r="B67" s="22"/>
      <c r="C67" s="23"/>
      <c r="D67" s="24">
        <f>14+96.84</f>
        <v>110.84</v>
      </c>
      <c r="E67" s="25" t="s">
        <v>11</v>
      </c>
      <c r="F67" s="26"/>
      <c r="G67" s="27"/>
      <c r="H67" s="28">
        <f>678.48+636.78-636.78</f>
        <v>678.48</v>
      </c>
      <c r="I67" s="29" t="s">
        <v>8</v>
      </c>
    </row>
    <row r="68" spans="1:9" s="12" customFormat="1">
      <c r="A68" s="21"/>
      <c r="B68" s="22"/>
      <c r="C68" s="23"/>
      <c r="D68" s="24"/>
      <c r="E68" s="25"/>
      <c r="F68" s="26"/>
      <c r="G68" s="27"/>
      <c r="H68" s="28">
        <f>47.31</f>
        <v>47.31</v>
      </c>
      <c r="I68" s="29" t="s">
        <v>58</v>
      </c>
    </row>
    <row r="69" spans="1:9" s="12" customFormat="1">
      <c r="A69" s="21"/>
      <c r="B69" s="22"/>
      <c r="C69" s="23"/>
      <c r="D69" s="24"/>
      <c r="E69" s="25"/>
      <c r="F69" s="26"/>
      <c r="G69" s="27"/>
      <c r="H69" s="28"/>
      <c r="I69" s="29"/>
    </row>
    <row r="70" spans="1:9" s="12" customFormat="1">
      <c r="A70" s="30" t="s">
        <v>5</v>
      </c>
      <c r="B70" s="21"/>
      <c r="C70" s="21"/>
      <c r="D70" s="31">
        <f>SUM(D62:D69)</f>
        <v>442.06000000000006</v>
      </c>
      <c r="E70" s="29"/>
      <c r="F70" s="32">
        <f>SUM(F62:F69)</f>
        <v>53.64</v>
      </c>
      <c r="G70" s="33"/>
      <c r="H70" s="34">
        <f>SUM(H62:H69)</f>
        <v>2850.8</v>
      </c>
      <c r="I70" s="35"/>
    </row>
    <row r="71" spans="1:9" s="12" customFormat="1" ht="13.5" thickBot="1">
      <c r="A71" s="36" t="s">
        <v>6</v>
      </c>
      <c r="B71" s="37">
        <f>SUM(D70+F70+H70)</f>
        <v>3346.5</v>
      </c>
      <c r="C71" s="38"/>
      <c r="D71" s="39"/>
      <c r="E71" s="40"/>
      <c r="F71" s="41"/>
      <c r="G71" s="42"/>
      <c r="H71" s="43"/>
      <c r="I71" s="44"/>
    </row>
    <row r="72" spans="1:9" s="12" customFormat="1">
      <c r="A72" s="13" t="s">
        <v>154</v>
      </c>
      <c r="B72" s="14" t="s">
        <v>155</v>
      </c>
      <c r="C72" s="14" t="s">
        <v>47</v>
      </c>
      <c r="D72" s="15"/>
      <c r="E72" s="16"/>
      <c r="F72" s="17">
        <f>128+128-128+25.6</f>
        <v>153.6</v>
      </c>
      <c r="G72" s="18" t="s">
        <v>57</v>
      </c>
      <c r="H72" s="19">
        <f>243.64-243.64</f>
        <v>0</v>
      </c>
      <c r="I72" s="20" t="s">
        <v>161</v>
      </c>
    </row>
    <row r="73" spans="1:9" s="12" customFormat="1">
      <c r="A73" s="21"/>
      <c r="B73" s="22"/>
      <c r="C73" s="23"/>
      <c r="D73" s="24"/>
      <c r="E73" s="25"/>
      <c r="F73" s="26"/>
      <c r="G73" s="27"/>
      <c r="H73" s="28"/>
      <c r="I73" s="29"/>
    </row>
    <row r="74" spans="1:9" s="12" customFormat="1">
      <c r="A74" s="30" t="s">
        <v>5</v>
      </c>
      <c r="B74" s="21"/>
      <c r="C74" s="21"/>
      <c r="D74" s="31">
        <f>SUM(D72:D73)</f>
        <v>0</v>
      </c>
      <c r="E74" s="29"/>
      <c r="F74" s="32">
        <f>SUM(F72:F72)</f>
        <v>153.6</v>
      </c>
      <c r="G74" s="33"/>
      <c r="H74" s="34">
        <f>SUM(H72:H73)</f>
        <v>0</v>
      </c>
      <c r="I74" s="35"/>
    </row>
    <row r="75" spans="1:9" s="12" customFormat="1" ht="13.5" thickBot="1">
      <c r="A75" s="36" t="s">
        <v>6</v>
      </c>
      <c r="B75" s="37">
        <f>SUM(D74+F74+H74)</f>
        <v>153.6</v>
      </c>
      <c r="C75" s="38"/>
      <c r="D75" s="39"/>
      <c r="E75" s="40"/>
      <c r="F75" s="41"/>
      <c r="G75" s="42"/>
      <c r="H75" s="43"/>
      <c r="I75" s="44"/>
    </row>
    <row r="76" spans="1:9" s="12" customFormat="1">
      <c r="A76" s="13" t="s">
        <v>116</v>
      </c>
      <c r="B76" s="14" t="s">
        <v>86</v>
      </c>
      <c r="C76" s="14" t="s">
        <v>21</v>
      </c>
      <c r="D76" s="15">
        <f>63.61</f>
        <v>63.61</v>
      </c>
      <c r="E76" s="16" t="s">
        <v>50</v>
      </c>
      <c r="F76" s="17">
        <f>140+140</f>
        <v>280</v>
      </c>
      <c r="G76" s="18" t="s">
        <v>57</v>
      </c>
      <c r="H76" s="19"/>
      <c r="I76" s="20"/>
    </row>
    <row r="77" spans="1:9" s="12" customFormat="1">
      <c r="A77" s="21"/>
      <c r="B77" s="22" t="s">
        <v>65</v>
      </c>
      <c r="C77" s="23"/>
      <c r="D77" s="24">
        <f>64.07</f>
        <v>64.069999999999993</v>
      </c>
      <c r="E77" s="25" t="s">
        <v>11</v>
      </c>
      <c r="F77" s="26"/>
      <c r="G77" s="27"/>
      <c r="H77" s="28"/>
      <c r="I77" s="29"/>
    </row>
    <row r="78" spans="1:9" s="12" customFormat="1">
      <c r="A78" s="21"/>
      <c r="B78" s="22"/>
      <c r="C78" s="23"/>
      <c r="D78" s="24"/>
      <c r="E78" s="25"/>
      <c r="F78" s="26"/>
      <c r="G78" s="27"/>
      <c r="H78" s="28"/>
      <c r="I78" s="29"/>
    </row>
    <row r="79" spans="1:9" s="12" customFormat="1">
      <c r="A79" s="30" t="s">
        <v>5</v>
      </c>
      <c r="B79" s="21"/>
      <c r="C79" s="21"/>
      <c r="D79" s="31">
        <f>SUM(D76:D78)</f>
        <v>127.67999999999999</v>
      </c>
      <c r="E79" s="29"/>
      <c r="F79" s="32">
        <f>SUM(F76:F77)</f>
        <v>280</v>
      </c>
      <c r="G79" s="33"/>
      <c r="H79" s="34">
        <f>SUM(H76:H78)</f>
        <v>0</v>
      </c>
      <c r="I79" s="35"/>
    </row>
    <row r="80" spans="1:9" s="12" customFormat="1" ht="13.5" thickBot="1">
      <c r="A80" s="36" t="s">
        <v>6</v>
      </c>
      <c r="B80" s="37">
        <f>SUM(D79+F79+H79)</f>
        <v>407.68</v>
      </c>
      <c r="C80" s="38"/>
      <c r="D80" s="39"/>
      <c r="E80" s="40"/>
      <c r="F80" s="41"/>
      <c r="G80" s="42"/>
      <c r="H80" s="43"/>
      <c r="I80" s="44"/>
    </row>
    <row r="81" spans="1:9" s="12" customFormat="1">
      <c r="A81" s="13">
        <v>42075</v>
      </c>
      <c r="B81" s="14" t="s">
        <v>100</v>
      </c>
      <c r="C81" s="14" t="s">
        <v>158</v>
      </c>
      <c r="D81" s="15"/>
      <c r="E81" s="16"/>
      <c r="F81" s="17">
        <f>9.2+9.2+9.2+9.2-9.2-9.2+9.2</f>
        <v>27.599999999999998</v>
      </c>
      <c r="G81" s="18" t="s">
        <v>159</v>
      </c>
      <c r="H81" s="19"/>
      <c r="I81" s="20"/>
    </row>
    <row r="82" spans="1:9" s="12" customFormat="1">
      <c r="A82" s="21"/>
      <c r="B82" s="22"/>
      <c r="C82" s="23"/>
      <c r="D82" s="24"/>
      <c r="E82" s="25"/>
      <c r="F82" s="26"/>
      <c r="G82" s="27"/>
      <c r="H82" s="28"/>
      <c r="I82" s="29"/>
    </row>
    <row r="83" spans="1:9" s="12" customFormat="1">
      <c r="A83" s="30" t="s">
        <v>5</v>
      </c>
      <c r="B83" s="21"/>
      <c r="C83" s="21"/>
      <c r="D83" s="31">
        <f>SUM(D81:D82)</f>
        <v>0</v>
      </c>
      <c r="E83" s="29"/>
      <c r="F83" s="32">
        <f>SUM(F81:F81)</f>
        <v>27.599999999999998</v>
      </c>
      <c r="G83" s="33"/>
      <c r="H83" s="34">
        <f>SUM(H81:H82)</f>
        <v>0</v>
      </c>
      <c r="I83" s="35"/>
    </row>
    <row r="84" spans="1:9" s="12" customFormat="1" ht="13.5" thickBot="1">
      <c r="A84" s="36" t="s">
        <v>6</v>
      </c>
      <c r="B84" s="37">
        <f>SUM(D83+F83+H83)</f>
        <v>27.599999999999998</v>
      </c>
      <c r="C84" s="38"/>
      <c r="D84" s="39"/>
      <c r="E84" s="40"/>
      <c r="F84" s="41"/>
      <c r="G84" s="42"/>
      <c r="H84" s="43"/>
      <c r="I84" s="44"/>
    </row>
    <row r="85" spans="1:9" s="12" customFormat="1">
      <c r="A85" s="13" t="s">
        <v>32</v>
      </c>
      <c r="B85" s="14" t="s">
        <v>33</v>
      </c>
      <c r="C85" s="14" t="s">
        <v>20</v>
      </c>
      <c r="D85" s="15"/>
      <c r="E85" s="16"/>
      <c r="F85" s="17"/>
      <c r="G85" s="18"/>
      <c r="H85" s="19">
        <f>863.44-863.44+100</f>
        <v>100</v>
      </c>
      <c r="I85" s="20" t="s">
        <v>16</v>
      </c>
    </row>
    <row r="86" spans="1:9" s="12" customFormat="1">
      <c r="A86" s="21"/>
      <c r="B86" s="22" t="s">
        <v>34</v>
      </c>
      <c r="C86" s="23" t="s">
        <v>45</v>
      </c>
      <c r="D86" s="24"/>
      <c r="E86" s="25"/>
      <c r="F86" s="26"/>
      <c r="G86" s="27"/>
      <c r="H86" s="28">
        <f>663.73-663.73</f>
        <v>0</v>
      </c>
      <c r="I86" s="29" t="s">
        <v>8</v>
      </c>
    </row>
    <row r="87" spans="1:9" s="12" customFormat="1">
      <c r="A87" s="21"/>
      <c r="B87" s="22"/>
      <c r="C87" s="23"/>
      <c r="D87" s="24"/>
      <c r="E87" s="25"/>
      <c r="F87" s="26"/>
      <c r="G87" s="27"/>
      <c r="H87" s="28"/>
      <c r="I87" s="29"/>
    </row>
    <row r="88" spans="1:9" s="12" customFormat="1">
      <c r="A88" s="21"/>
      <c r="B88" s="22"/>
      <c r="C88" s="23" t="s">
        <v>18</v>
      </c>
      <c r="D88" s="24">
        <f>2612.74</f>
        <v>2612.7399999999998</v>
      </c>
      <c r="E88" s="25" t="s">
        <v>50</v>
      </c>
      <c r="F88" s="26"/>
      <c r="G88" s="27"/>
      <c r="H88" s="28">
        <f>675.58</f>
        <v>675.58</v>
      </c>
      <c r="I88" s="29" t="s">
        <v>16</v>
      </c>
    </row>
    <row r="89" spans="1:9" s="12" customFormat="1">
      <c r="A89" s="21"/>
      <c r="B89" s="22"/>
      <c r="C89" s="23"/>
      <c r="D89" s="24">
        <f>117.9+66.7</f>
        <v>184.60000000000002</v>
      </c>
      <c r="E89" s="25" t="s">
        <v>11</v>
      </c>
      <c r="F89" s="26"/>
      <c r="G89" s="27"/>
      <c r="H89" s="28">
        <f>884.97</f>
        <v>884.97</v>
      </c>
      <c r="I89" s="29" t="s">
        <v>8</v>
      </c>
    </row>
    <row r="90" spans="1:9" s="12" customFormat="1">
      <c r="A90" s="21"/>
      <c r="B90" s="22"/>
      <c r="C90" s="23"/>
      <c r="D90" s="24"/>
      <c r="E90" s="25"/>
      <c r="F90" s="26"/>
      <c r="G90" s="27"/>
      <c r="H90" s="28">
        <f>1144.74</f>
        <v>1144.74</v>
      </c>
      <c r="I90" s="29" t="s">
        <v>58</v>
      </c>
    </row>
    <row r="91" spans="1:9" s="12" customFormat="1">
      <c r="A91" s="21"/>
      <c r="B91" s="22"/>
      <c r="C91" s="23"/>
      <c r="D91" s="24"/>
      <c r="E91" s="25"/>
      <c r="F91" s="26"/>
      <c r="G91" s="27"/>
      <c r="H91" s="28"/>
      <c r="I91" s="29"/>
    </row>
    <row r="92" spans="1:9" s="12" customFormat="1">
      <c r="A92" s="21"/>
      <c r="B92" s="22"/>
      <c r="C92" s="23" t="s">
        <v>23</v>
      </c>
      <c r="D92" s="24">
        <f>89.5</f>
        <v>89.5</v>
      </c>
      <c r="E92" s="25" t="s">
        <v>50</v>
      </c>
      <c r="F92" s="26">
        <f>14.46</f>
        <v>14.46</v>
      </c>
      <c r="G92" s="27" t="s">
        <v>59</v>
      </c>
      <c r="H92" s="28">
        <f>675.58</f>
        <v>675.58</v>
      </c>
      <c r="I92" s="29" t="s">
        <v>16</v>
      </c>
    </row>
    <row r="93" spans="1:9" s="12" customFormat="1">
      <c r="A93" s="21"/>
      <c r="B93" s="22"/>
      <c r="C93" s="23"/>
      <c r="D93" s="24"/>
      <c r="E93" s="25"/>
      <c r="F93" s="26">
        <f>6</f>
        <v>6</v>
      </c>
      <c r="G93" s="27" t="s">
        <v>82</v>
      </c>
      <c r="H93" s="28">
        <f>2199.02+2395.25-2199.02</f>
        <v>2395.2500000000005</v>
      </c>
      <c r="I93" s="29" t="s">
        <v>119</v>
      </c>
    </row>
    <row r="94" spans="1:9" s="12" customFormat="1">
      <c r="A94" s="21"/>
      <c r="B94" s="22"/>
      <c r="C94" s="23"/>
      <c r="D94" s="24"/>
      <c r="E94" s="25"/>
      <c r="F94" s="26">
        <f>39</f>
        <v>39</v>
      </c>
      <c r="G94" s="27" t="s">
        <v>68</v>
      </c>
      <c r="H94" s="28">
        <f>156.4</f>
        <v>156.4</v>
      </c>
      <c r="I94" s="29" t="s">
        <v>58</v>
      </c>
    </row>
    <row r="95" spans="1:9" s="12" customFormat="1">
      <c r="A95" s="21"/>
      <c r="B95" s="22"/>
      <c r="C95" s="23"/>
      <c r="D95" s="24"/>
      <c r="E95" s="25"/>
      <c r="F95" s="26"/>
      <c r="G95" s="27"/>
      <c r="H95" s="28">
        <f>104.68</f>
        <v>104.68</v>
      </c>
      <c r="I95" s="29" t="s">
        <v>162</v>
      </c>
    </row>
    <row r="96" spans="1:9" s="12" customFormat="1">
      <c r="A96" s="21"/>
      <c r="B96" s="22"/>
      <c r="C96" s="23"/>
      <c r="D96" s="24"/>
      <c r="E96" s="25"/>
      <c r="F96" s="26"/>
      <c r="G96" s="27"/>
      <c r="H96" s="28"/>
      <c r="I96" s="29"/>
    </row>
    <row r="97" spans="1:9" s="12" customFormat="1">
      <c r="A97" s="21"/>
      <c r="B97" s="22"/>
      <c r="C97" s="23" t="s">
        <v>12</v>
      </c>
      <c r="D97" s="24">
        <f>14.8+33.38</f>
        <v>48.180000000000007</v>
      </c>
      <c r="E97" s="25" t="s">
        <v>50</v>
      </c>
      <c r="F97" s="26">
        <f>24</f>
        <v>24</v>
      </c>
      <c r="G97" s="27" t="s">
        <v>57</v>
      </c>
      <c r="H97" s="28">
        <f>675.58</f>
        <v>675.58</v>
      </c>
      <c r="I97" s="29" t="s">
        <v>16</v>
      </c>
    </row>
    <row r="98" spans="1:9" s="12" customFormat="1">
      <c r="A98" s="21"/>
      <c r="B98" s="22"/>
      <c r="C98" s="23"/>
      <c r="D98" s="24">
        <f>109.8+58.05</f>
        <v>167.85</v>
      </c>
      <c r="E98" s="25" t="s">
        <v>11</v>
      </c>
      <c r="F98" s="26"/>
      <c r="G98" s="27"/>
      <c r="H98" s="28">
        <f>884.97</f>
        <v>884.97</v>
      </c>
      <c r="I98" s="29" t="s">
        <v>8</v>
      </c>
    </row>
    <row r="99" spans="1:9" s="12" customFormat="1">
      <c r="A99" s="21"/>
      <c r="B99" s="22"/>
      <c r="C99" s="23"/>
      <c r="D99" s="24"/>
      <c r="E99" s="25"/>
      <c r="F99" s="26"/>
      <c r="G99" s="27"/>
      <c r="H99" s="28">
        <f>312.07</f>
        <v>312.07</v>
      </c>
      <c r="I99" s="29" t="s">
        <v>58</v>
      </c>
    </row>
    <row r="100" spans="1:9" s="12" customFormat="1">
      <c r="A100" s="21"/>
      <c r="B100" s="22"/>
      <c r="C100" s="23"/>
      <c r="D100" s="24"/>
      <c r="E100" s="25"/>
      <c r="F100" s="26"/>
      <c r="G100" s="27"/>
      <c r="H100" s="28"/>
      <c r="I100" s="29"/>
    </row>
    <row r="101" spans="1:9" s="12" customFormat="1">
      <c r="A101" s="21"/>
      <c r="B101" s="22"/>
      <c r="C101" s="23" t="s">
        <v>19</v>
      </c>
      <c r="D101" s="24">
        <f>10.94+21.84</f>
        <v>32.78</v>
      </c>
      <c r="E101" s="25" t="s">
        <v>50</v>
      </c>
      <c r="F101" s="26"/>
      <c r="G101" s="27"/>
      <c r="H101" s="28">
        <f>863.44+30.56</f>
        <v>894</v>
      </c>
      <c r="I101" s="29" t="s">
        <v>16</v>
      </c>
    </row>
    <row r="102" spans="1:9" s="12" customFormat="1">
      <c r="A102" s="21"/>
      <c r="B102" s="22"/>
      <c r="C102" s="23"/>
      <c r="D102" s="24">
        <f>93.19+36.23</f>
        <v>129.41999999999999</v>
      </c>
      <c r="E102" s="25" t="s">
        <v>11</v>
      </c>
      <c r="F102" s="26"/>
      <c r="G102" s="27"/>
      <c r="H102" s="28">
        <f>663.73</f>
        <v>663.73</v>
      </c>
      <c r="I102" s="29" t="s">
        <v>8</v>
      </c>
    </row>
    <row r="103" spans="1:9" s="12" customFormat="1">
      <c r="A103" s="21"/>
      <c r="B103" s="22"/>
      <c r="C103" s="23"/>
      <c r="D103" s="24"/>
      <c r="E103" s="25"/>
      <c r="F103" s="26"/>
      <c r="G103" s="27"/>
      <c r="H103" s="28">
        <f>351.11</f>
        <v>351.11</v>
      </c>
      <c r="I103" s="29" t="s">
        <v>58</v>
      </c>
    </row>
    <row r="104" spans="1:9" s="12" customFormat="1">
      <c r="A104" s="21"/>
      <c r="B104" s="22"/>
      <c r="C104" s="23"/>
      <c r="D104" s="24"/>
      <c r="E104" s="25"/>
      <c r="F104" s="26"/>
      <c r="G104" s="27"/>
      <c r="H104" s="28">
        <f>94.21</f>
        <v>94.21</v>
      </c>
      <c r="I104" s="29" t="s">
        <v>162</v>
      </c>
    </row>
    <row r="105" spans="1:9" s="12" customFormat="1">
      <c r="A105" s="21"/>
      <c r="B105" s="22"/>
      <c r="C105" s="23"/>
      <c r="D105" s="24"/>
      <c r="E105" s="25"/>
      <c r="F105" s="26"/>
      <c r="G105" s="27"/>
      <c r="H105" s="28"/>
      <c r="I105" s="29"/>
    </row>
    <row r="106" spans="1:9" s="12" customFormat="1">
      <c r="A106" s="21"/>
      <c r="B106" s="22"/>
      <c r="C106" s="23" t="s">
        <v>17</v>
      </c>
      <c r="D106" s="24">
        <f>449.9</f>
        <v>449.9</v>
      </c>
      <c r="E106" s="25" t="s">
        <v>50</v>
      </c>
      <c r="F106" s="26"/>
      <c r="G106" s="27"/>
      <c r="H106" s="28">
        <f>675.58</f>
        <v>675.58</v>
      </c>
      <c r="I106" s="29" t="s">
        <v>16</v>
      </c>
    </row>
    <row r="107" spans="1:9" s="12" customFormat="1">
      <c r="A107" s="21"/>
      <c r="B107" s="22"/>
      <c r="C107" s="23"/>
      <c r="D107" s="24">
        <f>203+82.61</f>
        <v>285.61</v>
      </c>
      <c r="E107" s="25" t="s">
        <v>11</v>
      </c>
      <c r="F107" s="26"/>
      <c r="G107" s="27"/>
      <c r="H107" s="28">
        <f>884.97</f>
        <v>884.97</v>
      </c>
      <c r="I107" s="29" t="s">
        <v>8</v>
      </c>
    </row>
    <row r="108" spans="1:9" s="12" customFormat="1">
      <c r="A108" s="21"/>
      <c r="B108" s="22"/>
      <c r="C108" s="23"/>
      <c r="D108" s="24"/>
      <c r="E108" s="25"/>
      <c r="F108" s="26"/>
      <c r="G108" s="27"/>
      <c r="H108" s="28">
        <f>36.47</f>
        <v>36.47</v>
      </c>
      <c r="I108" s="29" t="s">
        <v>58</v>
      </c>
    </row>
    <row r="109" spans="1:9" s="12" customFormat="1">
      <c r="A109" s="21"/>
      <c r="B109" s="22"/>
      <c r="C109" s="23"/>
      <c r="D109" s="24"/>
      <c r="E109" s="25"/>
      <c r="F109" s="26"/>
      <c r="G109" s="27"/>
      <c r="H109" s="28"/>
      <c r="I109" s="29"/>
    </row>
    <row r="110" spans="1:9" s="12" customFormat="1">
      <c r="A110" s="21"/>
      <c r="B110" s="22"/>
      <c r="C110" s="23" t="s">
        <v>44</v>
      </c>
      <c r="D110" s="24"/>
      <c r="E110" s="25"/>
      <c r="F110" s="26"/>
      <c r="G110" s="27"/>
      <c r="H110" s="28">
        <f>675.58-675.58</f>
        <v>0</v>
      </c>
      <c r="I110" s="29" t="s">
        <v>16</v>
      </c>
    </row>
    <row r="111" spans="1:9" s="12" customFormat="1">
      <c r="A111" s="21"/>
      <c r="B111" s="22"/>
      <c r="C111" s="23" t="s">
        <v>45</v>
      </c>
      <c r="D111" s="24"/>
      <c r="E111" s="25"/>
      <c r="F111" s="26"/>
      <c r="G111" s="27"/>
      <c r="H111" s="28"/>
      <c r="I111" s="29"/>
    </row>
    <row r="112" spans="1:9" s="12" customFormat="1">
      <c r="A112" s="21"/>
      <c r="B112" s="22"/>
      <c r="C112" s="23"/>
      <c r="D112" s="24"/>
      <c r="E112" s="25"/>
      <c r="F112" s="26"/>
      <c r="G112" s="27"/>
      <c r="H112" s="28"/>
      <c r="I112" s="29"/>
    </row>
    <row r="113" spans="1:9" s="12" customFormat="1">
      <c r="A113" s="21"/>
      <c r="B113" s="22"/>
      <c r="C113" s="23" t="s">
        <v>24</v>
      </c>
      <c r="D113" s="24"/>
      <c r="E113" s="25"/>
      <c r="F113" s="26">
        <f>23.41</f>
        <v>23.41</v>
      </c>
      <c r="G113" s="27" t="s">
        <v>59</v>
      </c>
      <c r="H113" s="28">
        <f>675.58</f>
        <v>675.58</v>
      </c>
      <c r="I113" s="29" t="s">
        <v>16</v>
      </c>
    </row>
    <row r="114" spans="1:9" s="12" customFormat="1">
      <c r="A114" s="21"/>
      <c r="B114" s="22"/>
      <c r="C114" s="23"/>
      <c r="D114" s="24"/>
      <c r="E114" s="25"/>
      <c r="F114" s="26">
        <f>9.4</f>
        <v>9.4</v>
      </c>
      <c r="G114" s="27" t="s">
        <v>82</v>
      </c>
      <c r="H114" s="28">
        <f>884.97</f>
        <v>884.97</v>
      </c>
      <c r="I114" s="29" t="s">
        <v>8</v>
      </c>
    </row>
    <row r="115" spans="1:9" s="12" customFormat="1">
      <c r="A115" s="21"/>
      <c r="B115" s="22"/>
      <c r="C115" s="23"/>
      <c r="D115" s="24"/>
      <c r="E115" s="25"/>
      <c r="F115" s="26">
        <f>45</f>
        <v>45</v>
      </c>
      <c r="G115" s="27" t="s">
        <v>68</v>
      </c>
      <c r="H115" s="28"/>
      <c r="I115" s="29"/>
    </row>
    <row r="116" spans="1:9" s="12" customFormat="1">
      <c r="A116" s="21"/>
      <c r="B116" s="22"/>
      <c r="C116" s="23" t="s">
        <v>41</v>
      </c>
      <c r="D116" s="24"/>
      <c r="E116" s="25"/>
      <c r="F116" s="26"/>
      <c r="G116" s="27"/>
      <c r="H116" s="28">
        <f>1251.35</f>
        <v>1251.3499999999999</v>
      </c>
      <c r="I116" s="29" t="s">
        <v>16</v>
      </c>
    </row>
    <row r="117" spans="1:9" s="12" customFormat="1">
      <c r="A117" s="21"/>
      <c r="B117" s="22"/>
      <c r="C117" s="23"/>
      <c r="D117" s="24"/>
      <c r="E117" s="25"/>
      <c r="F117" s="26"/>
      <c r="G117" s="27"/>
      <c r="H117" s="28">
        <f>1183.35+1256.04-1183.35</f>
        <v>1256.04</v>
      </c>
      <c r="I117" s="29" t="s">
        <v>8</v>
      </c>
    </row>
    <row r="118" spans="1:9" s="12" customFormat="1">
      <c r="A118" s="21"/>
      <c r="B118" s="22"/>
      <c r="C118" s="23"/>
      <c r="D118" s="24"/>
      <c r="E118" s="25"/>
      <c r="F118" s="26"/>
      <c r="G118" s="27"/>
      <c r="H118" s="28"/>
      <c r="I118" s="29"/>
    </row>
    <row r="119" spans="1:9" s="12" customFormat="1">
      <c r="A119" s="21"/>
      <c r="B119" s="22"/>
      <c r="C119" s="23" t="s">
        <v>98</v>
      </c>
      <c r="D119" s="24"/>
      <c r="E119" s="25"/>
      <c r="F119" s="26"/>
      <c r="G119" s="27"/>
      <c r="H119" s="28">
        <f>652.23</f>
        <v>652.23</v>
      </c>
      <c r="I119" s="29" t="s">
        <v>16</v>
      </c>
    </row>
    <row r="120" spans="1:9" s="12" customFormat="1">
      <c r="A120" s="21"/>
      <c r="B120" s="22"/>
      <c r="C120" s="23"/>
      <c r="D120" s="24"/>
      <c r="E120" s="25"/>
      <c r="F120" s="26"/>
      <c r="G120" s="27"/>
      <c r="H120" s="28">
        <f>900.12</f>
        <v>900.12</v>
      </c>
      <c r="I120" s="29" t="s">
        <v>8</v>
      </c>
    </row>
    <row r="121" spans="1:9" s="12" customFormat="1">
      <c r="A121" s="21"/>
      <c r="B121" s="22"/>
      <c r="C121" s="23"/>
      <c r="D121" s="24"/>
      <c r="E121" s="25"/>
      <c r="F121" s="26"/>
      <c r="G121" s="27"/>
      <c r="H121" s="28"/>
      <c r="I121" s="29"/>
    </row>
    <row r="122" spans="1:9" s="12" customFormat="1">
      <c r="A122" s="21"/>
      <c r="B122" s="22"/>
      <c r="C122" s="23" t="s">
        <v>127</v>
      </c>
      <c r="D122" s="24">
        <f>6.49+60.59</f>
        <v>67.08</v>
      </c>
      <c r="E122" s="25" t="s">
        <v>50</v>
      </c>
      <c r="F122" s="26">
        <f>4.01</f>
        <v>4.01</v>
      </c>
      <c r="G122" s="27" t="s">
        <v>68</v>
      </c>
      <c r="H122" s="28">
        <f>926.51</f>
        <v>926.51</v>
      </c>
      <c r="I122" s="29" t="s">
        <v>16</v>
      </c>
    </row>
    <row r="123" spans="1:9" s="12" customFormat="1">
      <c r="A123" s="21"/>
      <c r="B123" s="22"/>
      <c r="C123" s="23"/>
      <c r="D123" s="24">
        <f>35.59</f>
        <v>35.590000000000003</v>
      </c>
      <c r="E123" s="25" t="s">
        <v>11</v>
      </c>
      <c r="F123" s="26"/>
      <c r="G123" s="27"/>
      <c r="H123" s="28">
        <f>722.96</f>
        <v>722.96</v>
      </c>
      <c r="I123" s="29" t="s">
        <v>8</v>
      </c>
    </row>
    <row r="124" spans="1:9" s="12" customFormat="1">
      <c r="A124" s="21"/>
      <c r="B124" s="22"/>
      <c r="C124" s="23"/>
      <c r="D124" s="24">
        <f>67.44</f>
        <v>67.44</v>
      </c>
      <c r="E124" s="25" t="s">
        <v>69</v>
      </c>
      <c r="F124" s="26"/>
      <c r="G124" s="27"/>
      <c r="H124" s="28">
        <f>60.39</f>
        <v>60.39</v>
      </c>
      <c r="I124" s="29" t="s">
        <v>58</v>
      </c>
    </row>
    <row r="125" spans="1:9" s="12" customFormat="1">
      <c r="A125" s="21"/>
      <c r="B125" s="22"/>
      <c r="C125" s="23"/>
      <c r="D125" s="24"/>
      <c r="E125" s="25"/>
      <c r="F125" s="26"/>
      <c r="G125" s="27"/>
      <c r="H125" s="28"/>
      <c r="I125" s="29"/>
    </row>
    <row r="126" spans="1:9" s="12" customFormat="1">
      <c r="A126" s="21"/>
      <c r="B126" s="22"/>
      <c r="C126" s="23" t="s">
        <v>129</v>
      </c>
      <c r="D126" s="24">
        <f>106.21</f>
        <v>106.21</v>
      </c>
      <c r="E126" s="25" t="s">
        <v>50</v>
      </c>
      <c r="F126" s="26"/>
      <c r="G126" s="27"/>
      <c r="H126" s="28">
        <f>653.29</f>
        <v>653.29</v>
      </c>
      <c r="I126" s="29" t="s">
        <v>16</v>
      </c>
    </row>
    <row r="127" spans="1:9" s="12" customFormat="1">
      <c r="A127" s="21"/>
      <c r="B127" s="22"/>
      <c r="C127" s="23"/>
      <c r="D127" s="24">
        <f>12.17</f>
        <v>12.17</v>
      </c>
      <c r="E127" s="25" t="s">
        <v>11</v>
      </c>
      <c r="F127" s="26"/>
      <c r="G127" s="27"/>
      <c r="H127" s="28">
        <f>963.94</f>
        <v>963.94</v>
      </c>
      <c r="I127" s="29" t="s">
        <v>8</v>
      </c>
    </row>
    <row r="128" spans="1:9" s="12" customFormat="1">
      <c r="A128" s="21"/>
      <c r="B128" s="22"/>
      <c r="C128" s="23"/>
      <c r="D128" s="24"/>
      <c r="E128" s="25"/>
      <c r="F128" s="26"/>
      <c r="G128" s="27"/>
      <c r="H128" s="28">
        <f>15.39</f>
        <v>15.39</v>
      </c>
      <c r="I128" s="29" t="s">
        <v>58</v>
      </c>
    </row>
    <row r="129" spans="1:9" s="12" customFormat="1">
      <c r="A129" s="21"/>
      <c r="B129" s="22"/>
      <c r="C129" s="23"/>
      <c r="D129" s="24"/>
      <c r="E129" s="25"/>
      <c r="F129" s="26"/>
      <c r="G129" s="27"/>
      <c r="H129" s="28"/>
      <c r="I129" s="29"/>
    </row>
    <row r="130" spans="1:9" s="12" customFormat="1">
      <c r="A130" s="30" t="s">
        <v>5</v>
      </c>
      <c r="B130" s="21"/>
      <c r="C130" s="21"/>
      <c r="D130" s="31">
        <f>SUM(D85:D129)</f>
        <v>4289.07</v>
      </c>
      <c r="E130" s="29"/>
      <c r="F130" s="32">
        <f>SUM(F85:F129)</f>
        <v>165.28</v>
      </c>
      <c r="G130" s="33"/>
      <c r="H130" s="34">
        <f>SUM(H85:H129)</f>
        <v>20572.659999999993</v>
      </c>
      <c r="I130" s="35"/>
    </row>
    <row r="131" spans="1:9" s="12" customFormat="1" ht="13.5" thickBot="1">
      <c r="A131" s="36" t="s">
        <v>6</v>
      </c>
      <c r="B131" s="37">
        <f>SUM(D130+F130+H130)</f>
        <v>25027.009999999991</v>
      </c>
      <c r="C131" s="38"/>
      <c r="D131" s="39"/>
      <c r="E131" s="40"/>
      <c r="F131" s="41"/>
      <c r="G131" s="42"/>
      <c r="H131" s="43"/>
      <c r="I131" s="44"/>
    </row>
    <row r="132" spans="1:9" s="12" customFormat="1">
      <c r="A132" s="13" t="s">
        <v>146</v>
      </c>
      <c r="B132" s="14" t="s">
        <v>14</v>
      </c>
      <c r="C132" s="14" t="s">
        <v>21</v>
      </c>
      <c r="D132" s="15">
        <v>53.07</v>
      </c>
      <c r="E132" s="16" t="s">
        <v>50</v>
      </c>
      <c r="F132" s="17"/>
      <c r="G132" s="18"/>
      <c r="H132" s="19">
        <f>591.16</f>
        <v>591.16</v>
      </c>
      <c r="I132" s="20" t="s">
        <v>16</v>
      </c>
    </row>
    <row r="133" spans="1:9" s="12" customFormat="1">
      <c r="A133" s="21"/>
      <c r="B133" s="22" t="s">
        <v>65</v>
      </c>
      <c r="C133" s="23"/>
      <c r="D133" s="24">
        <f>78.58</f>
        <v>78.58</v>
      </c>
      <c r="E133" s="25" t="s">
        <v>11</v>
      </c>
      <c r="F133" s="26"/>
      <c r="G133" s="27"/>
      <c r="H133" s="28">
        <f>92.22+158.93</f>
        <v>251.15</v>
      </c>
      <c r="I133" s="29" t="s">
        <v>171</v>
      </c>
    </row>
    <row r="134" spans="1:9" s="12" customFormat="1">
      <c r="A134" s="21"/>
      <c r="B134" s="22"/>
      <c r="C134" s="23"/>
      <c r="D134" s="24"/>
      <c r="E134" s="25"/>
      <c r="F134" s="26"/>
      <c r="G134" s="27"/>
      <c r="H134" s="28"/>
      <c r="I134" s="29"/>
    </row>
    <row r="135" spans="1:9" s="12" customFormat="1">
      <c r="A135" s="30" t="s">
        <v>5</v>
      </c>
      <c r="B135" s="21"/>
      <c r="C135" s="21"/>
      <c r="D135" s="31">
        <f>SUM(D132:D134)</f>
        <v>131.65</v>
      </c>
      <c r="E135" s="29"/>
      <c r="F135" s="32">
        <f>SUM(F132:F133)</f>
        <v>0</v>
      </c>
      <c r="G135" s="33"/>
      <c r="H135" s="34">
        <f>SUM(H132:H134)</f>
        <v>842.31</v>
      </c>
      <c r="I135" s="35"/>
    </row>
    <row r="136" spans="1:9" s="12" customFormat="1" ht="15" customHeight="1" thickBot="1">
      <c r="A136" s="36" t="s">
        <v>6</v>
      </c>
      <c r="B136" s="37">
        <f>SUM(D135+F135+H135)</f>
        <v>973.95999999999992</v>
      </c>
      <c r="C136" s="38"/>
      <c r="D136" s="39"/>
      <c r="E136" s="40"/>
      <c r="F136" s="41"/>
      <c r="G136" s="42"/>
      <c r="H136" s="43"/>
      <c r="I136" s="44"/>
    </row>
    <row r="137" spans="1:9" s="12" customFormat="1">
      <c r="A137" s="13" t="s">
        <v>147</v>
      </c>
      <c r="B137" s="14" t="s">
        <v>14</v>
      </c>
      <c r="C137" s="14" t="s">
        <v>149</v>
      </c>
      <c r="D137" s="15"/>
      <c r="E137" s="16" t="s">
        <v>50</v>
      </c>
      <c r="F137" s="17">
        <f>94.92</f>
        <v>94.92</v>
      </c>
      <c r="G137" s="18" t="s">
        <v>59</v>
      </c>
      <c r="H137" s="19">
        <f>585.18</f>
        <v>585.17999999999995</v>
      </c>
      <c r="I137" s="20" t="s">
        <v>16</v>
      </c>
    </row>
    <row r="138" spans="1:9" s="12" customFormat="1">
      <c r="A138" s="21"/>
      <c r="B138" s="22" t="s">
        <v>148</v>
      </c>
      <c r="C138" s="23"/>
      <c r="D138" s="24"/>
      <c r="E138" s="25" t="s">
        <v>11</v>
      </c>
      <c r="F138" s="26">
        <v>1.6</v>
      </c>
      <c r="G138" s="27" t="s">
        <v>82</v>
      </c>
      <c r="H138" s="28">
        <f>248.37</f>
        <v>248.37</v>
      </c>
      <c r="I138" s="29" t="s">
        <v>8</v>
      </c>
    </row>
    <row r="139" spans="1:9" s="12" customFormat="1">
      <c r="A139" s="21"/>
      <c r="B139" s="22"/>
      <c r="C139" s="23"/>
      <c r="D139" s="24">
        <f>25</f>
        <v>25</v>
      </c>
      <c r="E139" s="25" t="s">
        <v>152</v>
      </c>
      <c r="F139" s="26">
        <v>18</v>
      </c>
      <c r="G139" s="27" t="s">
        <v>68</v>
      </c>
      <c r="H139" s="28">
        <f>15.6</f>
        <v>15.6</v>
      </c>
      <c r="I139" s="29" t="s">
        <v>58</v>
      </c>
    </row>
    <row r="140" spans="1:9" s="12" customFormat="1">
      <c r="A140" s="21"/>
      <c r="B140" s="22"/>
      <c r="C140" s="23"/>
      <c r="D140" s="24"/>
      <c r="E140" s="25"/>
      <c r="F140" s="26"/>
      <c r="G140" s="27"/>
      <c r="H140" s="28"/>
      <c r="I140" s="29"/>
    </row>
    <row r="141" spans="1:9" s="12" customFormat="1">
      <c r="A141" s="21"/>
      <c r="B141" s="22"/>
      <c r="C141" s="23" t="s">
        <v>13</v>
      </c>
      <c r="D141" s="24">
        <f>30.5+103.18</f>
        <v>133.68</v>
      </c>
      <c r="E141" s="25" t="s">
        <v>50</v>
      </c>
      <c r="F141" s="26">
        <f>29.64</f>
        <v>29.64</v>
      </c>
      <c r="G141" s="27" t="s">
        <v>59</v>
      </c>
      <c r="H141" s="28">
        <f>585.18</f>
        <v>585.17999999999995</v>
      </c>
      <c r="I141" s="29" t="s">
        <v>16</v>
      </c>
    </row>
    <row r="142" spans="1:9" s="12" customFormat="1">
      <c r="A142" s="21"/>
      <c r="B142" s="22"/>
      <c r="C142" s="23"/>
      <c r="D142" s="24">
        <f>25</f>
        <v>25</v>
      </c>
      <c r="E142" s="25" t="s">
        <v>152</v>
      </c>
      <c r="F142" s="26"/>
      <c r="G142" s="27"/>
      <c r="H142" s="28">
        <f>248.37</f>
        <v>248.37</v>
      </c>
      <c r="I142" s="29" t="s">
        <v>8</v>
      </c>
    </row>
    <row r="143" spans="1:9" s="12" customFormat="1">
      <c r="A143" s="21"/>
      <c r="B143" s="22"/>
      <c r="C143" s="23"/>
      <c r="D143" s="24"/>
      <c r="E143" s="25"/>
      <c r="F143" s="26"/>
      <c r="G143" s="27"/>
      <c r="H143" s="28">
        <f>2.14</f>
        <v>2.14</v>
      </c>
      <c r="I143" s="29" t="s">
        <v>58</v>
      </c>
    </row>
    <row r="144" spans="1:9" s="12" customFormat="1">
      <c r="A144" s="21"/>
      <c r="B144" s="22"/>
      <c r="C144" s="23"/>
      <c r="D144" s="24"/>
      <c r="E144" s="25"/>
      <c r="F144" s="26"/>
      <c r="G144" s="27"/>
      <c r="H144" s="28"/>
      <c r="I144" s="29"/>
    </row>
    <row r="145" spans="1:9" s="12" customFormat="1">
      <c r="A145" s="21"/>
      <c r="B145" s="22"/>
      <c r="C145" s="23" t="s">
        <v>12</v>
      </c>
      <c r="D145" s="24">
        <f>4.3+13.92+77.4</f>
        <v>95.62</v>
      </c>
      <c r="E145" s="25" t="s">
        <v>50</v>
      </c>
      <c r="F145" s="26">
        <f>24</f>
        <v>24</v>
      </c>
      <c r="G145" s="27" t="s">
        <v>57</v>
      </c>
      <c r="H145" s="28">
        <f>585.18</f>
        <v>585.17999999999995</v>
      </c>
      <c r="I145" s="29" t="s">
        <v>16</v>
      </c>
    </row>
    <row r="146" spans="1:9" s="12" customFormat="1">
      <c r="A146" s="21"/>
      <c r="B146" s="22"/>
      <c r="C146" s="23"/>
      <c r="D146" s="24">
        <f>16.4+22.33</f>
        <v>38.729999999999997</v>
      </c>
      <c r="E146" s="25" t="s">
        <v>11</v>
      </c>
      <c r="F146" s="26"/>
      <c r="G146" s="27"/>
      <c r="H146" s="28">
        <f>248.37-248.37+248.37</f>
        <v>248.37</v>
      </c>
      <c r="I146" s="29" t="s">
        <v>8</v>
      </c>
    </row>
    <row r="147" spans="1:9" s="12" customFormat="1">
      <c r="A147" s="21"/>
      <c r="B147" s="22"/>
      <c r="C147" s="23"/>
      <c r="D147" s="24">
        <f>25</f>
        <v>25</v>
      </c>
      <c r="E147" s="25" t="s">
        <v>28</v>
      </c>
      <c r="F147" s="26"/>
      <c r="G147" s="27"/>
      <c r="H147" s="28">
        <f>59.4</f>
        <v>59.4</v>
      </c>
      <c r="I147" s="29" t="s">
        <v>58</v>
      </c>
    </row>
    <row r="148" spans="1:9" s="12" customFormat="1">
      <c r="A148" s="21"/>
      <c r="B148" s="22"/>
      <c r="C148" s="23"/>
      <c r="D148" s="24"/>
      <c r="E148" s="25"/>
      <c r="F148" s="26"/>
      <c r="G148" s="27"/>
      <c r="H148" s="28"/>
      <c r="I148" s="29"/>
    </row>
    <row r="149" spans="1:9" s="12" customFormat="1">
      <c r="A149" s="30" t="s">
        <v>5</v>
      </c>
      <c r="B149" s="21"/>
      <c r="C149" s="21"/>
      <c r="D149" s="31">
        <f>SUM(D137:D148)</f>
        <v>343.03000000000003</v>
      </c>
      <c r="E149" s="29"/>
      <c r="F149" s="32">
        <f>SUM(F137:F148)</f>
        <v>168.16</v>
      </c>
      <c r="G149" s="33"/>
      <c r="H149" s="34">
        <f>SUM(H137:H148)</f>
        <v>2577.79</v>
      </c>
      <c r="I149" s="35"/>
    </row>
    <row r="150" spans="1:9" s="12" customFormat="1" ht="13.5" thickBot="1">
      <c r="A150" s="36" t="s">
        <v>6</v>
      </c>
      <c r="B150" s="37">
        <f>SUM(D149+F149+H149)</f>
        <v>3088.98</v>
      </c>
      <c r="C150" s="38"/>
      <c r="D150" s="39"/>
      <c r="E150" s="40"/>
      <c r="F150" s="41"/>
      <c r="G150" s="42"/>
      <c r="H150" s="43"/>
      <c r="I150" s="44"/>
    </row>
    <row r="151" spans="1:9" s="12" customFormat="1">
      <c r="A151" s="13">
        <v>42087</v>
      </c>
      <c r="B151" s="14" t="s">
        <v>88</v>
      </c>
      <c r="C151" s="14" t="s">
        <v>7</v>
      </c>
      <c r="D151" s="15">
        <f>216</f>
        <v>216</v>
      </c>
      <c r="E151" s="16" t="s">
        <v>50</v>
      </c>
      <c r="F151" s="17"/>
      <c r="G151" s="18"/>
      <c r="H151" s="19"/>
      <c r="I151" s="20"/>
    </row>
    <row r="152" spans="1:9" s="12" customFormat="1">
      <c r="A152" s="21"/>
      <c r="B152" s="22" t="s">
        <v>153</v>
      </c>
      <c r="C152" s="23"/>
      <c r="D152" s="24"/>
      <c r="E152" s="25"/>
      <c r="F152" s="26"/>
      <c r="G152" s="27"/>
      <c r="H152" s="28"/>
      <c r="I152" s="29"/>
    </row>
    <row r="153" spans="1:9" s="12" customFormat="1">
      <c r="A153" s="30" t="s">
        <v>5</v>
      </c>
      <c r="B153" s="21"/>
      <c r="C153" s="21"/>
      <c r="D153" s="31">
        <f>SUM(D151:D152)</f>
        <v>216</v>
      </c>
      <c r="E153" s="29"/>
      <c r="F153" s="32">
        <f>SUM(F151:F152)</f>
        <v>0</v>
      </c>
      <c r="G153" s="33"/>
      <c r="H153" s="34">
        <f>SUM(H151:H152)</f>
        <v>0</v>
      </c>
      <c r="I153" s="35"/>
    </row>
    <row r="154" spans="1:9" s="12" customFormat="1" ht="13.5" thickBot="1">
      <c r="A154" s="36" t="s">
        <v>6</v>
      </c>
      <c r="B154" s="37">
        <f>SUM(D153+F153+H153)</f>
        <v>216</v>
      </c>
      <c r="C154" s="38"/>
      <c r="D154" s="39"/>
      <c r="E154" s="40"/>
      <c r="F154" s="41"/>
      <c r="G154" s="42"/>
      <c r="H154" s="43"/>
      <c r="I154" s="44"/>
    </row>
    <row r="155" spans="1:9" s="12" customFormat="1">
      <c r="A155" s="13" t="s">
        <v>139</v>
      </c>
      <c r="B155" s="14" t="s">
        <v>140</v>
      </c>
      <c r="C155" s="14" t="s">
        <v>141</v>
      </c>
      <c r="D155" s="15"/>
      <c r="E155" s="16" t="s">
        <v>50</v>
      </c>
      <c r="F155" s="17"/>
      <c r="G155" s="18"/>
      <c r="H155" s="19">
        <f>594.76</f>
        <v>594.76</v>
      </c>
      <c r="I155" s="20" t="s">
        <v>16</v>
      </c>
    </row>
    <row r="156" spans="1:9" s="12" customFormat="1">
      <c r="A156" s="21"/>
      <c r="B156" s="22" t="s">
        <v>94</v>
      </c>
      <c r="C156" s="23"/>
      <c r="D156" s="24"/>
      <c r="E156" s="25" t="s">
        <v>11</v>
      </c>
      <c r="F156" s="26"/>
      <c r="G156" s="27"/>
      <c r="H156" s="28">
        <f>536.67+536.67-536.67</f>
        <v>536.66999999999996</v>
      </c>
      <c r="I156" s="29" t="s">
        <v>8</v>
      </c>
    </row>
    <row r="157" spans="1:9" s="12" customFormat="1">
      <c r="A157" s="21"/>
      <c r="B157" s="22"/>
      <c r="C157" s="23"/>
      <c r="D157" s="24"/>
      <c r="E157" s="25"/>
      <c r="F157" s="26"/>
      <c r="G157" s="27"/>
      <c r="H157" s="28"/>
      <c r="I157" s="29"/>
    </row>
    <row r="158" spans="1:9" s="12" customFormat="1">
      <c r="A158" s="21"/>
      <c r="B158" s="22"/>
      <c r="C158" s="23" t="s">
        <v>142</v>
      </c>
      <c r="D158" s="24">
        <f>552.11</f>
        <v>552.11</v>
      </c>
      <c r="E158" s="25" t="s">
        <v>50</v>
      </c>
      <c r="F158" s="26"/>
      <c r="G158" s="27"/>
      <c r="H158" s="28">
        <f>594.76</f>
        <v>594.76</v>
      </c>
      <c r="I158" s="29" t="s">
        <v>16</v>
      </c>
    </row>
    <row r="159" spans="1:9" s="12" customFormat="1">
      <c r="A159" s="21"/>
      <c r="B159" s="22"/>
      <c r="C159" s="23"/>
      <c r="D159" s="24"/>
      <c r="E159" s="25"/>
      <c r="F159" s="26"/>
      <c r="G159" s="27"/>
      <c r="H159" s="28">
        <f>536.67</f>
        <v>536.66999999999996</v>
      </c>
      <c r="I159" s="29" t="s">
        <v>8</v>
      </c>
    </row>
    <row r="160" spans="1:9" s="12" customFormat="1">
      <c r="A160" s="21"/>
      <c r="B160" s="22"/>
      <c r="C160" s="23"/>
      <c r="D160" s="24"/>
      <c r="E160" s="25"/>
      <c r="F160" s="26"/>
      <c r="G160" s="27"/>
      <c r="H160" s="28"/>
      <c r="I160" s="29"/>
    </row>
    <row r="161" spans="1:9" s="12" customFormat="1">
      <c r="A161" s="21"/>
      <c r="B161" s="22"/>
      <c r="C161" s="23" t="s">
        <v>19</v>
      </c>
      <c r="D161" s="24">
        <f>156.47</f>
        <v>156.47</v>
      </c>
      <c r="E161" s="25" t="s">
        <v>50</v>
      </c>
      <c r="F161" s="26"/>
      <c r="G161" s="27"/>
      <c r="H161" s="28"/>
      <c r="I161" s="29"/>
    </row>
    <row r="162" spans="1:9" s="12" customFormat="1">
      <c r="A162" s="21"/>
      <c r="B162" s="22"/>
      <c r="C162" s="23"/>
      <c r="D162" s="24"/>
      <c r="E162" s="25"/>
      <c r="F162" s="26"/>
      <c r="G162" s="27"/>
      <c r="H162" s="28"/>
      <c r="I162" s="29"/>
    </row>
    <row r="163" spans="1:9" s="12" customFormat="1">
      <c r="A163" s="30" t="s">
        <v>5</v>
      </c>
      <c r="B163" s="21"/>
      <c r="C163" s="21"/>
      <c r="D163" s="31">
        <f>SUM(D155:D162)</f>
        <v>708.58</v>
      </c>
      <c r="E163" s="29"/>
      <c r="F163" s="32">
        <f>SUM(F155:F156)</f>
        <v>0</v>
      </c>
      <c r="G163" s="33"/>
      <c r="H163" s="34">
        <f>SUM(H155:H162)</f>
        <v>2262.8599999999997</v>
      </c>
      <c r="I163" s="35"/>
    </row>
    <row r="164" spans="1:9" s="12" customFormat="1" ht="13.5" thickBot="1">
      <c r="A164" s="36" t="s">
        <v>6</v>
      </c>
      <c r="B164" s="37">
        <f>SUM(D163+F163+H163)</f>
        <v>2971.4399999999996</v>
      </c>
      <c r="C164" s="38"/>
      <c r="D164" s="39"/>
      <c r="E164" s="40"/>
      <c r="F164" s="41"/>
      <c r="G164" s="42"/>
      <c r="H164" s="43"/>
      <c r="I164" s="44"/>
    </row>
    <row r="165" spans="1:9" s="12" customFormat="1">
      <c r="A165" s="13" t="s">
        <v>150</v>
      </c>
      <c r="B165" s="14" t="s">
        <v>14</v>
      </c>
      <c r="C165" s="14" t="s">
        <v>149</v>
      </c>
      <c r="D165" s="15">
        <f>15.1+11.22+39.43+12.94</f>
        <v>78.69</v>
      </c>
      <c r="E165" s="16" t="s">
        <v>50</v>
      </c>
      <c r="F165" s="17">
        <f>94.92</f>
        <v>94.92</v>
      </c>
      <c r="G165" s="18" t="s">
        <v>59</v>
      </c>
      <c r="H165" s="19">
        <f>611.74</f>
        <v>611.74</v>
      </c>
      <c r="I165" s="20" t="s">
        <v>16</v>
      </c>
    </row>
    <row r="166" spans="1:9" s="12" customFormat="1">
      <c r="A166" s="21"/>
      <c r="B166" s="22" t="s">
        <v>49</v>
      </c>
      <c r="C166" s="23"/>
      <c r="D166" s="24">
        <f>25</f>
        <v>25</v>
      </c>
      <c r="E166" s="25" t="s">
        <v>11</v>
      </c>
      <c r="F166" s="26">
        <v>1.6</v>
      </c>
      <c r="G166" s="27" t="s">
        <v>82</v>
      </c>
      <c r="H166" s="28">
        <f>283.16</f>
        <v>283.16000000000003</v>
      </c>
      <c r="I166" s="29" t="s">
        <v>8</v>
      </c>
    </row>
    <row r="167" spans="1:9" s="12" customFormat="1">
      <c r="A167" s="21"/>
      <c r="B167" s="22"/>
      <c r="C167" s="23"/>
      <c r="D167" s="24"/>
      <c r="E167" s="25"/>
      <c r="F167" s="26">
        <v>16</v>
      </c>
      <c r="G167" s="27" t="s">
        <v>68</v>
      </c>
      <c r="H167" s="28">
        <f>5.6</f>
        <v>5.6</v>
      </c>
      <c r="I167" s="29" t="s">
        <v>58</v>
      </c>
    </row>
    <row r="168" spans="1:9" s="12" customFormat="1">
      <c r="A168" s="21"/>
      <c r="B168" s="22"/>
      <c r="C168" s="23"/>
      <c r="D168" s="24"/>
      <c r="E168" s="25"/>
      <c r="F168" s="26"/>
      <c r="G168" s="27"/>
      <c r="H168" s="28"/>
      <c r="I168" s="29"/>
    </row>
    <row r="169" spans="1:9" s="12" customFormat="1">
      <c r="A169" s="21"/>
      <c r="B169" s="22"/>
      <c r="C169" s="23" t="s">
        <v>13</v>
      </c>
      <c r="D169" s="24">
        <f>18.2+14.22+6.39</f>
        <v>38.81</v>
      </c>
      <c r="E169" s="25" t="s">
        <v>50</v>
      </c>
      <c r="F169" s="26">
        <f>29.64</f>
        <v>29.64</v>
      </c>
      <c r="G169" s="27" t="s">
        <v>59</v>
      </c>
      <c r="H169" s="28">
        <f>342.66+400.96</f>
        <v>743.62</v>
      </c>
      <c r="I169" s="29" t="s">
        <v>16</v>
      </c>
    </row>
    <row r="170" spans="1:9" s="12" customFormat="1">
      <c r="A170" s="21"/>
      <c r="B170" s="22"/>
      <c r="C170" s="23"/>
      <c r="D170" s="24"/>
      <c r="E170" s="25"/>
      <c r="F170" s="26"/>
      <c r="G170" s="27"/>
      <c r="H170" s="28">
        <f>283.16</f>
        <v>283.16000000000003</v>
      </c>
      <c r="I170" s="29" t="s">
        <v>8</v>
      </c>
    </row>
    <row r="171" spans="1:9" s="12" customFormat="1">
      <c r="A171" s="21"/>
      <c r="B171" s="22"/>
      <c r="C171" s="23"/>
      <c r="D171" s="24"/>
      <c r="E171" s="25"/>
      <c r="F171" s="26"/>
      <c r="G171" s="27"/>
      <c r="H171" s="28">
        <f>150.84</f>
        <v>150.84</v>
      </c>
      <c r="I171" s="29" t="s">
        <v>58</v>
      </c>
    </row>
    <row r="172" spans="1:9" s="12" customFormat="1">
      <c r="A172" s="21"/>
      <c r="B172" s="22"/>
      <c r="C172" s="23"/>
      <c r="D172" s="24"/>
      <c r="E172" s="25"/>
      <c r="F172" s="26"/>
      <c r="G172" s="27"/>
      <c r="H172" s="28"/>
      <c r="I172" s="29"/>
    </row>
    <row r="173" spans="1:9" s="12" customFormat="1">
      <c r="A173" s="21"/>
      <c r="B173" s="22"/>
      <c r="C173" s="23" t="s">
        <v>12</v>
      </c>
      <c r="D173" s="24">
        <f>9.34+170.02</f>
        <v>179.36</v>
      </c>
      <c r="E173" s="25" t="s">
        <v>50</v>
      </c>
      <c r="F173" s="26">
        <f>12</f>
        <v>12</v>
      </c>
      <c r="G173" s="27" t="s">
        <v>57</v>
      </c>
      <c r="H173" s="28">
        <f>1120.72</f>
        <v>1120.72</v>
      </c>
      <c r="I173" s="29" t="s">
        <v>16</v>
      </c>
    </row>
    <row r="174" spans="1:9" s="12" customFormat="1">
      <c r="A174" s="21"/>
      <c r="B174" s="22"/>
      <c r="C174" s="23"/>
      <c r="D174" s="24">
        <f>7.6+82.55</f>
        <v>90.149999999999991</v>
      </c>
      <c r="E174" s="25" t="s">
        <v>11</v>
      </c>
      <c r="F174" s="26"/>
      <c r="G174" s="27"/>
      <c r="H174" s="28">
        <f>283.16</f>
        <v>283.16000000000003</v>
      </c>
      <c r="I174" s="29" t="s">
        <v>8</v>
      </c>
    </row>
    <row r="175" spans="1:9" s="12" customFormat="1">
      <c r="A175" s="21"/>
      <c r="B175" s="22"/>
      <c r="C175" s="23"/>
      <c r="D175" s="24"/>
      <c r="E175" s="25"/>
      <c r="F175" s="26"/>
      <c r="G175" s="27"/>
      <c r="H175" s="28">
        <f>90.57</f>
        <v>90.57</v>
      </c>
      <c r="I175" s="29" t="s">
        <v>58</v>
      </c>
    </row>
    <row r="176" spans="1:9" s="12" customFormat="1">
      <c r="A176" s="21"/>
      <c r="B176" s="22"/>
      <c r="C176" s="23"/>
      <c r="D176" s="24"/>
      <c r="E176" s="25"/>
      <c r="F176" s="26"/>
      <c r="G176" s="27"/>
      <c r="H176" s="28"/>
      <c r="I176" s="29"/>
    </row>
    <row r="177" spans="1:11" s="12" customFormat="1">
      <c r="A177" s="30" t="s">
        <v>5</v>
      </c>
      <c r="B177" s="21"/>
      <c r="C177" s="21"/>
      <c r="D177" s="31">
        <f>SUM(D165:D176)</f>
        <v>412.01</v>
      </c>
      <c r="E177" s="29"/>
      <c r="F177" s="32">
        <f>SUM(F165:F176)</f>
        <v>154.16</v>
      </c>
      <c r="G177" s="33"/>
      <c r="H177" s="34">
        <f>SUM(H165:H176)</f>
        <v>3572.57</v>
      </c>
      <c r="I177" s="35"/>
    </row>
    <row r="178" spans="1:11" s="12" customFormat="1" ht="13.5" thickBot="1">
      <c r="A178" s="36" t="s">
        <v>6</v>
      </c>
      <c r="B178" s="37">
        <f>SUM(D177+F177+H177)</f>
        <v>4138.74</v>
      </c>
      <c r="C178" s="38"/>
      <c r="D178" s="39"/>
      <c r="E178" s="40"/>
      <c r="F178" s="41"/>
      <c r="G178" s="42"/>
      <c r="H178" s="43"/>
      <c r="I178" s="44"/>
    </row>
    <row r="179" spans="1:11" ht="13.5" thickBot="1">
      <c r="J179" s="12"/>
      <c r="K179" s="46"/>
    </row>
    <row r="180" spans="1:11" ht="15.75">
      <c r="A180" s="2" t="s">
        <v>106</v>
      </c>
      <c r="B180" s="7">
        <f>SUM(B178,B150,B136,B80,B71,B46,B27)</f>
        <v>18216.919999999998</v>
      </c>
      <c r="J180" s="12"/>
      <c r="K180" s="46"/>
    </row>
    <row r="181" spans="1:11" ht="15.75">
      <c r="A181" s="3" t="s">
        <v>105</v>
      </c>
      <c r="B181" s="8">
        <f>SUM(B21)</f>
        <v>1894.94</v>
      </c>
      <c r="J181" s="12"/>
      <c r="K181" s="48"/>
    </row>
    <row r="182" spans="1:11" ht="15.75">
      <c r="A182" s="3" t="s">
        <v>107</v>
      </c>
      <c r="B182" s="8">
        <f>SUM(B14,B61,B131,B164,B84)</f>
        <v>35971.149999999994</v>
      </c>
      <c r="J182" s="12"/>
      <c r="K182" s="46"/>
    </row>
    <row r="183" spans="1:11" ht="16.5" thickBot="1">
      <c r="A183" s="4" t="s">
        <v>108</v>
      </c>
      <c r="B183" s="10">
        <f>SUM(B35,B75,B154)</f>
        <v>6343.27</v>
      </c>
    </row>
    <row r="184" spans="1:11" ht="16.5" thickBot="1">
      <c r="A184" s="5" t="s">
        <v>25</v>
      </c>
      <c r="B184" s="6">
        <f>SUM(B180:B183)</f>
        <v>62426.28</v>
      </c>
    </row>
    <row r="185" spans="1:11">
      <c r="B185" s="47">
        <f>B184-SUM(B14,B21,B27,B35,B46,B61,B71,B75,B80,B84,B131,B136,B150,B154,B164,B178)</f>
        <v>0</v>
      </c>
    </row>
  </sheetData>
  <mergeCells count="3"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7"/>
  <sheetViews>
    <sheetView topLeftCell="A118" workbookViewId="0">
      <selection activeCell="B137" sqref="B137"/>
    </sheetView>
  </sheetViews>
  <sheetFormatPr defaultRowHeight="12.75"/>
  <cols>
    <col min="1" max="1" width="31.7109375" style="45" bestFit="1" customWidth="1"/>
    <col min="2" max="2" width="35.5703125" style="45" bestFit="1" customWidth="1"/>
    <col min="3" max="3" width="19.140625" style="45" customWidth="1"/>
    <col min="4" max="4" width="18.28515625" style="45" customWidth="1"/>
    <col min="5" max="5" width="26.42578125" style="45" customWidth="1"/>
    <col min="6" max="6" width="15.7109375" style="45" customWidth="1"/>
    <col min="7" max="7" width="30.140625" style="45" customWidth="1"/>
    <col min="8" max="8" width="19.28515625" style="45" customWidth="1"/>
    <col min="9" max="9" width="33.28515625" style="45" customWidth="1"/>
    <col min="10" max="10" width="14.42578125" style="45" bestFit="1" customWidth="1"/>
    <col min="11" max="11" width="9.7109375" style="45" bestFit="1" customWidth="1"/>
    <col min="12" max="16384" width="9.140625" style="45"/>
  </cols>
  <sheetData>
    <row r="1" spans="1:9" s="12" customFormat="1" ht="13.5" thickBot="1">
      <c r="A1" s="11" t="s">
        <v>0</v>
      </c>
      <c r="B1" s="11" t="s">
        <v>1</v>
      </c>
      <c r="C1" s="11" t="s">
        <v>2</v>
      </c>
      <c r="D1" s="55" t="s">
        <v>3</v>
      </c>
      <c r="E1" s="56"/>
      <c r="F1" s="57" t="s">
        <v>30</v>
      </c>
      <c r="G1" s="58"/>
      <c r="H1" s="57" t="s">
        <v>31</v>
      </c>
      <c r="I1" s="58"/>
    </row>
    <row r="2" spans="1:9" s="12" customFormat="1">
      <c r="A2" s="13">
        <v>42095</v>
      </c>
      <c r="B2" s="14" t="s">
        <v>76</v>
      </c>
      <c r="C2" s="14" t="s">
        <v>9</v>
      </c>
      <c r="D2" s="15">
        <v>177.1</v>
      </c>
      <c r="E2" s="16" t="s">
        <v>28</v>
      </c>
      <c r="F2" s="17"/>
      <c r="G2" s="18"/>
      <c r="H2" s="19"/>
      <c r="I2" s="20"/>
    </row>
    <row r="3" spans="1:9" s="12" customFormat="1">
      <c r="A3" s="21"/>
      <c r="B3" s="22"/>
      <c r="C3" s="23"/>
      <c r="D3" s="24"/>
      <c r="E3" s="25"/>
      <c r="F3" s="26"/>
      <c r="G3" s="27"/>
      <c r="H3" s="28"/>
      <c r="I3" s="29"/>
    </row>
    <row r="4" spans="1:9" s="12" customFormat="1">
      <c r="A4" s="21"/>
      <c r="B4" s="22"/>
      <c r="C4" s="23" t="s">
        <v>13</v>
      </c>
      <c r="D4" s="24">
        <v>146.66999999999999</v>
      </c>
      <c r="E4" s="25" t="s">
        <v>28</v>
      </c>
      <c r="F4" s="26"/>
      <c r="G4" s="27"/>
      <c r="H4" s="28"/>
      <c r="I4" s="29"/>
    </row>
    <row r="5" spans="1:9" s="12" customFormat="1">
      <c r="A5" s="21"/>
      <c r="B5" s="22"/>
      <c r="C5" s="23"/>
      <c r="D5" s="24"/>
      <c r="E5" s="25"/>
      <c r="F5" s="26"/>
      <c r="G5" s="27"/>
      <c r="H5" s="28"/>
      <c r="I5" s="29"/>
    </row>
    <row r="6" spans="1:9" s="12" customFormat="1">
      <c r="A6" s="30" t="s">
        <v>5</v>
      </c>
      <c r="B6" s="21"/>
      <c r="C6" s="21"/>
      <c r="D6" s="31">
        <f>SUM(D2:D5)</f>
        <v>323.77</v>
      </c>
      <c r="E6" s="29"/>
      <c r="F6" s="32">
        <f>SUM(F2:F3)</f>
        <v>0</v>
      </c>
      <c r="G6" s="33"/>
      <c r="H6" s="34">
        <f>SUM(H2:H3)</f>
        <v>0</v>
      </c>
      <c r="I6" s="35"/>
    </row>
    <row r="7" spans="1:9" s="12" customFormat="1" ht="13.5" thickBot="1">
      <c r="A7" s="36" t="s">
        <v>6</v>
      </c>
      <c r="B7" s="37">
        <f>SUM(D6+F6+H6)</f>
        <v>323.77</v>
      </c>
      <c r="C7" s="38"/>
      <c r="D7" s="39"/>
      <c r="E7" s="40"/>
      <c r="F7" s="41"/>
      <c r="G7" s="42"/>
      <c r="H7" s="43"/>
      <c r="I7" s="44"/>
    </row>
    <row r="8" spans="1:9" s="12" customFormat="1">
      <c r="A8" s="13" t="s">
        <v>165</v>
      </c>
      <c r="B8" s="14" t="s">
        <v>88</v>
      </c>
      <c r="C8" s="14" t="s">
        <v>129</v>
      </c>
      <c r="D8" s="15">
        <f>74.2</f>
        <v>74.2</v>
      </c>
      <c r="E8" s="16" t="s">
        <v>50</v>
      </c>
      <c r="F8" s="17">
        <f>109.9</f>
        <v>109.9</v>
      </c>
      <c r="G8" s="18" t="s">
        <v>57</v>
      </c>
      <c r="H8" s="19">
        <f>441.46</f>
        <v>441.46</v>
      </c>
      <c r="I8" s="20" t="s">
        <v>16</v>
      </c>
    </row>
    <row r="9" spans="1:9" s="12" customFormat="1">
      <c r="A9" s="21"/>
      <c r="B9" s="22" t="s">
        <v>166</v>
      </c>
      <c r="C9" s="23"/>
      <c r="D9" s="24"/>
      <c r="E9" s="25"/>
      <c r="F9" s="26">
        <f>11.2</f>
        <v>11.2</v>
      </c>
      <c r="G9" s="27" t="s">
        <v>79</v>
      </c>
      <c r="H9" s="28">
        <f>205</f>
        <v>205</v>
      </c>
      <c r="I9" s="29" t="s">
        <v>8</v>
      </c>
    </row>
    <row r="10" spans="1:9" s="12" customFormat="1">
      <c r="A10" s="21"/>
      <c r="B10" s="22"/>
      <c r="C10" s="23"/>
      <c r="D10" s="24"/>
      <c r="E10" s="25"/>
      <c r="F10" s="26"/>
      <c r="G10" s="27"/>
      <c r="H10" s="28"/>
      <c r="I10" s="29"/>
    </row>
    <row r="11" spans="1:9" s="12" customFormat="1">
      <c r="A11" s="30" t="s">
        <v>5</v>
      </c>
      <c r="B11" s="21"/>
      <c r="C11" s="21"/>
      <c r="D11" s="31">
        <f>SUM(D8:D10)</f>
        <v>74.2</v>
      </c>
      <c r="E11" s="29"/>
      <c r="F11" s="32">
        <f>SUM(F8:F10)</f>
        <v>121.10000000000001</v>
      </c>
      <c r="G11" s="33"/>
      <c r="H11" s="34">
        <f>SUM(H8:H10)</f>
        <v>646.46</v>
      </c>
      <c r="I11" s="35"/>
    </row>
    <row r="12" spans="1:9" s="12" customFormat="1" ht="13.5" thickBot="1">
      <c r="A12" s="36" t="s">
        <v>6</v>
      </c>
      <c r="B12" s="37">
        <f>SUM(D11+F11+H11)</f>
        <v>841.76</v>
      </c>
      <c r="C12" s="38"/>
      <c r="D12" s="39"/>
      <c r="E12" s="40"/>
      <c r="F12" s="41"/>
      <c r="G12" s="42"/>
      <c r="H12" s="43"/>
      <c r="I12" s="44"/>
    </row>
    <row r="13" spans="1:9" s="12" customFormat="1">
      <c r="A13" s="13">
        <v>42097</v>
      </c>
      <c r="B13" s="14" t="s">
        <v>100</v>
      </c>
      <c r="C13" s="14" t="s">
        <v>158</v>
      </c>
      <c r="D13" s="15"/>
      <c r="E13" s="16"/>
      <c r="F13" s="17">
        <f>9.2*2</f>
        <v>18.399999999999999</v>
      </c>
      <c r="G13" s="18" t="s">
        <v>57</v>
      </c>
      <c r="H13" s="19"/>
      <c r="I13" s="20"/>
    </row>
    <row r="14" spans="1:9" s="12" customFormat="1">
      <c r="A14" s="21"/>
      <c r="B14" s="22" t="s">
        <v>157</v>
      </c>
      <c r="C14" s="23"/>
      <c r="D14" s="24"/>
      <c r="E14" s="25"/>
      <c r="F14" s="26"/>
      <c r="G14" s="27"/>
      <c r="H14" s="28"/>
      <c r="I14" s="29"/>
    </row>
    <row r="15" spans="1:9" s="12" customFormat="1">
      <c r="A15" s="30" t="s">
        <v>5</v>
      </c>
      <c r="B15" s="21"/>
      <c r="C15" s="21"/>
      <c r="D15" s="31">
        <f>SUM(D13:D14)</f>
        <v>0</v>
      </c>
      <c r="E15" s="29"/>
      <c r="F15" s="32">
        <f>SUM(F13:F14)</f>
        <v>18.399999999999999</v>
      </c>
      <c r="G15" s="33"/>
      <c r="H15" s="34">
        <f>SUM(H13:H14)</f>
        <v>0</v>
      </c>
      <c r="I15" s="35"/>
    </row>
    <row r="16" spans="1:9" s="12" customFormat="1" ht="13.5" thickBot="1">
      <c r="A16" s="36" t="s">
        <v>6</v>
      </c>
      <c r="B16" s="37">
        <f>SUM(D15+F15+H15)</f>
        <v>18.399999999999999</v>
      </c>
      <c r="C16" s="38"/>
      <c r="D16" s="39"/>
      <c r="E16" s="40"/>
      <c r="F16" s="41"/>
      <c r="G16" s="42"/>
      <c r="H16" s="43"/>
      <c r="I16" s="44"/>
    </row>
    <row r="17" spans="1:9" s="12" customFormat="1">
      <c r="A17" s="13">
        <v>42102</v>
      </c>
      <c r="B17" s="14" t="s">
        <v>186</v>
      </c>
      <c r="C17" s="14" t="s">
        <v>23</v>
      </c>
      <c r="D17" s="15">
        <f>12.5</f>
        <v>12.5</v>
      </c>
      <c r="E17" s="16" t="s">
        <v>50</v>
      </c>
      <c r="F17" s="17">
        <f>116+116</f>
        <v>232</v>
      </c>
      <c r="G17" s="18" t="s">
        <v>57</v>
      </c>
      <c r="H17" s="19"/>
      <c r="I17" s="20"/>
    </row>
    <row r="18" spans="1:9" s="51" customFormat="1">
      <c r="A18" s="49"/>
      <c r="B18" s="22" t="s">
        <v>187</v>
      </c>
      <c r="C18" s="23"/>
      <c r="D18" s="24">
        <f>22</f>
        <v>22</v>
      </c>
      <c r="E18" s="25" t="s">
        <v>11</v>
      </c>
      <c r="F18" s="26">
        <f>6</f>
        <v>6</v>
      </c>
      <c r="G18" s="27" t="s">
        <v>79</v>
      </c>
      <c r="H18" s="28"/>
      <c r="I18" s="50"/>
    </row>
    <row r="19" spans="1:9" s="12" customFormat="1">
      <c r="A19" s="49"/>
      <c r="B19" s="22"/>
      <c r="C19" s="23"/>
      <c r="D19" s="24"/>
      <c r="E19" s="25"/>
      <c r="F19" s="26"/>
      <c r="G19" s="27"/>
      <c r="H19" s="28"/>
      <c r="I19" s="29"/>
    </row>
    <row r="20" spans="1:9" s="12" customFormat="1">
      <c r="A20" s="21"/>
      <c r="B20" s="22"/>
      <c r="C20" s="23" t="s">
        <v>70</v>
      </c>
      <c r="D20" s="24"/>
      <c r="E20" s="25"/>
      <c r="F20" s="26">
        <f>116+116</f>
        <v>232</v>
      </c>
      <c r="G20" s="27" t="s">
        <v>57</v>
      </c>
      <c r="H20" s="28"/>
      <c r="I20" s="29"/>
    </row>
    <row r="21" spans="1:9" s="12" customFormat="1">
      <c r="A21" s="21"/>
      <c r="B21" s="22"/>
      <c r="C21" s="23"/>
      <c r="D21" s="24"/>
      <c r="E21" s="25"/>
      <c r="F21" s="26"/>
      <c r="G21" s="27"/>
      <c r="H21" s="28"/>
      <c r="I21" s="29"/>
    </row>
    <row r="22" spans="1:9" s="12" customFormat="1">
      <c r="A22" s="30" t="s">
        <v>5</v>
      </c>
      <c r="B22" s="21"/>
      <c r="C22" s="21"/>
      <c r="D22" s="31">
        <f>SUM(D17:D21)</f>
        <v>34.5</v>
      </c>
      <c r="E22" s="29"/>
      <c r="F22" s="32">
        <f>SUM(F17:F21)</f>
        <v>470</v>
      </c>
      <c r="G22" s="33"/>
      <c r="H22" s="34">
        <f>SUM(H17:H20)</f>
        <v>0</v>
      </c>
      <c r="I22" s="35"/>
    </row>
    <row r="23" spans="1:9" s="12" customFormat="1" ht="13.5" thickBot="1">
      <c r="A23" s="36" t="s">
        <v>6</v>
      </c>
      <c r="B23" s="37">
        <f>SUM(D22+F22+H22)</f>
        <v>504.5</v>
      </c>
      <c r="C23" s="38"/>
      <c r="D23" s="39"/>
      <c r="E23" s="40"/>
      <c r="F23" s="41"/>
      <c r="G23" s="42"/>
      <c r="H23" s="43"/>
      <c r="I23" s="44"/>
    </row>
    <row r="24" spans="1:9" s="12" customFormat="1">
      <c r="A24" s="13" t="s">
        <v>92</v>
      </c>
      <c r="B24" s="14" t="s">
        <v>93</v>
      </c>
      <c r="C24" s="14" t="s">
        <v>18</v>
      </c>
      <c r="D24" s="15">
        <f>1356.86</f>
        <v>1356.86</v>
      </c>
      <c r="E24" s="16" t="s">
        <v>50</v>
      </c>
      <c r="F24" s="17"/>
      <c r="G24" s="18"/>
      <c r="H24" s="19">
        <f>1842.72</f>
        <v>1842.72</v>
      </c>
      <c r="I24" s="20" t="s">
        <v>16</v>
      </c>
    </row>
    <row r="25" spans="1:9" s="12" customFormat="1">
      <c r="A25" s="21"/>
      <c r="B25" s="22" t="s">
        <v>94</v>
      </c>
      <c r="C25" s="23"/>
      <c r="D25" s="24">
        <f>72.59</f>
        <v>72.59</v>
      </c>
      <c r="E25" s="25" t="s">
        <v>11</v>
      </c>
      <c r="F25" s="26"/>
      <c r="G25" s="27"/>
      <c r="H25" s="28">
        <f>1024.21+1365.61-1024.21+2391.76-1365.61</f>
        <v>2391.7600000000002</v>
      </c>
      <c r="I25" s="29" t="s">
        <v>119</v>
      </c>
    </row>
    <row r="26" spans="1:9" s="12" customFormat="1">
      <c r="A26" s="21"/>
      <c r="B26" s="22"/>
      <c r="C26" s="23"/>
      <c r="D26" s="24"/>
      <c r="E26" s="25"/>
      <c r="F26" s="26"/>
      <c r="G26" s="27"/>
      <c r="H26" s="28">
        <f>320.96</f>
        <v>320.95999999999998</v>
      </c>
      <c r="I26" s="29" t="s">
        <v>58</v>
      </c>
    </row>
    <row r="27" spans="1:9" s="12" customFormat="1">
      <c r="A27" s="21"/>
      <c r="B27" s="22"/>
      <c r="C27" s="23"/>
      <c r="D27" s="24"/>
      <c r="E27" s="25"/>
      <c r="F27" s="26"/>
      <c r="G27" s="27"/>
      <c r="H27" s="28"/>
      <c r="I27" s="29"/>
    </row>
    <row r="28" spans="1:9" s="12" customFormat="1">
      <c r="A28" s="21"/>
      <c r="B28" s="22"/>
      <c r="C28" s="23" t="s">
        <v>23</v>
      </c>
      <c r="D28" s="24"/>
      <c r="E28" s="25"/>
      <c r="F28" s="26">
        <f>14.4</f>
        <v>14.4</v>
      </c>
      <c r="G28" s="27" t="s">
        <v>59</v>
      </c>
      <c r="H28" s="28">
        <f>1842.72</f>
        <v>1842.72</v>
      </c>
      <c r="I28" s="29" t="s">
        <v>16</v>
      </c>
    </row>
    <row r="29" spans="1:9" s="12" customFormat="1">
      <c r="A29" s="21"/>
      <c r="B29" s="22"/>
      <c r="C29" s="23"/>
      <c r="D29" s="24"/>
      <c r="E29" s="25"/>
      <c r="F29" s="26"/>
      <c r="G29" s="27"/>
      <c r="H29" s="28">
        <f>1024.21</f>
        <v>1024.21</v>
      </c>
      <c r="I29" s="29" t="s">
        <v>8</v>
      </c>
    </row>
    <row r="30" spans="1:9" s="12" customFormat="1">
      <c r="A30" s="21"/>
      <c r="B30" s="22"/>
      <c r="C30" s="23"/>
      <c r="D30" s="24"/>
      <c r="E30" s="25"/>
      <c r="F30" s="26"/>
      <c r="G30" s="27"/>
      <c r="H30" s="28">
        <f>193.96</f>
        <v>193.96</v>
      </c>
      <c r="I30" s="29" t="s">
        <v>58</v>
      </c>
    </row>
    <row r="31" spans="1:9" s="12" customFormat="1">
      <c r="A31" s="21"/>
      <c r="B31" s="22"/>
      <c r="C31" s="23"/>
      <c r="D31" s="24"/>
      <c r="E31" s="25"/>
      <c r="F31" s="26"/>
      <c r="G31" s="27"/>
      <c r="H31" s="28"/>
      <c r="I31" s="29"/>
    </row>
    <row r="32" spans="1:9" s="12" customFormat="1">
      <c r="A32" s="21"/>
      <c r="B32" s="22"/>
      <c r="C32" s="23" t="s">
        <v>41</v>
      </c>
      <c r="D32" s="24">
        <f>30.34+4.84</f>
        <v>35.18</v>
      </c>
      <c r="E32" s="25" t="s">
        <v>50</v>
      </c>
      <c r="F32" s="26">
        <v>9.9499999999999993</v>
      </c>
      <c r="G32" s="27" t="s">
        <v>59</v>
      </c>
      <c r="H32" s="28">
        <f>2001.1</f>
        <v>2001.1</v>
      </c>
      <c r="I32" s="29" t="s">
        <v>16</v>
      </c>
    </row>
    <row r="33" spans="1:9" s="12" customFormat="1">
      <c r="A33" s="21"/>
      <c r="B33" s="22"/>
      <c r="C33" s="23"/>
      <c r="D33" s="24">
        <f>35.04</f>
        <v>35.04</v>
      </c>
      <c r="E33" s="25" t="s">
        <v>11</v>
      </c>
      <c r="F33" s="26"/>
      <c r="G33" s="27"/>
      <c r="H33" s="28">
        <f>1052.61</f>
        <v>1052.6099999999999</v>
      </c>
      <c r="I33" s="29" t="s">
        <v>8</v>
      </c>
    </row>
    <row r="34" spans="1:9" s="12" customFormat="1">
      <c r="A34" s="21"/>
      <c r="B34" s="22"/>
      <c r="C34" s="23"/>
      <c r="D34" s="24"/>
      <c r="E34" s="25"/>
      <c r="F34" s="26"/>
      <c r="G34" s="27"/>
    </row>
    <row r="35" spans="1:9" s="12" customFormat="1">
      <c r="A35" s="21"/>
      <c r="B35" s="22"/>
      <c r="C35" s="23"/>
      <c r="D35" s="24"/>
      <c r="E35" s="25"/>
      <c r="F35" s="26"/>
      <c r="G35" s="27"/>
      <c r="H35" s="28"/>
      <c r="I35" s="29"/>
    </row>
    <row r="36" spans="1:9" s="12" customFormat="1">
      <c r="A36" s="21"/>
      <c r="B36" s="22"/>
      <c r="C36" s="23" t="s">
        <v>127</v>
      </c>
      <c r="D36" s="24">
        <f>13.98</f>
        <v>13.98</v>
      </c>
      <c r="E36" s="25" t="s">
        <v>50</v>
      </c>
      <c r="F36" s="26">
        <f>12.47</f>
        <v>12.47</v>
      </c>
      <c r="G36" s="27" t="s">
        <v>68</v>
      </c>
      <c r="H36" s="28"/>
      <c r="I36" s="29"/>
    </row>
    <row r="37" spans="1:9" s="12" customFormat="1">
      <c r="A37" s="21"/>
      <c r="B37" s="22"/>
      <c r="C37" s="23"/>
      <c r="D37" s="24">
        <f>37.45</f>
        <v>37.450000000000003</v>
      </c>
      <c r="E37" s="25" t="s">
        <v>11</v>
      </c>
      <c r="F37" s="26"/>
      <c r="G37" s="27"/>
      <c r="H37" s="28"/>
      <c r="I37" s="29"/>
    </row>
    <row r="38" spans="1:9" s="12" customFormat="1">
      <c r="A38" s="21"/>
      <c r="B38" s="22"/>
      <c r="C38" s="23"/>
      <c r="D38" s="24"/>
      <c r="E38" s="25"/>
      <c r="F38" s="26"/>
      <c r="G38" s="27"/>
      <c r="H38" s="28"/>
      <c r="I38" s="29"/>
    </row>
    <row r="39" spans="1:9" s="12" customFormat="1">
      <c r="A39" s="21"/>
      <c r="B39" s="22"/>
      <c r="C39" s="23" t="s">
        <v>19</v>
      </c>
      <c r="D39" s="24">
        <f>176.52</f>
        <v>176.52</v>
      </c>
      <c r="E39" s="25" t="s">
        <v>50</v>
      </c>
      <c r="F39" s="26"/>
      <c r="G39" s="27"/>
      <c r="H39" s="28"/>
      <c r="I39" s="29"/>
    </row>
    <row r="40" spans="1:9" s="12" customFormat="1">
      <c r="A40" s="21"/>
      <c r="B40" s="22"/>
      <c r="C40" s="23"/>
      <c r="D40" s="24">
        <f>41.61</f>
        <v>41.61</v>
      </c>
      <c r="E40" s="25" t="s">
        <v>69</v>
      </c>
      <c r="F40" s="26"/>
      <c r="G40" s="27"/>
      <c r="H40" s="28"/>
      <c r="I40" s="29"/>
    </row>
    <row r="41" spans="1:9" s="12" customFormat="1">
      <c r="A41" s="21"/>
      <c r="B41" s="22"/>
      <c r="C41" s="23"/>
      <c r="D41" s="24"/>
      <c r="E41" s="25"/>
      <c r="F41" s="26"/>
      <c r="G41" s="27"/>
      <c r="H41" s="28"/>
      <c r="I41" s="29"/>
    </row>
    <row r="42" spans="1:9" s="12" customFormat="1">
      <c r="A42" s="30" t="s">
        <v>5</v>
      </c>
      <c r="B42" s="21"/>
      <c r="C42" s="21"/>
      <c r="D42" s="31">
        <f>SUM(D24:D41)</f>
        <v>1769.2299999999998</v>
      </c>
      <c r="E42" s="29"/>
      <c r="F42" s="32">
        <f>SUM(F24:F41)</f>
        <v>36.82</v>
      </c>
      <c r="G42" s="33"/>
      <c r="H42" s="34">
        <f>SUM(H24:H41)</f>
        <v>10670.04</v>
      </c>
      <c r="I42" s="35"/>
    </row>
    <row r="43" spans="1:9" s="12" customFormat="1" ht="13.5" thickBot="1">
      <c r="A43" s="36" t="s">
        <v>6</v>
      </c>
      <c r="B43" s="37">
        <f>SUM(D42+F42+H42)</f>
        <v>12476.09</v>
      </c>
      <c r="C43" s="38"/>
      <c r="D43" s="39"/>
      <c r="E43" s="40"/>
      <c r="F43" s="41"/>
      <c r="G43" s="42"/>
      <c r="H43" s="43"/>
      <c r="I43" s="44"/>
    </row>
    <row r="44" spans="1:9" s="12" customFormat="1">
      <c r="A44" s="13" t="s">
        <v>122</v>
      </c>
      <c r="B44" s="14" t="s">
        <v>123</v>
      </c>
      <c r="C44" s="14" t="s">
        <v>22</v>
      </c>
      <c r="D44" s="15">
        <f>20.81+280.49</f>
        <v>301.3</v>
      </c>
      <c r="E44" s="16" t="s">
        <v>50</v>
      </c>
      <c r="F44" s="17"/>
      <c r="G44" s="18"/>
      <c r="H44" s="19">
        <f>1257.33-955.33+93+110.04+1484.42</f>
        <v>1989.46</v>
      </c>
      <c r="I44" s="20" t="s">
        <v>16</v>
      </c>
    </row>
    <row r="45" spans="1:9" s="12" customFormat="1">
      <c r="A45" s="21"/>
      <c r="B45" s="22" t="s">
        <v>124</v>
      </c>
      <c r="C45" s="23"/>
      <c r="D45" s="24">
        <f>402.32</f>
        <v>402.32</v>
      </c>
      <c r="E45" s="25" t="s">
        <v>11</v>
      </c>
      <c r="F45" s="26"/>
      <c r="G45" s="27"/>
      <c r="H45" s="28">
        <f>267+356-267+71.94</f>
        <v>427.94</v>
      </c>
      <c r="I45" s="29" t="s">
        <v>119</v>
      </c>
    </row>
    <row r="46" spans="1:9" s="12" customFormat="1">
      <c r="A46" s="21"/>
      <c r="B46" s="22"/>
      <c r="C46" s="23"/>
      <c r="D46" s="24">
        <f>24.04</f>
        <v>24.04</v>
      </c>
      <c r="E46" s="25" t="s">
        <v>69</v>
      </c>
      <c r="F46" s="26"/>
      <c r="G46" s="27"/>
      <c r="H46" s="28"/>
      <c r="I46" s="29"/>
    </row>
    <row r="47" spans="1:9" s="12" customFormat="1">
      <c r="A47" s="21"/>
      <c r="B47" s="22"/>
      <c r="C47" s="23"/>
      <c r="D47" s="24"/>
      <c r="E47" s="25"/>
      <c r="F47" s="26"/>
      <c r="G47" s="27"/>
      <c r="H47" s="28"/>
      <c r="I47" s="29"/>
    </row>
    <row r="48" spans="1:9" s="12" customFormat="1">
      <c r="A48" s="21"/>
      <c r="B48" s="22"/>
      <c r="C48" s="23" t="s">
        <v>7</v>
      </c>
      <c r="D48" s="24">
        <f>21.4+198.48</f>
        <v>219.88</v>
      </c>
      <c r="E48" s="25" t="s">
        <v>50</v>
      </c>
      <c r="F48" s="26">
        <f>18.06</f>
        <v>18.059999999999999</v>
      </c>
      <c r="G48" s="27" t="s">
        <v>59</v>
      </c>
      <c r="H48" s="28">
        <f>1203.12</f>
        <v>1203.1199999999999</v>
      </c>
      <c r="I48" s="29" t="s">
        <v>16</v>
      </c>
    </row>
    <row r="49" spans="1:9" s="12" customFormat="1">
      <c r="A49" s="21"/>
      <c r="B49" s="22"/>
      <c r="C49" s="23"/>
      <c r="D49" s="24">
        <f>218.31</f>
        <v>218.31</v>
      </c>
      <c r="E49" s="25" t="s">
        <v>11</v>
      </c>
      <c r="F49" s="26">
        <f>4.8</f>
        <v>4.8</v>
      </c>
      <c r="G49" s="27" t="s">
        <v>82</v>
      </c>
      <c r="H49" s="28">
        <f>445</f>
        <v>445</v>
      </c>
      <c r="I49" s="29" t="s">
        <v>8</v>
      </c>
    </row>
    <row r="50" spans="1:9" s="12" customFormat="1">
      <c r="A50" s="21"/>
      <c r="B50" s="22"/>
      <c r="C50" s="23"/>
      <c r="D50" s="24">
        <f>10</f>
        <v>10</v>
      </c>
      <c r="E50" s="25" t="s">
        <v>69</v>
      </c>
      <c r="F50" s="26">
        <f>29.9</f>
        <v>29.9</v>
      </c>
      <c r="G50" s="27" t="s">
        <v>68</v>
      </c>
      <c r="H50" s="28"/>
      <c r="I50" s="29"/>
    </row>
    <row r="51" spans="1:9" s="12" customFormat="1">
      <c r="A51" s="21"/>
      <c r="B51" s="22"/>
      <c r="C51" s="23"/>
      <c r="D51" s="24">
        <f>85.34</f>
        <v>85.34</v>
      </c>
      <c r="E51" s="25" t="s">
        <v>184</v>
      </c>
      <c r="F51" s="26"/>
      <c r="G51" s="27"/>
      <c r="H51" s="28"/>
      <c r="I51" s="29"/>
    </row>
    <row r="52" spans="1:9" s="12" customFormat="1">
      <c r="A52" s="21"/>
      <c r="B52" s="22"/>
      <c r="C52" s="23"/>
      <c r="D52" s="24"/>
      <c r="E52" s="25"/>
      <c r="F52" s="26"/>
      <c r="G52" s="27"/>
      <c r="H52" s="28"/>
      <c r="I52" s="29"/>
    </row>
    <row r="53" spans="1:9" s="12" customFormat="1">
      <c r="A53" s="21"/>
      <c r="B53" s="22"/>
      <c r="C53" s="23" t="s">
        <v>167</v>
      </c>
      <c r="D53" s="24">
        <f>491.77</f>
        <v>491.77</v>
      </c>
      <c r="E53" s="25" t="s">
        <v>185</v>
      </c>
      <c r="F53" s="26"/>
      <c r="G53" s="27"/>
      <c r="H53" s="28">
        <f>333.89</f>
        <v>333.89</v>
      </c>
      <c r="I53" s="29" t="s">
        <v>16</v>
      </c>
    </row>
    <row r="54" spans="1:9" s="12" customFormat="1">
      <c r="A54" s="21"/>
      <c r="B54" s="22"/>
      <c r="C54" s="23"/>
      <c r="D54" s="24"/>
      <c r="E54" s="25"/>
      <c r="F54" s="26"/>
      <c r="G54" s="27"/>
      <c r="H54" s="28">
        <f>252</f>
        <v>252</v>
      </c>
      <c r="I54" s="29" t="s">
        <v>8</v>
      </c>
    </row>
    <row r="55" spans="1:9" s="12" customFormat="1">
      <c r="A55" s="21"/>
      <c r="B55" s="22"/>
      <c r="C55" s="23"/>
      <c r="D55" s="24"/>
      <c r="E55" s="25"/>
      <c r="F55" s="26"/>
      <c r="G55" s="27"/>
      <c r="H55" s="28"/>
      <c r="I55" s="29"/>
    </row>
    <row r="56" spans="1:9" s="12" customFormat="1">
      <c r="A56" s="21"/>
      <c r="B56" s="22"/>
      <c r="C56" s="23" t="s">
        <v>4</v>
      </c>
      <c r="D56" s="24"/>
      <c r="E56" s="25"/>
      <c r="F56" s="26"/>
      <c r="G56" s="27"/>
      <c r="H56" s="28">
        <f>1435.58-1431.59</f>
        <v>3.9900000000000091</v>
      </c>
      <c r="I56" s="29" t="s">
        <v>16</v>
      </c>
    </row>
    <row r="57" spans="1:9" s="12" customFormat="1">
      <c r="A57" s="21"/>
      <c r="B57" s="22"/>
      <c r="C57" s="23" t="s">
        <v>45</v>
      </c>
      <c r="D57" s="24"/>
      <c r="E57" s="25"/>
      <c r="F57" s="26"/>
      <c r="G57" s="27"/>
      <c r="H57" s="28"/>
      <c r="I57" s="29" t="s">
        <v>8</v>
      </c>
    </row>
    <row r="58" spans="1:9" s="12" customFormat="1">
      <c r="A58" s="21"/>
      <c r="B58" s="22"/>
      <c r="C58" s="23"/>
      <c r="D58" s="24"/>
      <c r="E58" s="25"/>
      <c r="F58" s="26"/>
      <c r="G58" s="27"/>
      <c r="H58" s="28"/>
      <c r="I58" s="29"/>
    </row>
    <row r="59" spans="1:9" s="12" customFormat="1">
      <c r="A59" s="30" t="s">
        <v>5</v>
      </c>
      <c r="B59" s="21"/>
      <c r="C59" s="21"/>
      <c r="D59" s="31">
        <f>SUM(D44:D58)</f>
        <v>1752.9599999999998</v>
      </c>
      <c r="E59" s="29"/>
      <c r="F59" s="32">
        <f>SUM(F44:F58)</f>
        <v>52.76</v>
      </c>
      <c r="G59" s="33"/>
      <c r="H59" s="34">
        <f>SUM(H44:H58)</f>
        <v>4655.3999999999996</v>
      </c>
      <c r="I59" s="35"/>
    </row>
    <row r="60" spans="1:9" s="12" customFormat="1" ht="13.5" thickBot="1">
      <c r="A60" s="36" t="s">
        <v>6</v>
      </c>
      <c r="B60" s="37">
        <f>SUM(D59+F59+H59)</f>
        <v>6461.119999999999</v>
      </c>
      <c r="C60" s="38"/>
      <c r="D60" s="39"/>
      <c r="E60" s="40"/>
      <c r="F60" s="41"/>
      <c r="G60" s="42"/>
      <c r="H60" s="43"/>
      <c r="I60" s="44"/>
    </row>
    <row r="61" spans="1:9" s="12" customFormat="1">
      <c r="A61" s="13" t="s">
        <v>143</v>
      </c>
      <c r="B61" s="14" t="s">
        <v>140</v>
      </c>
      <c r="C61" s="14" t="s">
        <v>144</v>
      </c>
      <c r="D61" s="15">
        <v>164.87</v>
      </c>
      <c r="E61" s="16" t="s">
        <v>50</v>
      </c>
      <c r="F61" s="17"/>
      <c r="G61" s="18"/>
      <c r="H61" s="19">
        <f>921.4</f>
        <v>921.4</v>
      </c>
      <c r="I61" s="20" t="s">
        <v>16</v>
      </c>
    </row>
    <row r="62" spans="1:9" s="12" customFormat="1">
      <c r="A62" s="21"/>
      <c r="B62" s="22" t="s">
        <v>96</v>
      </c>
      <c r="C62" s="23"/>
      <c r="D62" s="24">
        <v>234.97</v>
      </c>
      <c r="E62" s="25" t="s">
        <v>11</v>
      </c>
      <c r="F62" s="26"/>
      <c r="G62" s="27"/>
      <c r="H62" s="28">
        <f>948.56</f>
        <v>948.56</v>
      </c>
      <c r="I62" s="29" t="s">
        <v>8</v>
      </c>
    </row>
    <row r="63" spans="1:9" s="12" customFormat="1">
      <c r="A63" s="21"/>
      <c r="B63" s="22"/>
      <c r="C63" s="23"/>
      <c r="D63" s="24"/>
      <c r="E63" s="25"/>
      <c r="F63" s="26"/>
      <c r="G63" s="27"/>
      <c r="H63" s="28">
        <v>47.3</v>
      </c>
      <c r="I63" s="29" t="s">
        <v>58</v>
      </c>
    </row>
    <row r="64" spans="1:9" s="12" customFormat="1">
      <c r="A64" s="21"/>
      <c r="B64" s="22"/>
      <c r="C64" s="23"/>
      <c r="D64" s="24"/>
      <c r="E64" s="25"/>
      <c r="F64" s="26"/>
      <c r="G64" s="27"/>
      <c r="H64" s="28"/>
      <c r="I64" s="29"/>
    </row>
    <row r="65" spans="1:9" s="12" customFormat="1">
      <c r="A65" s="21"/>
      <c r="B65" s="22"/>
      <c r="C65" s="23" t="s">
        <v>156</v>
      </c>
      <c r="D65" s="24">
        <v>49.61</v>
      </c>
      <c r="E65" s="25" t="s">
        <v>50</v>
      </c>
      <c r="F65" s="26"/>
      <c r="G65" s="27"/>
      <c r="H65" s="28">
        <f>922.23</f>
        <v>922.23</v>
      </c>
      <c r="I65" s="29" t="s">
        <v>16</v>
      </c>
    </row>
    <row r="66" spans="1:9" s="12" customFormat="1">
      <c r="A66" s="21"/>
      <c r="B66" s="22"/>
      <c r="C66" s="23"/>
      <c r="D66" s="24">
        <f>20.34</f>
        <v>20.34</v>
      </c>
      <c r="E66" s="25" t="s">
        <v>11</v>
      </c>
      <c r="F66" s="26"/>
      <c r="G66" s="27"/>
      <c r="H66" s="28">
        <f>948.56</f>
        <v>948.56</v>
      </c>
      <c r="I66" s="29" t="s">
        <v>8</v>
      </c>
    </row>
    <row r="67" spans="1:9" s="12" customFormat="1">
      <c r="A67" s="21"/>
      <c r="B67" s="22"/>
      <c r="C67" s="23"/>
      <c r="D67" s="24"/>
      <c r="E67" s="25"/>
      <c r="F67" s="26"/>
      <c r="G67" s="27"/>
      <c r="H67" s="28">
        <f>18</f>
        <v>18</v>
      </c>
      <c r="I67" s="29" t="s">
        <v>58</v>
      </c>
    </row>
    <row r="68" spans="1:9" s="12" customFormat="1">
      <c r="A68" s="21"/>
      <c r="B68" s="22"/>
      <c r="C68" s="23"/>
      <c r="D68" s="24"/>
      <c r="E68" s="25"/>
      <c r="F68" s="26"/>
      <c r="G68" s="27"/>
      <c r="H68" s="28"/>
      <c r="I68" s="29"/>
    </row>
    <row r="69" spans="1:9" s="12" customFormat="1">
      <c r="A69" s="30" t="s">
        <v>5</v>
      </c>
      <c r="B69" s="21"/>
      <c r="C69" s="21"/>
      <c r="D69" s="31">
        <f>SUM(D61:D68)</f>
        <v>469.79</v>
      </c>
      <c r="E69" s="29"/>
      <c r="F69" s="32">
        <f>SUM(F61:F62)</f>
        <v>0</v>
      </c>
      <c r="G69" s="33"/>
      <c r="H69" s="34">
        <f>SUM(H61:H68)</f>
        <v>3806.0499999999997</v>
      </c>
      <c r="I69" s="35"/>
    </row>
    <row r="70" spans="1:9" s="12" customFormat="1" ht="13.5" thickBot="1">
      <c r="A70" s="36" t="s">
        <v>6</v>
      </c>
      <c r="B70" s="37">
        <f>SUM(D69+F69+H69)</f>
        <v>4275.84</v>
      </c>
      <c r="C70" s="38"/>
      <c r="D70" s="39"/>
      <c r="E70" s="40"/>
      <c r="F70" s="41"/>
      <c r="G70" s="42"/>
      <c r="H70" s="43"/>
      <c r="I70" s="44"/>
    </row>
    <row r="71" spans="1:9" s="12" customFormat="1">
      <c r="A71" s="13" t="s">
        <v>168</v>
      </c>
      <c r="B71" s="14" t="s">
        <v>88</v>
      </c>
      <c r="C71" s="14" t="s">
        <v>129</v>
      </c>
      <c r="D71" s="15">
        <f>95.9</f>
        <v>95.9</v>
      </c>
      <c r="E71" s="16" t="s">
        <v>50</v>
      </c>
      <c r="F71" s="17"/>
      <c r="G71" s="18"/>
      <c r="H71" s="19">
        <f>5832.02+1507.98+753.23+5442.27-5832.02</f>
        <v>7703.48</v>
      </c>
      <c r="I71" s="20" t="s">
        <v>16</v>
      </c>
    </row>
    <row r="72" spans="1:9" s="12" customFormat="1">
      <c r="A72" s="21"/>
      <c r="B72" s="22" t="s">
        <v>169</v>
      </c>
      <c r="C72" s="23"/>
      <c r="D72" s="24">
        <f>37.33</f>
        <v>37.33</v>
      </c>
      <c r="E72" s="25" t="s">
        <v>11</v>
      </c>
      <c r="F72" s="26"/>
      <c r="G72" s="27"/>
      <c r="H72" s="28">
        <f>250+517.98</f>
        <v>767.98</v>
      </c>
      <c r="I72" s="29" t="s">
        <v>8</v>
      </c>
    </row>
    <row r="73" spans="1:9" s="12" customFormat="1">
      <c r="A73" s="21"/>
      <c r="B73" s="22"/>
      <c r="C73" s="23"/>
      <c r="D73" s="24"/>
      <c r="E73" s="25"/>
      <c r="F73" s="26"/>
      <c r="G73" s="27"/>
      <c r="H73" s="28"/>
      <c r="I73" s="29"/>
    </row>
    <row r="74" spans="1:9" s="12" customFormat="1">
      <c r="A74" s="21" t="s">
        <v>172</v>
      </c>
      <c r="B74" s="22"/>
      <c r="C74" s="23" t="s">
        <v>22</v>
      </c>
      <c r="D74" s="24">
        <f>22.28+5.73</f>
        <v>28.01</v>
      </c>
      <c r="E74" s="25" t="s">
        <v>50</v>
      </c>
      <c r="F74" s="26"/>
      <c r="G74" s="27"/>
      <c r="H74" s="28">
        <f>1093.18</f>
        <v>1093.18</v>
      </c>
      <c r="I74" s="29" t="s">
        <v>16</v>
      </c>
    </row>
    <row r="75" spans="1:9" s="12" customFormat="1">
      <c r="A75" s="21"/>
      <c r="B75" s="22"/>
      <c r="C75" s="23"/>
      <c r="D75" s="24">
        <f>99.78+55.98+6.7</f>
        <v>162.45999999999998</v>
      </c>
      <c r="E75" s="25" t="s">
        <v>11</v>
      </c>
      <c r="F75" s="26"/>
      <c r="G75" s="27"/>
      <c r="H75" s="28"/>
      <c r="I75" s="29"/>
    </row>
    <row r="76" spans="1:9" s="12" customFormat="1">
      <c r="A76" s="21"/>
      <c r="B76" s="22"/>
      <c r="C76" s="23"/>
      <c r="D76" s="24"/>
      <c r="E76" s="25"/>
      <c r="F76" s="26"/>
      <c r="G76" s="27"/>
      <c r="H76" s="28"/>
      <c r="I76" s="29"/>
    </row>
    <row r="77" spans="1:9" s="12" customFormat="1">
      <c r="A77" s="30" t="s">
        <v>5</v>
      </c>
      <c r="B77" s="21"/>
      <c r="C77" s="21"/>
      <c r="D77" s="31">
        <f>SUM(D71:D76)</f>
        <v>323.7</v>
      </c>
      <c r="E77" s="29"/>
      <c r="F77" s="32">
        <f>SUM(F71:F72)</f>
        <v>0</v>
      </c>
      <c r="G77" s="33"/>
      <c r="H77" s="34">
        <f>SUM(H71:H76)</f>
        <v>9564.64</v>
      </c>
      <c r="I77" s="35"/>
    </row>
    <row r="78" spans="1:9" s="12" customFormat="1" ht="13.5" thickBot="1">
      <c r="A78" s="36" t="s">
        <v>6</v>
      </c>
      <c r="B78" s="37">
        <f>SUM(D77+F77+H77)</f>
        <v>9888.34</v>
      </c>
      <c r="C78" s="38"/>
      <c r="D78" s="39"/>
      <c r="E78" s="40"/>
      <c r="F78" s="41"/>
      <c r="G78" s="42"/>
      <c r="H78" s="43"/>
      <c r="I78" s="44"/>
    </row>
    <row r="79" spans="1:9" s="12" customFormat="1">
      <c r="A79" s="13" t="s">
        <v>173</v>
      </c>
      <c r="B79" s="14" t="s">
        <v>14</v>
      </c>
      <c r="C79" s="14" t="s">
        <v>12</v>
      </c>
      <c r="D79" s="15">
        <f>17.8+5.79+96.01</f>
        <v>119.60000000000001</v>
      </c>
      <c r="E79" s="16" t="s">
        <v>50</v>
      </c>
      <c r="F79" s="17">
        <f>24</f>
        <v>24</v>
      </c>
      <c r="G79" s="18" t="s">
        <v>57</v>
      </c>
      <c r="H79" s="19">
        <f>255.69+373.77-373.77+456.61</f>
        <v>712.30000000000007</v>
      </c>
      <c r="I79" s="20" t="s">
        <v>16</v>
      </c>
    </row>
    <row r="80" spans="1:9" s="12" customFormat="1">
      <c r="A80" s="21"/>
      <c r="B80" s="22" t="s">
        <v>174</v>
      </c>
      <c r="C80" s="23"/>
      <c r="D80" s="24">
        <f>26.8+77.39+13.2</f>
        <v>117.39</v>
      </c>
      <c r="E80" s="25" t="s">
        <v>11</v>
      </c>
      <c r="F80" s="26"/>
      <c r="G80" s="27"/>
      <c r="H80" s="28">
        <f>272</f>
        <v>272</v>
      </c>
      <c r="I80" s="29" t="s">
        <v>8</v>
      </c>
    </row>
    <row r="81" spans="1:9" s="12" customFormat="1">
      <c r="A81" s="21"/>
      <c r="B81" s="22"/>
      <c r="C81" s="23"/>
      <c r="D81" s="24"/>
      <c r="E81" s="25"/>
      <c r="F81" s="26"/>
      <c r="G81" s="27"/>
      <c r="H81" s="28">
        <f>14.37</f>
        <v>14.37</v>
      </c>
      <c r="I81" s="29" t="s">
        <v>58</v>
      </c>
    </row>
    <row r="82" spans="1:9" s="12" customFormat="1">
      <c r="A82" s="21"/>
      <c r="B82" s="22"/>
      <c r="C82" s="23"/>
      <c r="D82" s="24"/>
      <c r="E82" s="25"/>
      <c r="F82" s="26"/>
      <c r="G82" s="27"/>
      <c r="H82" s="28"/>
      <c r="I82" s="29"/>
    </row>
    <row r="83" spans="1:9" s="12" customFormat="1">
      <c r="A83" s="21"/>
      <c r="B83" s="22"/>
      <c r="C83" s="23" t="s">
        <v>149</v>
      </c>
      <c r="D83" s="24">
        <f>2.6+13.56</f>
        <v>16.16</v>
      </c>
      <c r="E83" s="25" t="s">
        <v>50</v>
      </c>
      <c r="F83" s="26">
        <f>102.83</f>
        <v>102.83</v>
      </c>
      <c r="G83" s="27" t="s">
        <v>59</v>
      </c>
      <c r="H83" s="28">
        <f>255.69+373.77-373.77</f>
        <v>255.69000000000005</v>
      </c>
      <c r="I83" s="29" t="s">
        <v>16</v>
      </c>
    </row>
    <row r="84" spans="1:9" s="12" customFormat="1">
      <c r="A84" s="21"/>
      <c r="B84" s="22"/>
      <c r="C84" s="23"/>
      <c r="D84" s="24">
        <f>45</f>
        <v>45</v>
      </c>
      <c r="E84" s="25" t="s">
        <v>11</v>
      </c>
      <c r="F84" s="26">
        <f>1.6</f>
        <v>1.6</v>
      </c>
      <c r="G84" s="27" t="s">
        <v>82</v>
      </c>
      <c r="H84" s="28">
        <f>272</f>
        <v>272</v>
      </c>
      <c r="I84" s="29" t="s">
        <v>8</v>
      </c>
    </row>
    <row r="85" spans="1:9" s="12" customFormat="1">
      <c r="A85" s="21"/>
      <c r="B85" s="22"/>
      <c r="C85" s="23"/>
      <c r="D85" s="24"/>
      <c r="E85" s="25"/>
      <c r="F85" s="26">
        <v>16</v>
      </c>
      <c r="G85" s="27" t="s">
        <v>68</v>
      </c>
      <c r="H85" s="28">
        <f>20.3</f>
        <v>20.3</v>
      </c>
      <c r="I85" s="29" t="s">
        <v>58</v>
      </c>
    </row>
    <row r="86" spans="1:9" s="12" customFormat="1">
      <c r="A86" s="21"/>
      <c r="B86" s="22"/>
      <c r="C86" s="23"/>
      <c r="D86" s="24"/>
      <c r="E86" s="25"/>
      <c r="F86" s="26">
        <v>12</v>
      </c>
      <c r="G86" s="27" t="s">
        <v>57</v>
      </c>
      <c r="H86" s="28"/>
      <c r="I86" s="29"/>
    </row>
    <row r="87" spans="1:9" s="12" customFormat="1">
      <c r="A87" s="21"/>
      <c r="B87" s="22"/>
      <c r="C87" s="23"/>
      <c r="D87" s="24"/>
      <c r="E87" s="25"/>
      <c r="F87" s="26"/>
      <c r="G87" s="27"/>
      <c r="H87" s="28"/>
      <c r="I87" s="29"/>
    </row>
    <row r="88" spans="1:9" s="12" customFormat="1">
      <c r="A88" s="21"/>
      <c r="B88" s="22"/>
      <c r="C88" s="23" t="s">
        <v>9</v>
      </c>
      <c r="D88" s="24">
        <f>14.4+38.7+152.83</f>
        <v>205.93</v>
      </c>
      <c r="E88" s="25" t="s">
        <v>50</v>
      </c>
      <c r="F88" s="26"/>
      <c r="G88" s="27"/>
      <c r="H88" s="28">
        <f>255.69+456.61</f>
        <v>712.3</v>
      </c>
      <c r="I88" s="29" t="s">
        <v>16</v>
      </c>
    </row>
    <row r="89" spans="1:9" s="12" customFormat="1">
      <c r="A89" s="21"/>
      <c r="B89" s="22"/>
      <c r="C89" s="23"/>
      <c r="D89" s="24">
        <f>90+28.2</f>
        <v>118.2</v>
      </c>
      <c r="E89" s="25" t="s">
        <v>11</v>
      </c>
      <c r="F89" s="26"/>
      <c r="G89" s="27"/>
      <c r="H89" s="28">
        <f>272</f>
        <v>272</v>
      </c>
      <c r="I89" s="29" t="s">
        <v>8</v>
      </c>
    </row>
    <row r="90" spans="1:9" s="12" customFormat="1">
      <c r="A90" s="21"/>
      <c r="B90" s="22"/>
      <c r="C90" s="23"/>
      <c r="D90" s="24"/>
      <c r="E90" s="25"/>
      <c r="F90" s="26"/>
      <c r="G90" s="27"/>
      <c r="H90" s="28">
        <f>45.66</f>
        <v>45.66</v>
      </c>
      <c r="I90" s="29" t="s">
        <v>58</v>
      </c>
    </row>
    <row r="91" spans="1:9" s="12" customFormat="1">
      <c r="A91" s="21"/>
      <c r="B91" s="22"/>
      <c r="C91" s="23"/>
      <c r="D91" s="24"/>
      <c r="E91" s="25"/>
      <c r="F91" s="26"/>
      <c r="G91" s="27"/>
      <c r="H91" s="28"/>
      <c r="I91" s="29"/>
    </row>
    <row r="92" spans="1:9" s="12" customFormat="1">
      <c r="A92" s="30" t="s">
        <v>5</v>
      </c>
      <c r="B92" s="21"/>
      <c r="C92" s="21"/>
      <c r="D92" s="31">
        <f>SUM(D79:D91)</f>
        <v>622.28</v>
      </c>
      <c r="E92" s="29"/>
      <c r="F92" s="32">
        <f>SUM(F79:F91)</f>
        <v>156.43</v>
      </c>
      <c r="G92" s="33"/>
      <c r="H92" s="34">
        <f>SUM(H79:H91)</f>
        <v>2576.62</v>
      </c>
      <c r="I92" s="35"/>
    </row>
    <row r="93" spans="1:9" s="12" customFormat="1" ht="13.5" thickBot="1">
      <c r="A93" s="36" t="s">
        <v>6</v>
      </c>
      <c r="B93" s="37">
        <f>SUM(D92+F92+H92)</f>
        <v>3355.33</v>
      </c>
      <c r="C93" s="38"/>
      <c r="D93" s="39"/>
      <c r="E93" s="40"/>
      <c r="F93" s="41"/>
      <c r="G93" s="42"/>
      <c r="H93" s="43"/>
      <c r="I93" s="44"/>
    </row>
    <row r="94" spans="1:9" s="12" customFormat="1">
      <c r="A94" s="13" t="s">
        <v>181</v>
      </c>
      <c r="B94" s="14" t="s">
        <v>182</v>
      </c>
      <c r="C94" s="14" t="s">
        <v>72</v>
      </c>
      <c r="D94" s="15">
        <f>11.65+84.61</f>
        <v>96.26</v>
      </c>
      <c r="E94" s="16" t="s">
        <v>50</v>
      </c>
      <c r="F94" s="17">
        <f>64.32</f>
        <v>64.319999999999993</v>
      </c>
      <c r="G94" s="18" t="s">
        <v>59</v>
      </c>
      <c r="H94" s="19">
        <v>1062.96</v>
      </c>
      <c r="I94" s="20" t="s">
        <v>16</v>
      </c>
    </row>
    <row r="95" spans="1:9" s="12" customFormat="1">
      <c r="A95" s="21"/>
      <c r="B95" s="22" t="s">
        <v>183</v>
      </c>
      <c r="C95" s="23"/>
      <c r="D95" s="24">
        <f>206.5</f>
        <v>206.5</v>
      </c>
      <c r="E95" s="25" t="s">
        <v>11</v>
      </c>
      <c r="F95" s="26">
        <f>2.2</f>
        <v>2.2000000000000002</v>
      </c>
      <c r="G95" s="27" t="s">
        <v>82</v>
      </c>
      <c r="H95" s="28"/>
      <c r="I95" s="29" t="s">
        <v>8</v>
      </c>
    </row>
    <row r="96" spans="1:9" s="12" customFormat="1">
      <c r="A96" s="21"/>
      <c r="B96" s="22"/>
      <c r="C96" s="23"/>
      <c r="D96" s="24"/>
      <c r="E96" s="25"/>
      <c r="F96" s="26">
        <f>79</f>
        <v>79</v>
      </c>
      <c r="G96" s="27" t="s">
        <v>68</v>
      </c>
      <c r="H96" s="28">
        <f>149.39</f>
        <v>149.38999999999999</v>
      </c>
      <c r="I96" s="29" t="s">
        <v>58</v>
      </c>
    </row>
    <row r="97" spans="1:9" s="12" customFormat="1">
      <c r="A97" s="21"/>
      <c r="B97" s="22"/>
      <c r="C97" s="23"/>
      <c r="D97" s="24"/>
      <c r="E97" s="25"/>
      <c r="F97" s="26"/>
      <c r="G97" s="27"/>
      <c r="H97" s="28"/>
      <c r="I97" s="29"/>
    </row>
    <row r="98" spans="1:9" s="12" customFormat="1">
      <c r="A98" s="21"/>
      <c r="B98" s="22"/>
      <c r="C98" s="23" t="s">
        <v>127</v>
      </c>
      <c r="D98" s="24">
        <f>5.74+84.51</f>
        <v>90.25</v>
      </c>
      <c r="E98" s="25" t="s">
        <v>50</v>
      </c>
      <c r="F98" s="26"/>
      <c r="G98" s="27"/>
      <c r="H98" s="28">
        <f>H101</f>
        <v>744.40499999999997</v>
      </c>
      <c r="I98" s="29" t="s">
        <v>189</v>
      </c>
    </row>
    <row r="99" spans="1:9" s="12" customFormat="1">
      <c r="A99" s="21"/>
      <c r="B99" s="22"/>
      <c r="C99" s="23"/>
      <c r="D99" s="24">
        <f>28.75+105.94</f>
        <v>134.69</v>
      </c>
      <c r="E99" s="25" t="s">
        <v>11</v>
      </c>
      <c r="F99" s="26"/>
      <c r="G99" s="27"/>
      <c r="H99" s="28">
        <f>428.8</f>
        <v>428.8</v>
      </c>
      <c r="I99" s="29" t="s">
        <v>8</v>
      </c>
    </row>
    <row r="100" spans="1:9" s="12" customFormat="1">
      <c r="A100" s="21"/>
      <c r="B100" s="22"/>
      <c r="C100" s="23"/>
      <c r="D100" s="24"/>
      <c r="E100" s="25"/>
      <c r="F100" s="26"/>
      <c r="G100" s="27"/>
      <c r="H100" s="28"/>
      <c r="I100" s="29"/>
    </row>
    <row r="101" spans="1:9" s="12" customFormat="1">
      <c r="A101" s="21"/>
      <c r="B101" s="22"/>
      <c r="C101" s="23" t="s">
        <v>19</v>
      </c>
      <c r="D101" s="24">
        <f>47.5+407.07</f>
        <v>454.57</v>
      </c>
      <c r="E101" s="25" t="s">
        <v>50</v>
      </c>
      <c r="F101" s="26"/>
      <c r="G101" s="27"/>
      <c r="H101" s="28">
        <f>(830.95/2)+(657.86/2)</f>
        <v>744.40499999999997</v>
      </c>
      <c r="I101" s="29" t="s">
        <v>188</v>
      </c>
    </row>
    <row r="102" spans="1:9" s="12" customFormat="1">
      <c r="A102" s="21"/>
      <c r="B102" s="22"/>
      <c r="C102" s="23"/>
      <c r="D102" s="24">
        <f>86.41+115.32</f>
        <v>201.73</v>
      </c>
      <c r="E102" s="25" t="s">
        <v>11</v>
      </c>
      <c r="F102" s="26"/>
      <c r="G102" s="27"/>
      <c r="H102" s="28"/>
      <c r="I102" s="29"/>
    </row>
    <row r="103" spans="1:9" s="12" customFormat="1">
      <c r="A103" s="21"/>
      <c r="B103" s="22"/>
      <c r="C103" s="23"/>
      <c r="D103" s="24"/>
      <c r="E103" s="25"/>
      <c r="F103" s="26"/>
      <c r="G103" s="27"/>
      <c r="H103" s="28">
        <v>79.56</v>
      </c>
      <c r="I103" s="29" t="s">
        <v>58</v>
      </c>
    </row>
    <row r="104" spans="1:9" s="12" customFormat="1">
      <c r="A104" s="21"/>
      <c r="B104" s="22"/>
      <c r="C104" s="23"/>
      <c r="D104" s="24"/>
      <c r="E104" s="25"/>
      <c r="F104" s="26"/>
      <c r="G104" s="27"/>
      <c r="H104" s="28"/>
      <c r="I104" s="29"/>
    </row>
    <row r="105" spans="1:9" s="12" customFormat="1">
      <c r="A105" s="30" t="s">
        <v>5</v>
      </c>
      <c r="B105" s="21"/>
      <c r="C105" s="21"/>
      <c r="D105" s="31">
        <f>SUM(D94:D104)</f>
        <v>1184</v>
      </c>
      <c r="E105" s="29"/>
      <c r="F105" s="32">
        <f>SUM(F94:F104)</f>
        <v>145.51999999999998</v>
      </c>
      <c r="G105" s="33"/>
      <c r="H105" s="34">
        <f>SUM(H94:H104)</f>
        <v>3209.52</v>
      </c>
      <c r="I105" s="35"/>
    </row>
    <row r="106" spans="1:9" s="12" customFormat="1" ht="13.5" thickBot="1">
      <c r="A106" s="36" t="s">
        <v>6</v>
      </c>
      <c r="B106" s="37">
        <f>SUM(D105+F105+H105)</f>
        <v>4539.04</v>
      </c>
      <c r="C106" s="38"/>
      <c r="D106" s="39"/>
      <c r="E106" s="40"/>
      <c r="F106" s="41"/>
      <c r="G106" s="42"/>
      <c r="H106" s="43"/>
      <c r="I106" s="44"/>
    </row>
    <row r="107" spans="1:9" s="12" customFormat="1">
      <c r="A107" s="13" t="s">
        <v>164</v>
      </c>
      <c r="B107" s="14" t="s">
        <v>177</v>
      </c>
      <c r="C107" s="14" t="s">
        <v>22</v>
      </c>
      <c r="D107" s="15"/>
      <c r="E107" s="16"/>
      <c r="F107" s="17"/>
      <c r="G107" s="18"/>
      <c r="H107" s="19">
        <f>908.48</f>
        <v>908.48</v>
      </c>
      <c r="I107" s="20" t="s">
        <v>16</v>
      </c>
    </row>
    <row r="108" spans="1:9" s="12" customFormat="1">
      <c r="A108" s="21"/>
      <c r="B108" s="22" t="s">
        <v>65</v>
      </c>
      <c r="C108" s="23"/>
      <c r="D108" s="24"/>
      <c r="E108" s="25"/>
      <c r="F108" s="26"/>
      <c r="G108" s="27"/>
      <c r="H108" s="28"/>
      <c r="I108" s="29" t="s">
        <v>8</v>
      </c>
    </row>
    <row r="109" spans="1:9" s="12" customFormat="1">
      <c r="A109" s="21"/>
      <c r="B109" s="22"/>
      <c r="C109" s="23"/>
      <c r="D109" s="24"/>
      <c r="E109" s="25"/>
      <c r="F109" s="26"/>
      <c r="G109" s="27"/>
      <c r="H109" s="28"/>
      <c r="I109" s="29"/>
    </row>
    <row r="110" spans="1:9" s="12" customFormat="1">
      <c r="A110" s="21"/>
      <c r="B110" s="22"/>
      <c r="C110" s="23" t="s">
        <v>21</v>
      </c>
      <c r="D110" s="24">
        <f>44.22</f>
        <v>44.22</v>
      </c>
      <c r="E110" s="25" t="s">
        <v>11</v>
      </c>
      <c r="F110" s="26"/>
      <c r="G110" s="27"/>
      <c r="H110" s="28"/>
      <c r="I110" s="29"/>
    </row>
    <row r="111" spans="1:9" s="12" customFormat="1">
      <c r="A111" s="21"/>
      <c r="B111" s="22"/>
      <c r="C111" s="23"/>
      <c r="D111" s="24"/>
      <c r="E111" s="25"/>
      <c r="F111" s="26"/>
      <c r="G111" s="27"/>
      <c r="H111" s="28"/>
      <c r="I111" s="29"/>
    </row>
    <row r="112" spans="1:9" s="12" customFormat="1">
      <c r="A112" s="21"/>
      <c r="B112" s="22"/>
      <c r="C112" s="23" t="s">
        <v>129</v>
      </c>
      <c r="D112" s="24">
        <v>178.49</v>
      </c>
      <c r="E112" s="25" t="s">
        <v>50</v>
      </c>
      <c r="F112" s="26"/>
      <c r="G112" s="27"/>
      <c r="H112" s="28"/>
      <c r="I112" s="29"/>
    </row>
    <row r="113" spans="1:9" s="12" customFormat="1">
      <c r="A113" s="21"/>
      <c r="B113" s="22"/>
      <c r="C113" s="23"/>
      <c r="D113" s="24">
        <f>16.21</f>
        <v>16.21</v>
      </c>
      <c r="E113" s="25" t="s">
        <v>11</v>
      </c>
      <c r="F113" s="26"/>
      <c r="G113" s="27"/>
      <c r="H113" s="28"/>
      <c r="I113" s="29"/>
    </row>
    <row r="114" spans="1:9" s="12" customFormat="1">
      <c r="A114" s="21"/>
      <c r="B114" s="22"/>
      <c r="C114" s="23"/>
      <c r="D114" s="24"/>
      <c r="E114" s="25"/>
      <c r="F114" s="26"/>
      <c r="G114" s="27"/>
      <c r="H114" s="28"/>
      <c r="I114" s="29"/>
    </row>
    <row r="115" spans="1:9" s="12" customFormat="1">
      <c r="A115" s="30" t="s">
        <v>5</v>
      </c>
      <c r="B115" s="21"/>
      <c r="C115" s="21"/>
      <c r="D115" s="31">
        <f>SUM(D107:D114)</f>
        <v>238.92000000000002</v>
      </c>
      <c r="E115" s="29"/>
      <c r="F115" s="32">
        <f>SUM(F107:F108)</f>
        <v>0</v>
      </c>
      <c r="G115" s="33"/>
      <c r="H115" s="34">
        <f>SUM(H107:H114)</f>
        <v>908.48</v>
      </c>
      <c r="I115" s="35"/>
    </row>
    <row r="116" spans="1:9" s="12" customFormat="1" ht="13.5" thickBot="1">
      <c r="A116" s="36" t="s">
        <v>6</v>
      </c>
      <c r="B116" s="37">
        <f>SUM(D115+F115+H115)</f>
        <v>1147.4000000000001</v>
      </c>
      <c r="C116" s="38"/>
      <c r="D116" s="39"/>
      <c r="E116" s="40"/>
      <c r="F116" s="41"/>
      <c r="G116" s="42"/>
      <c r="H116" s="43"/>
      <c r="I116" s="44"/>
    </row>
    <row r="117" spans="1:9" s="12" customFormat="1">
      <c r="A117" s="13" t="s">
        <v>178</v>
      </c>
      <c r="B117" s="14" t="s">
        <v>179</v>
      </c>
      <c r="C117" s="14" t="s">
        <v>23</v>
      </c>
      <c r="D117" s="15">
        <f>2.8+140.84</f>
        <v>143.64000000000001</v>
      </c>
      <c r="E117" s="16" t="s">
        <v>50</v>
      </c>
      <c r="F117" s="17">
        <v>14.4</v>
      </c>
      <c r="G117" s="18" t="s">
        <v>59</v>
      </c>
      <c r="H117" s="19">
        <f>1486.01</f>
        <v>1486.01</v>
      </c>
      <c r="I117" s="20" t="s">
        <v>16</v>
      </c>
    </row>
    <row r="118" spans="1:9" s="12" customFormat="1">
      <c r="A118" s="21"/>
      <c r="B118" s="22" t="s">
        <v>65</v>
      </c>
      <c r="C118" s="23"/>
      <c r="D118" s="24">
        <f>16.21</f>
        <v>16.21</v>
      </c>
      <c r="E118" s="25" t="s">
        <v>11</v>
      </c>
      <c r="F118" s="26">
        <v>52.8</v>
      </c>
      <c r="G118" s="27" t="s">
        <v>68</v>
      </c>
      <c r="H118" s="28">
        <f>1176.71-1176.71+830.32</f>
        <v>830.32</v>
      </c>
      <c r="I118" s="29" t="s">
        <v>8</v>
      </c>
    </row>
    <row r="119" spans="1:9" s="12" customFormat="1">
      <c r="A119" s="21"/>
      <c r="B119" s="22"/>
      <c r="C119" s="23"/>
      <c r="D119" s="24"/>
      <c r="E119" s="25"/>
      <c r="F119" s="26"/>
      <c r="G119" s="27"/>
      <c r="H119" s="28">
        <f>738.58</f>
        <v>738.58</v>
      </c>
      <c r="I119" s="29" t="s">
        <v>58</v>
      </c>
    </row>
    <row r="120" spans="1:9" s="12" customFormat="1">
      <c r="A120" s="21"/>
      <c r="B120" s="22"/>
      <c r="C120" s="23"/>
      <c r="D120" s="24"/>
      <c r="E120" s="25"/>
      <c r="F120" s="26"/>
      <c r="G120" s="27"/>
      <c r="H120" s="28"/>
      <c r="I120" s="29"/>
    </row>
    <row r="121" spans="1:9" s="12" customFormat="1">
      <c r="A121" s="21"/>
      <c r="B121" s="22"/>
      <c r="C121" s="23" t="s">
        <v>21</v>
      </c>
      <c r="D121" s="24">
        <f>31.23</f>
        <v>31.23</v>
      </c>
      <c r="E121" s="25" t="s">
        <v>50</v>
      </c>
      <c r="F121" s="26">
        <f>24.78</f>
        <v>24.78</v>
      </c>
      <c r="G121" s="27" t="s">
        <v>68</v>
      </c>
      <c r="H121" s="28"/>
      <c r="I121" s="29" t="s">
        <v>16</v>
      </c>
    </row>
    <row r="122" spans="1:9" s="12" customFormat="1">
      <c r="A122" s="21"/>
      <c r="B122" s="22"/>
      <c r="C122" s="23"/>
      <c r="D122" s="24">
        <f>11</f>
        <v>11</v>
      </c>
      <c r="E122" s="25" t="s">
        <v>11</v>
      </c>
      <c r="F122" s="26"/>
      <c r="G122" s="27"/>
      <c r="H122" s="28"/>
      <c r="I122" s="29" t="s">
        <v>8</v>
      </c>
    </row>
    <row r="123" spans="1:9" s="12" customFormat="1">
      <c r="A123" s="21"/>
      <c r="B123" s="22"/>
      <c r="C123" s="23"/>
      <c r="D123" s="24">
        <f>46.62</f>
        <v>46.62</v>
      </c>
      <c r="E123" s="25" t="s">
        <v>180</v>
      </c>
      <c r="F123" s="26"/>
      <c r="G123" s="27"/>
      <c r="H123" s="28"/>
      <c r="I123" s="29"/>
    </row>
    <row r="124" spans="1:9" s="12" customFormat="1">
      <c r="A124" s="21"/>
      <c r="B124" s="22"/>
      <c r="C124" s="23"/>
      <c r="D124" s="24"/>
      <c r="E124" s="25"/>
      <c r="F124" s="26"/>
      <c r="G124" s="27"/>
      <c r="H124" s="28"/>
      <c r="I124" s="29"/>
    </row>
    <row r="125" spans="1:9" s="12" customFormat="1">
      <c r="A125" s="21"/>
      <c r="B125" s="22"/>
      <c r="C125" s="23" t="s">
        <v>22</v>
      </c>
      <c r="D125" s="24">
        <f>137.67</f>
        <v>137.66999999999999</v>
      </c>
      <c r="E125" s="25" t="s">
        <v>50</v>
      </c>
      <c r="F125" s="26"/>
      <c r="G125" s="27"/>
      <c r="H125" s="28">
        <f>855.23</f>
        <v>855.23</v>
      </c>
      <c r="I125" s="29" t="s">
        <v>8</v>
      </c>
    </row>
    <row r="126" spans="1:9" s="12" customFormat="1">
      <c r="A126" s="21"/>
      <c r="B126" s="22"/>
      <c r="C126" s="23"/>
      <c r="D126" s="24">
        <f>24.37+39.62</f>
        <v>63.989999999999995</v>
      </c>
      <c r="E126" s="25" t="s">
        <v>11</v>
      </c>
      <c r="F126" s="26"/>
      <c r="G126" s="27"/>
      <c r="H126" s="28">
        <f>34.7</f>
        <v>34.700000000000003</v>
      </c>
      <c r="I126" s="29" t="s">
        <v>58</v>
      </c>
    </row>
    <row r="127" spans="1:9" s="12" customFormat="1">
      <c r="A127" s="21"/>
      <c r="B127" s="22"/>
      <c r="C127" s="23"/>
      <c r="D127" s="24"/>
      <c r="E127" s="25"/>
      <c r="F127" s="26"/>
      <c r="G127" s="27"/>
    </row>
    <row r="128" spans="1:9" s="12" customFormat="1">
      <c r="A128" s="21"/>
      <c r="B128" s="22"/>
      <c r="C128" s="23"/>
      <c r="D128" s="24"/>
      <c r="E128" s="25"/>
      <c r="F128" s="26"/>
      <c r="G128" s="27"/>
      <c r="H128" s="28"/>
      <c r="I128" s="29"/>
    </row>
    <row r="129" spans="1:11" s="12" customFormat="1">
      <c r="A129" s="30" t="s">
        <v>5</v>
      </c>
      <c r="B129" s="21"/>
      <c r="C129" s="21"/>
      <c r="D129" s="31">
        <f>SUM(D117:D128)</f>
        <v>450.36</v>
      </c>
      <c r="E129" s="29"/>
      <c r="F129" s="32">
        <f>SUM(F117:F128)</f>
        <v>91.98</v>
      </c>
      <c r="G129" s="33"/>
      <c r="H129" s="34">
        <f>SUM(H117:H128)</f>
        <v>3944.8399999999997</v>
      </c>
      <c r="I129" s="35"/>
    </row>
    <row r="130" spans="1:11" s="12" customFormat="1" ht="13.5" thickBot="1">
      <c r="A130" s="36" t="s">
        <v>6</v>
      </c>
      <c r="B130" s="37">
        <f>SUM(D129+F129+H129)</f>
        <v>4487.1799999999994</v>
      </c>
      <c r="C130" s="38"/>
      <c r="D130" s="39"/>
      <c r="E130" s="40"/>
      <c r="F130" s="41"/>
      <c r="G130" s="42"/>
      <c r="H130" s="43"/>
      <c r="I130" s="44"/>
    </row>
    <row r="131" spans="1:11" ht="13.5" thickBot="1">
      <c r="J131" s="12"/>
      <c r="K131" s="46"/>
    </row>
    <row r="132" spans="1:11" ht="15.75">
      <c r="A132" s="2" t="s">
        <v>106</v>
      </c>
      <c r="B132" s="7">
        <f>SUM(B7,B93,B106,B116)</f>
        <v>9365.5399999999991</v>
      </c>
      <c r="J132" s="12"/>
      <c r="K132" s="46"/>
    </row>
    <row r="133" spans="1:11" ht="15.75">
      <c r="A133" s="3" t="s">
        <v>105</v>
      </c>
      <c r="B133" s="8">
        <v>0</v>
      </c>
      <c r="J133" s="12"/>
      <c r="K133" s="48"/>
    </row>
    <row r="134" spans="1:11" ht="15.75">
      <c r="A134" s="3" t="s">
        <v>107</v>
      </c>
      <c r="B134" s="8">
        <f>SUM(B16,B43,B60,B70,B130)</f>
        <v>27718.63</v>
      </c>
      <c r="J134" s="12"/>
      <c r="K134" s="46"/>
    </row>
    <row r="135" spans="1:11" ht="16.5" thickBot="1">
      <c r="A135" s="4" t="s">
        <v>108</v>
      </c>
      <c r="B135" s="10">
        <f>SUM(B12,B23,B78)</f>
        <v>11234.6</v>
      </c>
    </row>
    <row r="136" spans="1:11" ht="16.5" thickBot="1">
      <c r="A136" s="5" t="s">
        <v>25</v>
      </c>
      <c r="B136" s="6">
        <f>SUM(B132:B135)</f>
        <v>48318.77</v>
      </c>
    </row>
    <row r="137" spans="1:11">
      <c r="B137" s="47">
        <f>SUM(B7,B12,B16,B23,B43,B60,B70,B78,B93,B106,B116,B130)-B136</f>
        <v>0</v>
      </c>
    </row>
  </sheetData>
  <mergeCells count="3">
    <mergeCell ref="D1:E1"/>
    <mergeCell ref="F1:G1"/>
    <mergeCell ref="H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6"/>
  <sheetViews>
    <sheetView tabSelected="1" workbookViewId="0">
      <selection activeCell="D15" sqref="D15"/>
    </sheetView>
  </sheetViews>
  <sheetFormatPr defaultRowHeight="12.75"/>
  <cols>
    <col min="1" max="1" width="31.7109375" style="45" bestFit="1" customWidth="1"/>
    <col min="2" max="2" width="35.5703125" style="45" bestFit="1" customWidth="1"/>
    <col min="3" max="3" width="19.140625" style="45" customWidth="1"/>
    <col min="4" max="4" width="18.28515625" style="45" customWidth="1"/>
    <col min="5" max="5" width="26.42578125" style="45" customWidth="1"/>
    <col min="6" max="6" width="15.7109375" style="45" customWidth="1"/>
    <col min="7" max="7" width="30.140625" style="45" customWidth="1"/>
    <col min="8" max="8" width="19.28515625" style="45" customWidth="1"/>
    <col min="9" max="9" width="33.28515625" style="45" customWidth="1"/>
    <col min="10" max="10" width="14.42578125" style="45" bestFit="1" customWidth="1"/>
    <col min="11" max="11" width="9.7109375" style="45" bestFit="1" customWidth="1"/>
    <col min="12" max="16384" width="9.140625" style="45"/>
  </cols>
  <sheetData>
    <row r="1" spans="1:9" s="12" customFormat="1" ht="13.5" thickBot="1">
      <c r="A1" s="11" t="s">
        <v>0</v>
      </c>
      <c r="B1" s="11" t="s">
        <v>1</v>
      </c>
      <c r="C1" s="11" t="s">
        <v>2</v>
      </c>
      <c r="D1" s="55" t="s">
        <v>3</v>
      </c>
      <c r="E1" s="56"/>
      <c r="F1" s="57" t="s">
        <v>30</v>
      </c>
      <c r="G1" s="58"/>
      <c r="H1" s="57" t="s">
        <v>31</v>
      </c>
      <c r="I1" s="58"/>
    </row>
    <row r="2" spans="1:9" s="12" customFormat="1">
      <c r="A2" s="13">
        <v>42125</v>
      </c>
      <c r="B2" s="14" t="s">
        <v>76</v>
      </c>
      <c r="C2" s="14" t="s">
        <v>12</v>
      </c>
      <c r="D2" s="15">
        <v>295</v>
      </c>
      <c r="E2" s="16" t="s">
        <v>28</v>
      </c>
      <c r="F2" s="17"/>
      <c r="G2" s="18"/>
      <c r="H2" s="19"/>
      <c r="I2" s="20"/>
    </row>
    <row r="3" spans="1:9" s="12" customFormat="1">
      <c r="A3" s="21"/>
      <c r="B3" s="22"/>
      <c r="C3" s="23"/>
      <c r="D3" s="24"/>
      <c r="E3" s="25"/>
      <c r="F3" s="26"/>
      <c r="G3" s="27"/>
      <c r="H3" s="28"/>
      <c r="I3" s="29"/>
    </row>
    <row r="4" spans="1:9" s="12" customFormat="1">
      <c r="A4" s="21"/>
      <c r="B4" s="22"/>
      <c r="C4" s="23" t="s">
        <v>149</v>
      </c>
      <c r="D4" s="24">
        <v>216</v>
      </c>
      <c r="E4" s="25" t="s">
        <v>229</v>
      </c>
      <c r="F4" s="26"/>
      <c r="G4" s="27"/>
      <c r="H4" s="28"/>
      <c r="I4" s="29"/>
    </row>
    <row r="5" spans="1:9" s="12" customFormat="1">
      <c r="A5" s="21"/>
      <c r="B5" s="22"/>
      <c r="C5" s="23"/>
      <c r="D5" s="24"/>
      <c r="E5" s="25"/>
      <c r="F5" s="26"/>
      <c r="G5" s="27"/>
      <c r="H5" s="28"/>
      <c r="I5" s="29"/>
    </row>
    <row r="6" spans="1:9" s="12" customFormat="1">
      <c r="A6" s="30" t="s">
        <v>5</v>
      </c>
      <c r="B6" s="21"/>
      <c r="C6" s="21"/>
      <c r="D6" s="31">
        <f>SUM(D2:D5)</f>
        <v>511</v>
      </c>
      <c r="E6" s="29"/>
      <c r="F6" s="32">
        <f>SUM(F2:F3)</f>
        <v>0</v>
      </c>
      <c r="G6" s="33"/>
      <c r="H6" s="34">
        <f>SUM(H2:H3)</f>
        <v>0</v>
      </c>
      <c r="I6" s="35"/>
    </row>
    <row r="7" spans="1:9" s="12" customFormat="1" ht="13.5" thickBot="1">
      <c r="A7" s="36" t="s">
        <v>6</v>
      </c>
      <c r="B7" s="37">
        <f>SUM(D6+F6+H6)</f>
        <v>511</v>
      </c>
      <c r="C7" s="38"/>
      <c r="D7" s="39"/>
      <c r="E7" s="40"/>
      <c r="F7" s="41"/>
      <c r="G7" s="42"/>
      <c r="H7" s="43"/>
      <c r="I7" s="44"/>
    </row>
    <row r="8" spans="1:9" s="12" customFormat="1">
      <c r="A8" s="13" t="s">
        <v>175</v>
      </c>
      <c r="B8" s="14" t="s">
        <v>52</v>
      </c>
      <c r="C8" s="14" t="s">
        <v>13</v>
      </c>
      <c r="D8" s="15">
        <f>204</f>
        <v>204</v>
      </c>
      <c r="E8" s="16" t="s">
        <v>176</v>
      </c>
      <c r="F8" s="17"/>
      <c r="G8" s="18"/>
      <c r="H8" s="19"/>
      <c r="I8" s="20"/>
    </row>
    <row r="9" spans="1:9" s="12" customFormat="1">
      <c r="A9" s="21"/>
      <c r="B9" s="22" t="s">
        <v>84</v>
      </c>
      <c r="C9" s="23"/>
      <c r="D9" s="24"/>
      <c r="E9" s="25"/>
      <c r="F9" s="26"/>
      <c r="G9" s="27"/>
      <c r="H9" s="28"/>
      <c r="I9" s="29"/>
    </row>
    <row r="10" spans="1:9" s="12" customFormat="1">
      <c r="A10" s="30" t="s">
        <v>5</v>
      </c>
      <c r="B10" s="21"/>
      <c r="C10" s="21"/>
      <c r="D10" s="31">
        <f>SUM(D8:D9)</f>
        <v>204</v>
      </c>
      <c r="E10" s="29"/>
      <c r="F10" s="32">
        <f>SUM(F8:F9)</f>
        <v>0</v>
      </c>
      <c r="G10" s="33"/>
      <c r="H10" s="34">
        <f>SUM(H8:H9)</f>
        <v>0</v>
      </c>
      <c r="I10" s="35"/>
    </row>
    <row r="11" spans="1:9" s="12" customFormat="1" ht="13.5" thickBot="1">
      <c r="A11" s="36" t="s">
        <v>6</v>
      </c>
      <c r="B11" s="37">
        <f>SUM(D10+F10+H10)</f>
        <v>204</v>
      </c>
      <c r="C11" s="38"/>
      <c r="D11" s="39"/>
      <c r="E11" s="40"/>
      <c r="F11" s="41"/>
      <c r="G11" s="42"/>
      <c r="H11" s="43"/>
      <c r="I11" s="44"/>
    </row>
    <row r="12" spans="1:9" s="12" customFormat="1">
      <c r="A12" s="13" t="s">
        <v>199</v>
      </c>
      <c r="B12" s="14" t="s">
        <v>200</v>
      </c>
      <c r="C12" s="14" t="s">
        <v>70</v>
      </c>
      <c r="D12" s="15">
        <f>2.8+1954.39+9.89</f>
        <v>1967.0800000000002</v>
      </c>
      <c r="E12" s="16" t="s">
        <v>50</v>
      </c>
      <c r="F12" s="17">
        <f>774.81</f>
        <v>774.81</v>
      </c>
      <c r="G12" s="18" t="s">
        <v>231</v>
      </c>
      <c r="H12" s="19">
        <f>1495.17+431.65</f>
        <v>1926.8200000000002</v>
      </c>
      <c r="I12" s="20" t="s">
        <v>16</v>
      </c>
    </row>
    <row r="13" spans="1:9" s="12" customFormat="1">
      <c r="A13" s="21"/>
      <c r="B13" s="22" t="s">
        <v>96</v>
      </c>
      <c r="C13" s="23"/>
      <c r="D13" s="24">
        <f>31.62+26.27</f>
        <v>57.89</v>
      </c>
      <c r="E13" s="25" t="s">
        <v>11</v>
      </c>
      <c r="F13" s="26">
        <f>20.9</f>
        <v>20.9</v>
      </c>
      <c r="G13" s="27" t="s">
        <v>68</v>
      </c>
      <c r="H13" s="28">
        <f>1061.29+904.95+176.34+426.29-904.95+838.56</f>
        <v>2502.4799999999996</v>
      </c>
      <c r="I13" s="29" t="s">
        <v>8</v>
      </c>
    </row>
    <row r="14" spans="1:9" s="12" customFormat="1">
      <c r="A14" s="21"/>
      <c r="B14" s="22"/>
      <c r="C14" s="23"/>
      <c r="D14" s="24">
        <f>39.75+1645.55-177.85+816.17</f>
        <v>2323.62</v>
      </c>
      <c r="E14" s="25" t="s">
        <v>69</v>
      </c>
      <c r="F14" s="26">
        <v>4.1399999999999997</v>
      </c>
      <c r="G14" s="27" t="s">
        <v>82</v>
      </c>
      <c r="H14" s="28">
        <f>463.52</f>
        <v>463.52</v>
      </c>
      <c r="I14" s="29" t="s">
        <v>230</v>
      </c>
    </row>
    <row r="15" spans="1:9" s="12" customFormat="1">
      <c r="A15" s="21"/>
      <c r="B15" s="22"/>
      <c r="C15" s="23"/>
      <c r="D15" s="24"/>
      <c r="E15" s="25"/>
      <c r="F15" s="26">
        <f>10.54</f>
        <v>10.54</v>
      </c>
      <c r="G15" s="27" t="s">
        <v>59</v>
      </c>
      <c r="H15" s="28">
        <f>183.51</f>
        <v>183.51</v>
      </c>
      <c r="I15" s="29" t="s">
        <v>58</v>
      </c>
    </row>
    <row r="16" spans="1:9" s="12" customFormat="1">
      <c r="A16" s="21"/>
      <c r="B16" s="22"/>
      <c r="C16" s="23"/>
      <c r="D16" s="24"/>
      <c r="E16" s="25"/>
      <c r="F16" s="26"/>
      <c r="G16" s="27"/>
      <c r="H16" s="28"/>
      <c r="I16" s="29"/>
    </row>
    <row r="17" spans="1:9" s="12" customFormat="1">
      <c r="A17" s="21"/>
      <c r="B17" s="22"/>
      <c r="C17" s="23" t="s">
        <v>41</v>
      </c>
      <c r="D17" s="24">
        <f>238.28</f>
        <v>238.28</v>
      </c>
      <c r="E17" s="25" t="s">
        <v>50</v>
      </c>
      <c r="F17" s="26">
        <f>729.05</f>
        <v>729.05</v>
      </c>
      <c r="G17" s="27" t="s">
        <v>59</v>
      </c>
      <c r="H17" s="28">
        <f>431.65</f>
        <v>431.65</v>
      </c>
      <c r="I17" s="29" t="s">
        <v>16</v>
      </c>
    </row>
    <row r="18" spans="1:9" s="12" customFormat="1">
      <c r="A18" s="21"/>
      <c r="B18" s="22"/>
      <c r="C18" s="23"/>
      <c r="D18" s="24">
        <f>61.44</f>
        <v>61.44</v>
      </c>
      <c r="E18" s="25" t="s">
        <v>11</v>
      </c>
      <c r="F18" s="26">
        <f>112.39</f>
        <v>112.39</v>
      </c>
      <c r="G18" s="27" t="s">
        <v>82</v>
      </c>
      <c r="H18" s="28">
        <f>915.5+325.6+176.34+211.46</f>
        <v>1628.8999999999999</v>
      </c>
      <c r="I18" s="29" t="s">
        <v>8</v>
      </c>
    </row>
    <row r="19" spans="1:9" s="12" customFormat="1">
      <c r="A19" s="21"/>
      <c r="B19" s="22"/>
      <c r="C19" s="23"/>
      <c r="D19" s="24">
        <f>579.86</f>
        <v>579.86</v>
      </c>
      <c r="E19" s="25" t="s">
        <v>69</v>
      </c>
      <c r="F19" s="26">
        <f>41.02</f>
        <v>41.02</v>
      </c>
      <c r="G19" s="27" t="s">
        <v>68</v>
      </c>
      <c r="H19" s="28">
        <f>464.75</f>
        <v>464.75</v>
      </c>
      <c r="I19" s="29" t="s">
        <v>230</v>
      </c>
    </row>
    <row r="20" spans="1:9" s="12" customFormat="1">
      <c r="A20" s="21"/>
      <c r="B20" s="22"/>
      <c r="C20" s="23"/>
      <c r="D20" s="24"/>
      <c r="E20" s="25"/>
      <c r="F20" s="26"/>
      <c r="G20" s="27"/>
      <c r="H20" s="28">
        <f>255.72</f>
        <v>255.72</v>
      </c>
      <c r="I20" s="29" t="s">
        <v>58</v>
      </c>
    </row>
    <row r="21" spans="1:9" s="12" customFormat="1">
      <c r="A21" s="21"/>
      <c r="B21" s="22"/>
      <c r="C21" s="23"/>
      <c r="D21" s="24"/>
      <c r="E21" s="25"/>
      <c r="F21" s="26"/>
      <c r="G21" s="27"/>
      <c r="H21" s="28"/>
      <c r="I21" s="29"/>
    </row>
    <row r="22" spans="1:9" s="12" customFormat="1">
      <c r="A22" s="21"/>
      <c r="B22" s="22"/>
      <c r="C22" s="23" t="s">
        <v>129</v>
      </c>
      <c r="D22" s="24">
        <f>180.29</f>
        <v>180.29</v>
      </c>
      <c r="E22" s="25" t="s">
        <v>50</v>
      </c>
      <c r="F22" s="26"/>
      <c r="G22" s="27"/>
      <c r="H22" s="28">
        <f>449.76+787.74-787.74</f>
        <v>449.76</v>
      </c>
      <c r="I22" s="29" t="s">
        <v>16</v>
      </c>
    </row>
    <row r="23" spans="1:9" s="12" customFormat="1">
      <c r="A23" s="21"/>
      <c r="B23" s="22"/>
      <c r="C23" s="23"/>
      <c r="D23" s="24">
        <f>15.72+16.2</f>
        <v>31.92</v>
      </c>
      <c r="E23" s="25" t="s">
        <v>11</v>
      </c>
      <c r="F23" s="26"/>
      <c r="G23" s="27"/>
      <c r="H23" s="28">
        <f>751.36</f>
        <v>751.36</v>
      </c>
      <c r="I23" s="29" t="s">
        <v>8</v>
      </c>
    </row>
    <row r="24" spans="1:9" s="12" customFormat="1">
      <c r="A24" s="21"/>
      <c r="B24" s="22"/>
      <c r="C24" s="23"/>
      <c r="D24" s="24"/>
      <c r="E24" s="25"/>
      <c r="F24" s="26"/>
      <c r="G24" s="27"/>
      <c r="H24" s="28"/>
      <c r="I24" s="29"/>
    </row>
    <row r="25" spans="1:9" s="12" customFormat="1">
      <c r="A25" s="21"/>
      <c r="B25" s="22"/>
      <c r="C25" s="23" t="s">
        <v>18</v>
      </c>
      <c r="D25" s="24">
        <f>687.99</f>
        <v>687.99</v>
      </c>
      <c r="E25" s="25" t="s">
        <v>50</v>
      </c>
      <c r="F25" s="26"/>
      <c r="G25" s="27"/>
      <c r="H25" s="28">
        <f>2286.1+330.85+589+300</f>
        <v>3505.95</v>
      </c>
      <c r="I25" s="52" t="s">
        <v>238</v>
      </c>
    </row>
    <row r="26" spans="1:9" s="12" customFormat="1">
      <c r="A26" s="21"/>
      <c r="B26" s="22"/>
      <c r="C26" s="23"/>
      <c r="D26" s="24">
        <f>90+26+45.88</f>
        <v>161.88</v>
      </c>
      <c r="E26" s="25" t="s">
        <v>11</v>
      </c>
      <c r="F26" s="26"/>
      <c r="G26" s="27"/>
      <c r="H26" s="28">
        <f>1598.66</f>
        <v>1598.66</v>
      </c>
      <c r="I26" s="29" t="s">
        <v>239</v>
      </c>
    </row>
    <row r="27" spans="1:9" s="12" customFormat="1">
      <c r="A27" s="21"/>
      <c r="B27" s="22"/>
      <c r="C27" s="23"/>
      <c r="D27" s="24">
        <f>116</f>
        <v>116</v>
      </c>
      <c r="E27" s="25" t="s">
        <v>69</v>
      </c>
      <c r="F27" s="26"/>
      <c r="G27" s="27"/>
      <c r="H27" s="28">
        <f>331.26</f>
        <v>331.26</v>
      </c>
      <c r="I27" s="29" t="s">
        <v>58</v>
      </c>
    </row>
    <row r="28" spans="1:9" s="12" customFormat="1">
      <c r="A28" s="21"/>
      <c r="B28" s="22"/>
      <c r="C28" s="23"/>
      <c r="D28" s="24"/>
      <c r="E28" s="25"/>
      <c r="F28" s="26"/>
      <c r="G28" s="27"/>
      <c r="H28" s="28"/>
      <c r="I28" s="29"/>
    </row>
    <row r="29" spans="1:9" s="12" customFormat="1">
      <c r="A29" s="21"/>
      <c r="B29" s="22"/>
      <c r="C29" s="23" t="s">
        <v>47</v>
      </c>
      <c r="D29" s="24">
        <f>539.3</f>
        <v>539.29999999999995</v>
      </c>
      <c r="E29" s="25" t="s">
        <v>50</v>
      </c>
      <c r="F29" s="26"/>
      <c r="G29" s="27"/>
      <c r="H29" s="28">
        <f>3015.87</f>
        <v>3015.87</v>
      </c>
      <c r="I29" s="29" t="s">
        <v>224</v>
      </c>
    </row>
    <row r="30" spans="1:9" s="12" customFormat="1">
      <c r="A30" s="21"/>
      <c r="B30" s="22"/>
      <c r="C30" s="23"/>
      <c r="D30" s="24">
        <f>111.5+92.96</f>
        <v>204.45999999999998</v>
      </c>
      <c r="E30" s="25" t="s">
        <v>11</v>
      </c>
      <c r="F30" s="26"/>
      <c r="G30" s="27"/>
      <c r="H30" s="28">
        <f>1606.01</f>
        <v>1606.01</v>
      </c>
      <c r="I30" s="29" t="s">
        <v>239</v>
      </c>
    </row>
    <row r="31" spans="1:9" s="12" customFormat="1">
      <c r="A31" s="21"/>
      <c r="B31" s="22"/>
      <c r="C31" s="23"/>
      <c r="D31" s="24"/>
      <c r="E31" s="25"/>
      <c r="F31" s="26"/>
      <c r="G31" s="27"/>
      <c r="H31" s="28">
        <f>279.9</f>
        <v>279.89999999999998</v>
      </c>
      <c r="I31" s="29" t="s">
        <v>58</v>
      </c>
    </row>
    <row r="32" spans="1:9" s="12" customFormat="1">
      <c r="A32" s="21"/>
      <c r="B32" s="22"/>
      <c r="C32" s="23"/>
      <c r="D32" s="24"/>
      <c r="E32" s="25"/>
      <c r="F32" s="26"/>
      <c r="G32" s="27"/>
      <c r="H32" s="28"/>
      <c r="I32" s="29"/>
    </row>
    <row r="33" spans="1:9" s="12" customFormat="1">
      <c r="A33" s="30" t="s">
        <v>5</v>
      </c>
      <c r="B33" s="21"/>
      <c r="C33" s="21"/>
      <c r="D33" s="31">
        <f>SUM(D12:D32)</f>
        <v>7150.0099999999993</v>
      </c>
      <c r="E33" s="29"/>
      <c r="F33" s="32">
        <f>SUM(F12:F32)</f>
        <v>1692.85</v>
      </c>
      <c r="G33" s="33"/>
      <c r="H33" s="34">
        <f>SUM(H12:H32)</f>
        <v>19396.12</v>
      </c>
      <c r="I33" s="35"/>
    </row>
    <row r="34" spans="1:9" s="12" customFormat="1" ht="13.5" thickBot="1">
      <c r="A34" s="36" t="s">
        <v>6</v>
      </c>
      <c r="B34" s="37">
        <f>SUM(D33+F33+H33)</f>
        <v>28238.979999999996</v>
      </c>
      <c r="C34" s="38"/>
      <c r="D34" s="39"/>
      <c r="E34" s="40"/>
      <c r="F34" s="41"/>
      <c r="G34" s="42"/>
      <c r="H34" s="43"/>
      <c r="I34" s="44"/>
    </row>
    <row r="35" spans="1:9" s="12" customFormat="1">
      <c r="A35" s="13" t="s">
        <v>201</v>
      </c>
      <c r="B35" s="14" t="s">
        <v>202</v>
      </c>
      <c r="C35" s="14" t="s">
        <v>15</v>
      </c>
      <c r="D35" s="15">
        <f>54</f>
        <v>54</v>
      </c>
      <c r="E35" s="16" t="s">
        <v>50</v>
      </c>
      <c r="F35" s="17">
        <f>7.8</f>
        <v>7.8</v>
      </c>
      <c r="G35" s="18" t="s">
        <v>82</v>
      </c>
      <c r="H35" s="19">
        <f>502.28</f>
        <v>502.28</v>
      </c>
      <c r="I35" s="20" t="s">
        <v>16</v>
      </c>
    </row>
    <row r="36" spans="1:9" s="12" customFormat="1">
      <c r="A36" s="21"/>
      <c r="B36" s="22" t="s">
        <v>70</v>
      </c>
      <c r="C36" s="23"/>
      <c r="D36" s="24">
        <f>75</f>
        <v>75</v>
      </c>
      <c r="E36" s="25" t="s">
        <v>11</v>
      </c>
      <c r="F36" s="26">
        <f>1.7</f>
        <v>1.7</v>
      </c>
      <c r="G36" s="27" t="s">
        <v>68</v>
      </c>
      <c r="H36" s="28">
        <f>522</f>
        <v>522</v>
      </c>
      <c r="I36" s="29" t="s">
        <v>8</v>
      </c>
    </row>
    <row r="37" spans="1:9" s="12" customFormat="1">
      <c r="A37" s="21"/>
      <c r="B37" s="22"/>
      <c r="C37" s="23"/>
      <c r="D37" s="24"/>
      <c r="E37" s="25"/>
      <c r="F37" s="26"/>
      <c r="G37" s="27"/>
      <c r="H37" s="28"/>
      <c r="I37" s="29"/>
    </row>
    <row r="38" spans="1:9" s="12" customFormat="1">
      <c r="A38" s="21"/>
      <c r="B38" s="22"/>
      <c r="C38" s="23" t="s">
        <v>18</v>
      </c>
      <c r="D38" s="24">
        <f>238</f>
        <v>238</v>
      </c>
      <c r="E38" s="25" t="s">
        <v>50</v>
      </c>
      <c r="F38" s="26"/>
      <c r="G38" s="27"/>
      <c r="H38" s="28"/>
      <c r="I38" s="29"/>
    </row>
    <row r="39" spans="1:9" s="12" customFormat="1">
      <c r="A39" s="21"/>
      <c r="B39" s="22"/>
      <c r="C39" s="23"/>
      <c r="D39" s="24"/>
      <c r="E39" s="25"/>
      <c r="F39" s="26"/>
      <c r="G39" s="27"/>
      <c r="H39" s="28"/>
      <c r="I39" s="29"/>
    </row>
    <row r="40" spans="1:9" s="12" customFormat="1">
      <c r="A40" s="30" t="s">
        <v>5</v>
      </c>
      <c r="B40" s="21"/>
      <c r="C40" s="21"/>
      <c r="D40" s="31">
        <f>SUM(D35:D39)</f>
        <v>367</v>
      </c>
      <c r="E40" s="29"/>
      <c r="F40" s="32">
        <f>SUM(F35:F39)</f>
        <v>9.5</v>
      </c>
      <c r="G40" s="33"/>
      <c r="H40" s="34">
        <f>SUM(H35:H39)</f>
        <v>1024.28</v>
      </c>
      <c r="I40" s="35"/>
    </row>
    <row r="41" spans="1:9" s="12" customFormat="1" ht="13.5" thickBot="1">
      <c r="A41" s="36" t="s">
        <v>6</v>
      </c>
      <c r="B41" s="37">
        <f>SUM(D40+F40+H40)</f>
        <v>1400.78</v>
      </c>
      <c r="C41" s="38"/>
      <c r="D41" s="39"/>
      <c r="E41" s="40"/>
      <c r="F41" s="41"/>
      <c r="G41" s="42"/>
      <c r="H41" s="43"/>
      <c r="I41" s="44"/>
    </row>
    <row r="42" spans="1:9" s="12" customFormat="1">
      <c r="A42" s="13">
        <v>42131</v>
      </c>
      <c r="B42" s="14" t="s">
        <v>88</v>
      </c>
      <c r="C42" s="14" t="s">
        <v>19</v>
      </c>
      <c r="D42" s="15">
        <v>121.72</v>
      </c>
      <c r="E42" s="16" t="s">
        <v>50</v>
      </c>
      <c r="F42" s="17"/>
      <c r="G42" s="18"/>
      <c r="H42" s="19"/>
      <c r="I42" s="20"/>
    </row>
    <row r="43" spans="1:9" s="12" customFormat="1">
      <c r="A43" s="21"/>
      <c r="B43" s="22" t="s">
        <v>94</v>
      </c>
      <c r="C43" s="23"/>
      <c r="D43" s="24"/>
      <c r="E43" s="25"/>
      <c r="F43" s="26"/>
      <c r="G43" s="27"/>
      <c r="H43" s="28"/>
      <c r="I43" s="29"/>
    </row>
    <row r="44" spans="1:9" s="12" customFormat="1">
      <c r="A44" s="30" t="s">
        <v>5</v>
      </c>
      <c r="B44" s="21"/>
      <c r="C44" s="21"/>
      <c r="D44" s="31">
        <f>SUM(D42:D43)</f>
        <v>121.72</v>
      </c>
      <c r="E44" s="29"/>
      <c r="F44" s="32">
        <f>SUM(F42:F43)</f>
        <v>0</v>
      </c>
      <c r="G44" s="33"/>
      <c r="H44" s="34">
        <f>SUM(H42:H43)</f>
        <v>0</v>
      </c>
      <c r="I44" s="35"/>
    </row>
    <row r="45" spans="1:9" s="12" customFormat="1" ht="13.5" thickBot="1">
      <c r="A45" s="36" t="s">
        <v>6</v>
      </c>
      <c r="B45" s="37">
        <f>SUM(D44+F44+H44)</f>
        <v>121.72</v>
      </c>
      <c r="C45" s="38"/>
      <c r="D45" s="39"/>
      <c r="E45" s="40"/>
      <c r="F45" s="41"/>
      <c r="G45" s="42"/>
      <c r="H45" s="43"/>
      <c r="I45" s="44"/>
    </row>
    <row r="46" spans="1:9" s="12" customFormat="1">
      <c r="A46" s="13">
        <v>42131</v>
      </c>
      <c r="B46" s="14" t="s">
        <v>204</v>
      </c>
      <c r="C46" s="14" t="s">
        <v>21</v>
      </c>
      <c r="D46" s="15"/>
      <c r="E46" s="16"/>
      <c r="F46" s="17">
        <v>29.93</v>
      </c>
      <c r="G46" s="18" t="s">
        <v>59</v>
      </c>
      <c r="H46" s="19"/>
      <c r="I46" s="20"/>
    </row>
    <row r="47" spans="1:9" s="12" customFormat="1">
      <c r="A47" s="21"/>
      <c r="B47" s="22" t="s">
        <v>65</v>
      </c>
      <c r="C47" s="23"/>
      <c r="D47" s="24"/>
      <c r="E47" s="25"/>
      <c r="F47" s="26"/>
      <c r="G47" s="27"/>
      <c r="H47" s="28"/>
      <c r="I47" s="29"/>
    </row>
    <row r="48" spans="1:9" s="12" customFormat="1">
      <c r="A48" s="30" t="s">
        <v>5</v>
      </c>
      <c r="B48" s="21"/>
      <c r="C48" s="21"/>
      <c r="D48" s="31">
        <f>SUM(D46:D46)</f>
        <v>0</v>
      </c>
      <c r="E48" s="29"/>
      <c r="F48" s="32">
        <f>SUM(F46:F46)</f>
        <v>29.93</v>
      </c>
      <c r="G48" s="33"/>
      <c r="H48" s="34">
        <f>SUM(H46:H46)</f>
        <v>0</v>
      </c>
      <c r="I48" s="35"/>
    </row>
    <row r="49" spans="1:9" s="12" customFormat="1" ht="13.5" thickBot="1">
      <c r="A49" s="36" t="s">
        <v>6</v>
      </c>
      <c r="B49" s="37">
        <f>SUM(D48+F48+H48)</f>
        <v>29.93</v>
      </c>
      <c r="C49" s="38"/>
      <c r="D49" s="39"/>
      <c r="E49" s="40"/>
      <c r="F49" s="41"/>
      <c r="G49" s="42"/>
      <c r="H49" s="43"/>
      <c r="I49" s="44"/>
    </row>
    <row r="50" spans="1:9" s="12" customFormat="1">
      <c r="A50" s="13" t="s">
        <v>215</v>
      </c>
      <c r="B50" s="14" t="s">
        <v>14</v>
      </c>
      <c r="C50" s="14" t="s">
        <v>13</v>
      </c>
      <c r="D50" s="15">
        <f>34.2+46.81</f>
        <v>81.010000000000005</v>
      </c>
      <c r="E50" s="16" t="s">
        <v>50</v>
      </c>
      <c r="F50" s="17">
        <f>29.64</f>
        <v>29.64</v>
      </c>
      <c r="G50" s="18" t="s">
        <v>59</v>
      </c>
      <c r="H50" s="19">
        <f>331.77</f>
        <v>331.77</v>
      </c>
      <c r="I50" s="20" t="s">
        <v>16</v>
      </c>
    </row>
    <row r="51" spans="1:9" s="12" customFormat="1">
      <c r="A51" s="21"/>
      <c r="B51" s="22" t="s">
        <v>216</v>
      </c>
      <c r="C51" s="23"/>
      <c r="D51" s="24">
        <f>38.21+2.52</f>
        <v>40.730000000000004</v>
      </c>
      <c r="E51" s="25" t="s">
        <v>11</v>
      </c>
      <c r="F51" s="26"/>
      <c r="G51" s="27"/>
      <c r="H51" s="28">
        <f>178+192</f>
        <v>370</v>
      </c>
      <c r="I51" s="29" t="s">
        <v>8</v>
      </c>
    </row>
    <row r="52" spans="1:9" s="12" customFormat="1">
      <c r="A52" s="21"/>
      <c r="B52" s="22"/>
      <c r="C52" s="23"/>
      <c r="D52" s="24"/>
      <c r="E52" s="25"/>
      <c r="F52" s="26"/>
      <c r="G52" s="27"/>
      <c r="H52" s="28">
        <f>16+16</f>
        <v>32</v>
      </c>
      <c r="I52" s="29" t="s">
        <v>162</v>
      </c>
    </row>
    <row r="53" spans="1:9" s="12" customFormat="1">
      <c r="A53" s="21"/>
      <c r="B53" s="22"/>
      <c r="C53" s="23"/>
      <c r="D53" s="24"/>
      <c r="E53" s="25"/>
      <c r="F53" s="26"/>
      <c r="G53" s="27"/>
      <c r="H53" s="28">
        <f>37.25</f>
        <v>37.25</v>
      </c>
      <c r="I53" s="29" t="s">
        <v>58</v>
      </c>
    </row>
    <row r="54" spans="1:9" s="12" customFormat="1">
      <c r="A54" s="21"/>
      <c r="B54" s="22"/>
      <c r="C54" s="23"/>
      <c r="D54" s="24"/>
      <c r="E54" s="25"/>
      <c r="F54" s="26"/>
      <c r="G54" s="27"/>
      <c r="H54" s="28"/>
      <c r="I54" s="29"/>
    </row>
    <row r="55" spans="1:9" s="12" customFormat="1">
      <c r="A55" s="21"/>
      <c r="B55" s="22"/>
      <c r="C55" s="23" t="s">
        <v>149</v>
      </c>
      <c r="D55" s="24">
        <f>21.6+14.78</f>
        <v>36.380000000000003</v>
      </c>
      <c r="E55" s="25" t="s">
        <v>50</v>
      </c>
      <c r="F55" s="26">
        <f>51.42</f>
        <v>51.42</v>
      </c>
      <c r="G55" s="27" t="s">
        <v>59</v>
      </c>
      <c r="H55" s="28">
        <f>331.77</f>
        <v>331.77</v>
      </c>
      <c r="I55" s="29" t="s">
        <v>16</v>
      </c>
    </row>
    <row r="56" spans="1:9" s="12" customFormat="1">
      <c r="A56" s="21"/>
      <c r="B56" s="22"/>
      <c r="C56" s="23"/>
      <c r="D56" s="24"/>
      <c r="E56" s="25"/>
      <c r="F56" s="26">
        <f>1.6</f>
        <v>1.6</v>
      </c>
      <c r="G56" s="27" t="s">
        <v>82</v>
      </c>
      <c r="H56" s="53"/>
      <c r="I56" s="29" t="s">
        <v>8</v>
      </c>
    </row>
    <row r="57" spans="1:9" s="12" customFormat="1">
      <c r="A57" s="21"/>
      <c r="B57" s="22"/>
      <c r="C57" s="23"/>
      <c r="D57" s="24"/>
      <c r="E57" s="25"/>
      <c r="F57" s="26">
        <f>88</f>
        <v>88</v>
      </c>
      <c r="G57" s="27" t="s">
        <v>68</v>
      </c>
      <c r="H57" s="28">
        <f>52.68</f>
        <v>52.68</v>
      </c>
      <c r="I57" s="29" t="s">
        <v>58</v>
      </c>
    </row>
    <row r="58" spans="1:9" s="12" customFormat="1">
      <c r="A58" s="21"/>
      <c r="B58" s="22"/>
      <c r="C58" s="23"/>
      <c r="D58" s="24"/>
      <c r="E58" s="25"/>
      <c r="F58" s="26"/>
      <c r="G58" s="27"/>
      <c r="H58" s="28"/>
      <c r="I58" s="29"/>
    </row>
    <row r="59" spans="1:9" s="12" customFormat="1">
      <c r="A59" s="21"/>
      <c r="B59" s="22"/>
      <c r="C59" s="23" t="s">
        <v>7</v>
      </c>
      <c r="D59" s="24">
        <f>3.22</f>
        <v>3.22</v>
      </c>
      <c r="E59" s="25" t="s">
        <v>50</v>
      </c>
      <c r="F59" s="26">
        <f>18.89</f>
        <v>18.89</v>
      </c>
      <c r="G59" s="27" t="s">
        <v>59</v>
      </c>
      <c r="H59" s="28">
        <f>331.77</f>
        <v>331.77</v>
      </c>
      <c r="I59" s="29" t="s">
        <v>16</v>
      </c>
    </row>
    <row r="60" spans="1:9" s="12" customFormat="1">
      <c r="A60" s="21"/>
      <c r="B60" s="22"/>
      <c r="C60" s="23"/>
      <c r="D60" s="24"/>
      <c r="E60" s="25"/>
      <c r="F60" s="26">
        <f>44</f>
        <v>44</v>
      </c>
      <c r="G60" s="27" t="s">
        <v>68</v>
      </c>
      <c r="H60" s="28">
        <f>180+195</f>
        <v>375</v>
      </c>
      <c r="I60" s="29" t="s">
        <v>8</v>
      </c>
    </row>
    <row r="61" spans="1:9" s="12" customFormat="1">
      <c r="A61" s="21"/>
      <c r="B61" s="22"/>
      <c r="C61" s="23"/>
      <c r="D61" s="24"/>
      <c r="E61" s="25"/>
      <c r="F61" s="26"/>
      <c r="G61" s="27"/>
      <c r="H61" s="28">
        <f>17+17</f>
        <v>34</v>
      </c>
      <c r="I61" s="29" t="s">
        <v>162</v>
      </c>
    </row>
    <row r="62" spans="1:9" s="12" customFormat="1">
      <c r="A62" s="21"/>
      <c r="B62" s="22"/>
      <c r="C62" s="23"/>
      <c r="D62" s="24"/>
      <c r="E62" s="25"/>
      <c r="F62" s="26"/>
      <c r="G62" s="27"/>
      <c r="H62" s="28">
        <f>31.89</f>
        <v>31.89</v>
      </c>
      <c r="I62" s="29" t="s">
        <v>58</v>
      </c>
    </row>
    <row r="63" spans="1:9" s="12" customFormat="1">
      <c r="A63" s="21"/>
      <c r="B63" s="22"/>
      <c r="C63" s="23"/>
      <c r="D63" s="24"/>
      <c r="E63" s="25"/>
      <c r="F63" s="26"/>
      <c r="G63" s="27"/>
      <c r="H63" s="28"/>
      <c r="I63" s="29"/>
    </row>
    <row r="64" spans="1:9" s="12" customFormat="1">
      <c r="A64" s="30" t="s">
        <v>5</v>
      </c>
      <c r="B64" s="21"/>
      <c r="C64" s="21"/>
      <c r="D64" s="31">
        <f>SUM(D50:D63)</f>
        <v>161.34</v>
      </c>
      <c r="E64" s="29"/>
      <c r="F64" s="32">
        <f>SUM(F50:F63)</f>
        <v>233.55</v>
      </c>
      <c r="G64" s="33"/>
      <c r="H64" s="34">
        <f>SUM(H50:H63)</f>
        <v>1928.13</v>
      </c>
      <c r="I64" s="35"/>
    </row>
    <row r="65" spans="1:9" s="12" customFormat="1" ht="13.5" thickBot="1">
      <c r="A65" s="36" t="s">
        <v>6</v>
      </c>
      <c r="B65" s="37">
        <f>SUM(D64+F64+H64)</f>
        <v>2323.02</v>
      </c>
      <c r="C65" s="38"/>
      <c r="D65" s="39"/>
      <c r="E65" s="40"/>
      <c r="F65" s="41"/>
      <c r="G65" s="42"/>
      <c r="H65" s="43"/>
      <c r="I65" s="44"/>
    </row>
    <row r="66" spans="1:9" s="12" customFormat="1">
      <c r="A66" s="13">
        <v>42136</v>
      </c>
      <c r="B66" s="14" t="s">
        <v>88</v>
      </c>
      <c r="C66" s="14" t="s">
        <v>21</v>
      </c>
      <c r="D66" s="15"/>
      <c r="E66" s="16"/>
      <c r="F66" s="17">
        <v>29.93</v>
      </c>
      <c r="G66" s="18" t="s">
        <v>59</v>
      </c>
      <c r="H66" s="19"/>
      <c r="I66" s="20"/>
    </row>
    <row r="67" spans="1:9" s="12" customFormat="1">
      <c r="A67" s="21"/>
      <c r="B67" s="22" t="s">
        <v>65</v>
      </c>
      <c r="C67" s="23"/>
      <c r="D67" s="24"/>
      <c r="E67" s="25"/>
      <c r="F67" s="26"/>
      <c r="G67" s="27"/>
      <c r="H67" s="28"/>
      <c r="I67" s="29"/>
    </row>
    <row r="68" spans="1:9" s="12" customFormat="1">
      <c r="A68" s="30" t="s">
        <v>5</v>
      </c>
      <c r="B68" s="21"/>
      <c r="C68" s="21"/>
      <c r="D68" s="31">
        <f>SUM(D66:D67)</f>
        <v>0</v>
      </c>
      <c r="E68" s="29"/>
      <c r="F68" s="32">
        <f>SUM(F66:F67)</f>
        <v>29.93</v>
      </c>
      <c r="G68" s="33"/>
      <c r="H68" s="34">
        <f>SUM(H66:H67)</f>
        <v>0</v>
      </c>
      <c r="I68" s="35"/>
    </row>
    <row r="69" spans="1:9" s="12" customFormat="1" ht="13.5" thickBot="1">
      <c r="A69" s="36" t="s">
        <v>6</v>
      </c>
      <c r="B69" s="37">
        <f>SUM(D68+F68+H68)</f>
        <v>29.93</v>
      </c>
      <c r="C69" s="38"/>
      <c r="D69" s="39"/>
      <c r="E69" s="40"/>
      <c r="F69" s="41"/>
      <c r="G69" s="42"/>
      <c r="H69" s="43"/>
      <c r="I69" s="44"/>
    </row>
    <row r="70" spans="1:9" s="12" customFormat="1">
      <c r="A70" s="13" t="s">
        <v>190</v>
      </c>
      <c r="B70" s="14" t="s">
        <v>52</v>
      </c>
      <c r="C70" s="14" t="s">
        <v>22</v>
      </c>
      <c r="D70" s="15">
        <f>15.67+152.45+12.27+9.7+156.17+18.68</f>
        <v>364.94</v>
      </c>
      <c r="E70" s="16" t="s">
        <v>50</v>
      </c>
      <c r="F70" s="17"/>
      <c r="G70" s="18"/>
      <c r="H70" s="19">
        <f>596.93+454.68</f>
        <v>1051.6099999999999</v>
      </c>
      <c r="I70" s="20" t="s">
        <v>16</v>
      </c>
    </row>
    <row r="71" spans="1:9" s="12" customFormat="1">
      <c r="A71" s="21"/>
      <c r="B71" s="22" t="s">
        <v>124</v>
      </c>
      <c r="C71" s="23"/>
      <c r="D71" s="24">
        <f>14.61+24.32+8.89+41.45</f>
        <v>89.27000000000001</v>
      </c>
      <c r="E71" s="25" t="s">
        <v>11</v>
      </c>
      <c r="F71" s="26"/>
      <c r="G71" s="27"/>
      <c r="H71" s="28">
        <f>73.95</f>
        <v>73.95</v>
      </c>
      <c r="I71" s="29" t="s">
        <v>232</v>
      </c>
    </row>
    <row r="72" spans="1:9" s="12" customFormat="1">
      <c r="A72" s="21"/>
      <c r="B72" s="22"/>
      <c r="C72" s="23"/>
      <c r="D72" s="24"/>
      <c r="E72" s="25"/>
      <c r="F72" s="26"/>
      <c r="G72" s="27"/>
      <c r="H72" s="28"/>
      <c r="I72" s="29"/>
    </row>
    <row r="73" spans="1:9" s="12" customFormat="1">
      <c r="A73" s="30" t="s">
        <v>5</v>
      </c>
      <c r="B73" s="21"/>
      <c r="C73" s="21"/>
      <c r="D73" s="31">
        <f>SUM(D70:D71)</f>
        <v>454.21000000000004</v>
      </c>
      <c r="E73" s="29"/>
      <c r="F73" s="32">
        <f>SUM(F70:F71)</f>
        <v>0</v>
      </c>
      <c r="G73" s="33"/>
      <c r="H73" s="34">
        <f>SUM(H70:H71)</f>
        <v>1125.56</v>
      </c>
      <c r="I73" s="35"/>
    </row>
    <row r="74" spans="1:9" s="12" customFormat="1" ht="13.5" thickBot="1">
      <c r="A74" s="36" t="s">
        <v>6</v>
      </c>
      <c r="B74" s="37">
        <f>SUM(D73+F73+H73)</f>
        <v>1579.77</v>
      </c>
      <c r="C74" s="38"/>
      <c r="D74" s="39"/>
      <c r="E74" s="40"/>
      <c r="F74" s="41"/>
      <c r="G74" s="42"/>
      <c r="H74" s="43"/>
      <c r="I74" s="44"/>
    </row>
    <row r="75" spans="1:9" s="12" customFormat="1">
      <c r="A75" s="13" t="s">
        <v>208</v>
      </c>
      <c r="B75" s="14" t="s">
        <v>88</v>
      </c>
      <c r="C75" s="14" t="s">
        <v>23</v>
      </c>
      <c r="D75" s="15">
        <f>6.6+29.66</f>
        <v>36.26</v>
      </c>
      <c r="E75" s="16" t="s">
        <v>50</v>
      </c>
      <c r="F75" s="17">
        <f>14.64</f>
        <v>14.64</v>
      </c>
      <c r="G75" s="18" t="s">
        <v>59</v>
      </c>
      <c r="H75" s="19">
        <f>110.14+671.7</f>
        <v>781.84</v>
      </c>
      <c r="I75" s="20" t="s">
        <v>16</v>
      </c>
    </row>
    <row r="76" spans="1:9" s="12" customFormat="1">
      <c r="A76" s="21"/>
      <c r="B76" s="22" t="s">
        <v>209</v>
      </c>
      <c r="C76" s="23"/>
      <c r="D76" s="24">
        <f>121.24</f>
        <v>121.24</v>
      </c>
      <c r="E76" s="25" t="s">
        <v>11</v>
      </c>
      <c r="F76" s="26">
        <f>1.7+3.3</f>
        <v>5</v>
      </c>
      <c r="G76" s="27" t="s">
        <v>82</v>
      </c>
      <c r="H76" s="28">
        <f>251.27</f>
        <v>251.27</v>
      </c>
      <c r="I76" s="29" t="s">
        <v>8</v>
      </c>
    </row>
    <row r="77" spans="1:9" s="12" customFormat="1">
      <c r="A77" s="21"/>
      <c r="B77" s="22"/>
      <c r="C77" s="23"/>
      <c r="D77" s="24"/>
      <c r="E77" s="25"/>
      <c r="F77" s="26">
        <f>56</f>
        <v>56</v>
      </c>
      <c r="G77" s="27" t="s">
        <v>68</v>
      </c>
      <c r="H77" s="28"/>
      <c r="I77" s="29"/>
    </row>
    <row r="78" spans="1:9" s="12" customFormat="1">
      <c r="A78" s="21"/>
      <c r="B78" s="22"/>
      <c r="C78" s="23"/>
      <c r="D78" s="24"/>
      <c r="E78" s="25"/>
      <c r="F78" s="26"/>
      <c r="G78" s="27"/>
      <c r="H78" s="28"/>
      <c r="I78" s="29"/>
    </row>
    <row r="79" spans="1:9" s="12" customFormat="1">
      <c r="A79" s="21"/>
      <c r="B79" s="22"/>
      <c r="C79" s="23" t="s">
        <v>7</v>
      </c>
      <c r="D79" s="24">
        <f>2.2</f>
        <v>2.2000000000000002</v>
      </c>
      <c r="E79" s="25" t="s">
        <v>50</v>
      </c>
      <c r="F79" s="26">
        <f>18.89</f>
        <v>18.89</v>
      </c>
      <c r="G79" s="27" t="s">
        <v>59</v>
      </c>
      <c r="H79" s="28">
        <f>667.49+89.76</f>
        <v>757.25</v>
      </c>
      <c r="I79" s="29" t="s">
        <v>16</v>
      </c>
    </row>
    <row r="80" spans="1:9" s="12" customFormat="1">
      <c r="A80" s="21"/>
      <c r="B80" s="22"/>
      <c r="C80" s="23"/>
      <c r="D80" s="24"/>
      <c r="E80" s="25"/>
      <c r="F80" s="26">
        <f>62.5</f>
        <v>62.5</v>
      </c>
      <c r="G80" s="27" t="s">
        <v>68</v>
      </c>
      <c r="H80" s="28">
        <f>251.27</f>
        <v>251.27</v>
      </c>
      <c r="I80" s="29" t="s">
        <v>8</v>
      </c>
    </row>
    <row r="81" spans="1:9" s="12" customFormat="1">
      <c r="A81" s="21"/>
      <c r="B81" s="22"/>
      <c r="C81" s="23"/>
      <c r="D81" s="24"/>
      <c r="E81" s="25"/>
      <c r="F81" s="26"/>
      <c r="G81" s="27"/>
      <c r="H81" s="28">
        <f>130.19</f>
        <v>130.19</v>
      </c>
      <c r="I81" s="29" t="s">
        <v>58</v>
      </c>
    </row>
    <row r="82" spans="1:9" s="12" customFormat="1">
      <c r="A82" s="21"/>
      <c r="B82" s="22"/>
      <c r="C82" s="23"/>
      <c r="D82" s="24"/>
      <c r="E82" s="25"/>
      <c r="F82" s="26"/>
      <c r="G82" s="27"/>
      <c r="H82" s="28"/>
      <c r="I82" s="29"/>
    </row>
    <row r="83" spans="1:9" s="12" customFormat="1">
      <c r="A83" s="21"/>
      <c r="B83" s="22"/>
      <c r="C83" s="23" t="s">
        <v>24</v>
      </c>
      <c r="D83" s="24"/>
      <c r="E83" s="25"/>
      <c r="F83" s="26"/>
      <c r="G83" s="27"/>
      <c r="H83" s="28">
        <f>110.14+671.7-671.7</f>
        <v>110.13999999999999</v>
      </c>
      <c r="I83" s="50" t="s">
        <v>227</v>
      </c>
    </row>
    <row r="84" spans="1:9" s="12" customFormat="1">
      <c r="A84" s="21"/>
      <c r="B84" s="22"/>
      <c r="C84" s="23" t="s">
        <v>45</v>
      </c>
      <c r="D84" s="24"/>
      <c r="E84" s="25"/>
      <c r="F84" s="26"/>
      <c r="G84" s="27"/>
      <c r="H84" s="28">
        <f>251.27-251.27</f>
        <v>0</v>
      </c>
      <c r="I84" s="50" t="s">
        <v>8</v>
      </c>
    </row>
    <row r="85" spans="1:9" s="12" customFormat="1">
      <c r="A85" s="21"/>
      <c r="B85" s="22"/>
      <c r="C85" s="23"/>
      <c r="D85" s="24"/>
      <c r="E85" s="25"/>
      <c r="F85" s="26"/>
      <c r="G85" s="27"/>
      <c r="H85" s="28"/>
      <c r="I85" s="29"/>
    </row>
    <row r="86" spans="1:9" s="12" customFormat="1">
      <c r="A86" s="30" t="s">
        <v>5</v>
      </c>
      <c r="B86" s="21"/>
      <c r="C86" s="21"/>
      <c r="D86" s="31">
        <f>SUM(D75:D85)</f>
        <v>159.69999999999999</v>
      </c>
      <c r="E86" s="29"/>
      <c r="F86" s="32">
        <f>SUM(F75:F85)</f>
        <v>157.03</v>
      </c>
      <c r="G86" s="33"/>
      <c r="H86" s="34">
        <f>SUM(H75:H85)</f>
        <v>2281.96</v>
      </c>
      <c r="I86" s="35"/>
    </row>
    <row r="87" spans="1:9" s="12" customFormat="1" ht="13.5" thickBot="1">
      <c r="A87" s="36" t="s">
        <v>6</v>
      </c>
      <c r="B87" s="37">
        <f>SUM(D86+F86+H86)</f>
        <v>2598.69</v>
      </c>
      <c r="C87" s="38"/>
      <c r="D87" s="39"/>
      <c r="E87" s="40"/>
      <c r="F87" s="41"/>
      <c r="G87" s="42"/>
      <c r="H87" s="43"/>
      <c r="I87" s="44"/>
    </row>
    <row r="88" spans="1:9" s="12" customFormat="1">
      <c r="A88" s="13" t="s">
        <v>210</v>
      </c>
      <c r="B88" s="14" t="s">
        <v>14</v>
      </c>
      <c r="C88" s="14" t="s">
        <v>9</v>
      </c>
      <c r="D88" s="15">
        <f>15.5+38.54+20.46</f>
        <v>74.5</v>
      </c>
      <c r="E88" s="16" t="s">
        <v>50</v>
      </c>
      <c r="F88" s="17">
        <v>51.7</v>
      </c>
      <c r="G88" s="18" t="s">
        <v>59</v>
      </c>
      <c r="H88" s="19">
        <f>356.78+754.2</f>
        <v>1110.98</v>
      </c>
      <c r="I88" s="20" t="s">
        <v>16</v>
      </c>
    </row>
    <row r="89" spans="1:9" s="12" customFormat="1">
      <c r="A89" s="21"/>
      <c r="B89" s="22" t="s">
        <v>211</v>
      </c>
      <c r="C89" s="23"/>
      <c r="D89" s="24">
        <f>10+44.78</f>
        <v>54.78</v>
      </c>
      <c r="E89" s="25" t="s">
        <v>11</v>
      </c>
      <c r="F89" s="26">
        <v>6.3</v>
      </c>
      <c r="G89" s="27" t="s">
        <v>82</v>
      </c>
      <c r="H89" s="28">
        <f>429.73</f>
        <v>429.73</v>
      </c>
      <c r="I89" s="29" t="s">
        <v>8</v>
      </c>
    </row>
    <row r="90" spans="1:9" s="12" customFormat="1">
      <c r="A90" s="21"/>
      <c r="B90" s="22"/>
      <c r="C90" s="23"/>
      <c r="D90" s="24">
        <f>56.5+45.98</f>
        <v>102.47999999999999</v>
      </c>
      <c r="E90" s="25" t="s">
        <v>207</v>
      </c>
      <c r="F90" s="26">
        <v>88</v>
      </c>
      <c r="G90" s="27" t="s">
        <v>68</v>
      </c>
      <c r="H90" s="28">
        <f>16.39</f>
        <v>16.39</v>
      </c>
      <c r="I90" s="29" t="s">
        <v>58</v>
      </c>
    </row>
    <row r="91" spans="1:9" s="12" customFormat="1">
      <c r="A91" s="21"/>
      <c r="B91" s="22"/>
      <c r="C91" s="23"/>
      <c r="D91" s="24"/>
      <c r="E91" s="25"/>
      <c r="F91" s="26"/>
      <c r="G91" s="27"/>
      <c r="H91" s="28"/>
      <c r="I91" s="29"/>
    </row>
    <row r="92" spans="1:9" s="12" customFormat="1">
      <c r="A92" s="21"/>
      <c r="B92" s="22"/>
      <c r="C92" s="23" t="s">
        <v>13</v>
      </c>
      <c r="D92" s="24">
        <f>15.4+12.56+16.81</f>
        <v>44.769999999999996</v>
      </c>
      <c r="E92" s="25" t="s">
        <v>50</v>
      </c>
      <c r="F92" s="26">
        <f>29.64</f>
        <v>29.64</v>
      </c>
      <c r="G92" s="27" t="s">
        <v>59</v>
      </c>
      <c r="H92" s="28">
        <f>356.78+754.2</f>
        <v>1110.98</v>
      </c>
      <c r="I92" s="29" t="s">
        <v>16</v>
      </c>
    </row>
    <row r="93" spans="1:9" s="12" customFormat="1">
      <c r="A93" s="21"/>
      <c r="B93" s="22"/>
      <c r="C93" s="23"/>
      <c r="D93" s="24"/>
      <c r="E93" s="25"/>
      <c r="F93" s="26"/>
      <c r="G93" s="27"/>
      <c r="H93" s="28">
        <f>426.3</f>
        <v>426.3</v>
      </c>
      <c r="I93" s="29" t="s">
        <v>8</v>
      </c>
    </row>
    <row r="94" spans="1:9" s="12" customFormat="1">
      <c r="A94" s="21"/>
      <c r="B94" s="22"/>
      <c r="C94" s="23"/>
      <c r="D94" s="24"/>
      <c r="E94" s="25"/>
      <c r="F94" s="26"/>
      <c r="G94" s="27"/>
      <c r="H94" s="28">
        <f>155.54</f>
        <v>155.54</v>
      </c>
      <c r="I94" s="29" t="s">
        <v>58</v>
      </c>
    </row>
    <row r="95" spans="1:9" s="12" customFormat="1">
      <c r="A95" s="21"/>
      <c r="B95" s="22"/>
      <c r="C95" s="23"/>
      <c r="D95" s="24"/>
      <c r="E95" s="25"/>
      <c r="F95" s="26"/>
      <c r="G95" s="27"/>
      <c r="H95" s="28"/>
      <c r="I95" s="29"/>
    </row>
    <row r="96" spans="1:9" s="12" customFormat="1">
      <c r="A96" s="30" t="s">
        <v>5</v>
      </c>
      <c r="B96" s="21"/>
      <c r="C96" s="21"/>
      <c r="D96" s="31">
        <f>SUM(D88:D95)</f>
        <v>276.52999999999997</v>
      </c>
      <c r="E96" s="29"/>
      <c r="F96" s="32">
        <f>SUM(F88:F95)</f>
        <v>175.64</v>
      </c>
      <c r="G96" s="33"/>
      <c r="H96" s="34">
        <f>SUM(H88:H95)</f>
        <v>3249.92</v>
      </c>
      <c r="I96" s="35"/>
    </row>
    <row r="97" spans="1:9" s="12" customFormat="1" ht="13.5" thickBot="1">
      <c r="A97" s="36" t="s">
        <v>6</v>
      </c>
      <c r="B97" s="37">
        <f>SUM(D96+F96+H96)</f>
        <v>3702.09</v>
      </c>
      <c r="C97" s="38"/>
      <c r="D97" s="39"/>
      <c r="E97" s="40"/>
      <c r="F97" s="41"/>
      <c r="G97" s="42"/>
      <c r="H97" s="43"/>
      <c r="I97" s="44"/>
    </row>
    <row r="98" spans="1:9" s="12" customFormat="1">
      <c r="A98" s="13" t="s">
        <v>203</v>
      </c>
      <c r="B98" s="14" t="s">
        <v>14</v>
      </c>
      <c r="C98" s="14" t="s">
        <v>21</v>
      </c>
      <c r="D98" s="15">
        <v>34.79</v>
      </c>
      <c r="E98" s="16" t="s">
        <v>50</v>
      </c>
      <c r="F98" s="17"/>
      <c r="G98" s="18"/>
      <c r="H98" s="19">
        <f>536.32</f>
        <v>536.32000000000005</v>
      </c>
      <c r="I98" s="20" t="s">
        <v>16</v>
      </c>
    </row>
    <row r="99" spans="1:9" s="12" customFormat="1">
      <c r="A99" s="21"/>
      <c r="B99" s="22" t="s">
        <v>65</v>
      </c>
      <c r="C99" s="23"/>
      <c r="D99" s="24">
        <v>57.1</v>
      </c>
      <c r="E99" s="25" t="s">
        <v>11</v>
      </c>
      <c r="F99" s="26"/>
      <c r="G99" s="27"/>
      <c r="H99" s="28">
        <f>176.34</f>
        <v>176.34</v>
      </c>
      <c r="I99" s="29" t="s">
        <v>8</v>
      </c>
    </row>
    <row r="100" spans="1:9" s="12" customFormat="1">
      <c r="A100" s="21"/>
      <c r="B100" s="22"/>
      <c r="C100" s="23"/>
      <c r="D100" s="24"/>
      <c r="E100" s="25"/>
      <c r="F100" s="26"/>
      <c r="G100" s="27"/>
      <c r="H100" s="28"/>
      <c r="I100" s="29"/>
    </row>
    <row r="101" spans="1:9" s="12" customFormat="1">
      <c r="A101" s="30" t="s">
        <v>5</v>
      </c>
      <c r="B101" s="21"/>
      <c r="C101" s="21"/>
      <c r="D101" s="31">
        <f>SUM(D98:D99)</f>
        <v>91.89</v>
      </c>
      <c r="E101" s="29"/>
      <c r="F101" s="32">
        <f>SUM(F98:F99)</f>
        <v>0</v>
      </c>
      <c r="G101" s="33"/>
      <c r="H101" s="34">
        <f>SUM(H98:H99)</f>
        <v>712.66000000000008</v>
      </c>
      <c r="I101" s="35"/>
    </row>
    <row r="102" spans="1:9" s="12" customFormat="1" ht="13.5" thickBot="1">
      <c r="A102" s="36" t="s">
        <v>6</v>
      </c>
      <c r="B102" s="37">
        <f>SUM(D101+F101+H101)</f>
        <v>804.55000000000007</v>
      </c>
      <c r="C102" s="38"/>
      <c r="D102" s="39"/>
      <c r="E102" s="40"/>
      <c r="F102" s="41"/>
      <c r="G102" s="42"/>
      <c r="H102" s="43"/>
      <c r="I102" s="44"/>
    </row>
    <row r="103" spans="1:9" s="12" customFormat="1">
      <c r="A103" s="13" t="s">
        <v>203</v>
      </c>
      <c r="B103" s="14" t="s">
        <v>88</v>
      </c>
      <c r="C103" s="14" t="s">
        <v>72</v>
      </c>
      <c r="D103" s="15">
        <f>8.52</f>
        <v>8.52</v>
      </c>
      <c r="E103" s="16" t="s">
        <v>50</v>
      </c>
      <c r="F103" s="17"/>
      <c r="G103" s="18"/>
      <c r="H103" s="19">
        <f>238.5+532.14</f>
        <v>770.64</v>
      </c>
      <c r="I103" s="20" t="s">
        <v>16</v>
      </c>
    </row>
    <row r="104" spans="1:9" s="12" customFormat="1">
      <c r="A104" s="21"/>
      <c r="B104" s="22" t="s">
        <v>38</v>
      </c>
      <c r="C104" s="23"/>
      <c r="D104" s="24">
        <v>20.3</v>
      </c>
      <c r="E104" s="25" t="s">
        <v>11</v>
      </c>
      <c r="F104" s="26"/>
      <c r="G104" s="27"/>
      <c r="H104" s="28">
        <f>393.01</f>
        <v>393.01</v>
      </c>
      <c r="I104" s="29" t="s">
        <v>8</v>
      </c>
    </row>
    <row r="105" spans="1:9" s="12" customFormat="1">
      <c r="A105" s="21"/>
      <c r="B105" s="22"/>
      <c r="C105" s="23"/>
      <c r="D105" s="24"/>
      <c r="E105" s="25"/>
      <c r="F105" s="26"/>
      <c r="G105" s="27"/>
      <c r="H105" s="28"/>
      <c r="I105" s="29"/>
    </row>
    <row r="106" spans="1:9" s="12" customFormat="1">
      <c r="A106" s="21"/>
      <c r="B106" s="22"/>
      <c r="C106" s="23"/>
      <c r="D106" s="24"/>
      <c r="E106" s="25"/>
      <c r="F106" s="26"/>
      <c r="G106" s="27"/>
      <c r="H106" s="28"/>
      <c r="I106" s="29"/>
    </row>
    <row r="107" spans="1:9" s="12" customFormat="1">
      <c r="A107" s="21"/>
      <c r="B107" s="22"/>
      <c r="C107" s="23" t="s">
        <v>18</v>
      </c>
      <c r="D107" s="24">
        <f>10+99.99</f>
        <v>109.99</v>
      </c>
      <c r="E107" s="25" t="s">
        <v>50</v>
      </c>
      <c r="F107" s="26"/>
      <c r="G107" s="27"/>
      <c r="H107" s="28">
        <f>238.5+532.14</f>
        <v>770.64</v>
      </c>
      <c r="I107" s="29" t="s">
        <v>16</v>
      </c>
    </row>
    <row r="108" spans="1:9" s="12" customFormat="1">
      <c r="A108" s="21"/>
      <c r="B108" s="22"/>
      <c r="C108" s="23"/>
      <c r="D108" s="24">
        <f>70.5</f>
        <v>70.5</v>
      </c>
      <c r="E108" s="25" t="s">
        <v>11</v>
      </c>
      <c r="F108" s="26"/>
      <c r="G108" s="27"/>
      <c r="H108" s="28">
        <f>393.01</f>
        <v>393.01</v>
      </c>
      <c r="I108" s="29" t="s">
        <v>8</v>
      </c>
    </row>
    <row r="109" spans="1:9" s="12" customFormat="1">
      <c r="A109" s="21"/>
      <c r="B109" s="22"/>
      <c r="C109" s="23"/>
      <c r="D109" s="24"/>
      <c r="E109" s="25"/>
      <c r="F109" s="26"/>
      <c r="G109" s="27"/>
      <c r="H109" s="28">
        <f>161.38</f>
        <v>161.38</v>
      </c>
      <c r="I109" s="29" t="s">
        <v>58</v>
      </c>
    </row>
    <row r="110" spans="1:9" s="12" customFormat="1">
      <c r="A110" s="21"/>
      <c r="B110" s="22"/>
      <c r="C110" s="23"/>
      <c r="D110" s="24"/>
      <c r="E110" s="25"/>
      <c r="F110" s="26"/>
      <c r="G110" s="27"/>
      <c r="H110" s="28"/>
      <c r="I110" s="29"/>
    </row>
    <row r="111" spans="1:9" s="12" customFormat="1">
      <c r="A111" s="21"/>
      <c r="B111" s="22"/>
      <c r="C111" s="23" t="s">
        <v>129</v>
      </c>
      <c r="D111" s="24"/>
      <c r="E111" s="25"/>
      <c r="F111" s="26"/>
      <c r="G111" s="27"/>
      <c r="H111" s="28">
        <f>238.5+532.14</f>
        <v>770.64</v>
      </c>
      <c r="I111" s="29" t="s">
        <v>16</v>
      </c>
    </row>
    <row r="112" spans="1:9" s="12" customFormat="1">
      <c r="A112" s="21"/>
      <c r="B112" s="22"/>
      <c r="C112" s="23"/>
      <c r="D112" s="24"/>
      <c r="E112" s="25"/>
      <c r="F112" s="26"/>
      <c r="G112" s="27"/>
      <c r="H112" s="28">
        <f>393.01</f>
        <v>393.01</v>
      </c>
      <c r="I112" s="29" t="s">
        <v>8</v>
      </c>
    </row>
    <row r="113" spans="1:9" s="12" customFormat="1">
      <c r="A113" s="21"/>
      <c r="B113" s="22"/>
      <c r="C113" s="23"/>
      <c r="D113" s="24"/>
      <c r="E113" s="25"/>
      <c r="F113" s="26"/>
      <c r="G113" s="27"/>
      <c r="H113" s="28"/>
      <c r="I113" s="29"/>
    </row>
    <row r="114" spans="1:9" s="12" customFormat="1">
      <c r="A114" s="30" t="s">
        <v>5</v>
      </c>
      <c r="B114" s="21"/>
      <c r="C114" s="21"/>
      <c r="D114" s="31">
        <f>SUM(D103:D113)</f>
        <v>209.31</v>
      </c>
      <c r="E114" s="29"/>
      <c r="F114" s="32">
        <f>SUM(F103:F104)</f>
        <v>0</v>
      </c>
      <c r="G114" s="33"/>
      <c r="H114" s="34">
        <f>SUM(H103:H113)</f>
        <v>3652.33</v>
      </c>
      <c r="I114" s="35"/>
    </row>
    <row r="115" spans="1:9" s="12" customFormat="1" ht="13.5" thickBot="1">
      <c r="A115" s="36" t="s">
        <v>6</v>
      </c>
      <c r="B115" s="37">
        <f>SUM(D114+F114+H114)</f>
        <v>3861.64</v>
      </c>
      <c r="C115" s="38"/>
      <c r="D115" s="39"/>
      <c r="E115" s="40"/>
      <c r="F115" s="41"/>
      <c r="G115" s="42"/>
      <c r="H115" s="43"/>
      <c r="I115" s="44"/>
    </row>
    <row r="116" spans="1:9" s="12" customFormat="1">
      <c r="A116" s="13" t="s">
        <v>213</v>
      </c>
      <c r="B116" s="14" t="s">
        <v>14</v>
      </c>
      <c r="C116" s="14" t="s">
        <v>127</v>
      </c>
      <c r="D116" s="15">
        <f>1.01+106.88</f>
        <v>107.89</v>
      </c>
      <c r="E116" s="16" t="s">
        <v>50</v>
      </c>
      <c r="F116" s="17"/>
      <c r="G116" s="18"/>
      <c r="H116" s="19">
        <f>1055.73</f>
        <v>1055.73</v>
      </c>
      <c r="I116" s="20" t="s">
        <v>16</v>
      </c>
    </row>
    <row r="117" spans="1:9" s="12" customFormat="1">
      <c r="A117" s="21"/>
      <c r="B117" s="22" t="s">
        <v>214</v>
      </c>
      <c r="C117" s="23"/>
      <c r="D117" s="24">
        <f>39.8+67.22</f>
        <v>107.02</v>
      </c>
      <c r="E117" s="25" t="s">
        <v>11</v>
      </c>
      <c r="F117" s="26"/>
      <c r="G117" s="27"/>
      <c r="H117" s="28">
        <f>367.02</f>
        <v>367.02</v>
      </c>
      <c r="I117" s="29" t="s">
        <v>8</v>
      </c>
    </row>
    <row r="118" spans="1:9" s="12" customFormat="1">
      <c r="A118" s="21"/>
      <c r="B118" s="22"/>
      <c r="C118" s="23"/>
      <c r="D118" s="24">
        <f>14.38+36.45</f>
        <v>50.830000000000005</v>
      </c>
      <c r="E118" s="25" t="s">
        <v>69</v>
      </c>
      <c r="F118" s="26"/>
      <c r="G118" s="27"/>
      <c r="H118" s="28"/>
      <c r="I118" s="29"/>
    </row>
    <row r="119" spans="1:9" s="12" customFormat="1">
      <c r="A119" s="21"/>
      <c r="B119" s="22"/>
      <c r="C119" s="23"/>
      <c r="D119" s="24"/>
      <c r="E119" s="25"/>
      <c r="F119" s="26"/>
      <c r="G119" s="27"/>
      <c r="H119" s="28"/>
      <c r="I119" s="29"/>
    </row>
    <row r="120" spans="1:9" s="12" customFormat="1">
      <c r="A120" s="21"/>
      <c r="B120" s="22"/>
      <c r="C120" s="23" t="s">
        <v>19</v>
      </c>
      <c r="D120" s="24">
        <f>340.11</f>
        <v>340.11</v>
      </c>
      <c r="E120" s="25" t="s">
        <v>50</v>
      </c>
      <c r="F120" s="26"/>
      <c r="G120" s="27"/>
      <c r="H120" s="28">
        <f>1055.73</f>
        <v>1055.73</v>
      </c>
      <c r="I120" s="29" t="s">
        <v>16</v>
      </c>
    </row>
    <row r="121" spans="1:9" s="12" customFormat="1">
      <c r="A121" s="21"/>
      <c r="B121" s="22"/>
      <c r="C121" s="23"/>
      <c r="D121" s="24">
        <f>67.09+84.81</f>
        <v>151.9</v>
      </c>
      <c r="E121" s="25" t="s">
        <v>11</v>
      </c>
      <c r="F121" s="26"/>
      <c r="G121" s="27"/>
      <c r="H121" s="28">
        <f>367.02</f>
        <v>367.02</v>
      </c>
      <c r="I121" s="29" t="s">
        <v>8</v>
      </c>
    </row>
    <row r="122" spans="1:9" s="12" customFormat="1">
      <c r="A122" s="21"/>
      <c r="B122" s="22"/>
      <c r="C122" s="23"/>
      <c r="D122" s="24"/>
      <c r="E122" s="25"/>
      <c r="F122" s="26"/>
      <c r="G122" s="27"/>
      <c r="H122" s="28"/>
      <c r="I122" s="29"/>
    </row>
    <row r="123" spans="1:9" s="12" customFormat="1">
      <c r="A123" s="30" t="s">
        <v>5</v>
      </c>
      <c r="B123" s="21"/>
      <c r="C123" s="21"/>
      <c r="D123" s="31">
        <f>SUM(D116:D122)</f>
        <v>757.75</v>
      </c>
      <c r="E123" s="29"/>
      <c r="F123" s="32">
        <f>SUM(F116:F117)</f>
        <v>0</v>
      </c>
      <c r="G123" s="33"/>
      <c r="H123" s="34">
        <f>SUM(H116:H122)</f>
        <v>2845.5</v>
      </c>
      <c r="I123" s="35"/>
    </row>
    <row r="124" spans="1:9" s="12" customFormat="1" ht="13.5" thickBot="1">
      <c r="A124" s="36" t="s">
        <v>6</v>
      </c>
      <c r="B124" s="37">
        <f>SUM(D123+F123+H123)</f>
        <v>3603.25</v>
      </c>
      <c r="C124" s="38"/>
      <c r="D124" s="39"/>
      <c r="E124" s="40"/>
      <c r="F124" s="41"/>
      <c r="G124" s="42"/>
      <c r="H124" s="43"/>
      <c r="I124" s="44"/>
    </row>
    <row r="125" spans="1:9" s="12" customFormat="1">
      <c r="A125" s="13" t="s">
        <v>223</v>
      </c>
      <c r="B125" s="14" t="s">
        <v>88</v>
      </c>
      <c r="C125" s="14" t="s">
        <v>47</v>
      </c>
      <c r="D125" s="15">
        <f>291.87</f>
        <v>291.87</v>
      </c>
      <c r="E125" s="16" t="s">
        <v>50</v>
      </c>
      <c r="F125" s="17"/>
      <c r="G125" s="18"/>
      <c r="H125" s="19">
        <f>3238.83</f>
        <v>3238.83</v>
      </c>
      <c r="I125" s="20" t="s">
        <v>16</v>
      </c>
    </row>
    <row r="126" spans="1:9" s="12" customFormat="1">
      <c r="A126" s="21"/>
      <c r="B126" s="22" t="s">
        <v>94</v>
      </c>
      <c r="C126" s="23"/>
      <c r="D126" s="24"/>
      <c r="E126" s="25"/>
      <c r="F126" s="26"/>
      <c r="G126" s="27"/>
      <c r="H126" s="28">
        <f>1531.62</f>
        <v>1531.62</v>
      </c>
      <c r="I126" s="29" t="s">
        <v>239</v>
      </c>
    </row>
    <row r="127" spans="1:9" s="12" customFormat="1">
      <c r="A127" s="21"/>
      <c r="B127" s="22"/>
      <c r="C127" s="23"/>
      <c r="D127" s="24"/>
      <c r="E127" s="25"/>
      <c r="F127" s="26"/>
      <c r="G127" s="27"/>
      <c r="H127" s="28">
        <f>334.25</f>
        <v>334.25</v>
      </c>
      <c r="I127" s="29" t="s">
        <v>58</v>
      </c>
    </row>
    <row r="128" spans="1:9" s="12" customFormat="1">
      <c r="A128" s="21"/>
      <c r="B128" s="22"/>
      <c r="C128" s="23"/>
      <c r="D128" s="24"/>
      <c r="E128" s="25"/>
      <c r="F128" s="26"/>
      <c r="G128" s="27"/>
      <c r="H128" s="28"/>
      <c r="I128" s="29"/>
    </row>
    <row r="129" spans="1:9" s="12" customFormat="1">
      <c r="A129" s="21"/>
      <c r="B129" s="22"/>
      <c r="C129" s="23" t="s">
        <v>18</v>
      </c>
      <c r="D129" s="24">
        <f>272.76</f>
        <v>272.76</v>
      </c>
      <c r="E129" s="25" t="s">
        <v>50</v>
      </c>
      <c r="F129" s="26"/>
      <c r="G129" s="27"/>
      <c r="H129" s="28">
        <f>3238.83</f>
        <v>3238.83</v>
      </c>
      <c r="I129" s="29" t="s">
        <v>16</v>
      </c>
    </row>
    <row r="130" spans="1:9" s="12" customFormat="1">
      <c r="A130" s="21"/>
      <c r="B130" s="22"/>
      <c r="C130" s="23"/>
      <c r="D130" s="24">
        <f>14.27</f>
        <v>14.27</v>
      </c>
      <c r="E130" s="25" t="s">
        <v>11</v>
      </c>
      <c r="F130" s="26"/>
      <c r="G130" s="27"/>
      <c r="H130" s="28">
        <f>1531.62</f>
        <v>1531.62</v>
      </c>
      <c r="I130" s="29" t="s">
        <v>239</v>
      </c>
    </row>
    <row r="131" spans="1:9" s="12" customFormat="1">
      <c r="A131" s="21"/>
      <c r="B131" s="22"/>
      <c r="C131" s="23"/>
      <c r="D131" s="24">
        <f>154</f>
        <v>154</v>
      </c>
      <c r="E131" s="25" t="s">
        <v>69</v>
      </c>
      <c r="F131" s="26"/>
      <c r="G131" s="27"/>
      <c r="H131" s="28"/>
      <c r="I131" s="29"/>
    </row>
    <row r="132" spans="1:9" s="12" customFormat="1">
      <c r="A132" s="21"/>
      <c r="B132" s="22"/>
      <c r="C132" s="23"/>
      <c r="D132" s="24"/>
      <c r="E132" s="25"/>
      <c r="F132" s="26"/>
      <c r="G132" s="27"/>
      <c r="H132" s="28"/>
      <c r="I132" s="29"/>
    </row>
    <row r="133" spans="1:9" s="12" customFormat="1">
      <c r="A133" s="30" t="s">
        <v>5</v>
      </c>
      <c r="B133" s="21"/>
      <c r="C133" s="21"/>
      <c r="D133" s="31">
        <f>SUM(D125:D132)</f>
        <v>732.9</v>
      </c>
      <c r="E133" s="29"/>
      <c r="F133" s="32">
        <f>SUM(F125:F126)</f>
        <v>0</v>
      </c>
      <c r="G133" s="33"/>
      <c r="H133" s="34">
        <f>SUM(H125:H132)</f>
        <v>9875.1499999999978</v>
      </c>
      <c r="I133" s="35"/>
    </row>
    <row r="134" spans="1:9" s="12" customFormat="1" ht="13.5" thickBot="1">
      <c r="A134" s="36" t="s">
        <v>6</v>
      </c>
      <c r="B134" s="37">
        <f>SUM(D133+F133+H133)</f>
        <v>10608.049999999997</v>
      </c>
      <c r="C134" s="38"/>
      <c r="D134" s="39"/>
      <c r="E134" s="40"/>
      <c r="F134" s="41"/>
      <c r="G134" s="42"/>
      <c r="H134" s="43"/>
      <c r="I134" s="44"/>
    </row>
    <row r="135" spans="1:9" s="12" customFormat="1">
      <c r="A135" s="13" t="s">
        <v>205</v>
      </c>
      <c r="B135" s="14" t="s">
        <v>14</v>
      </c>
      <c r="C135" s="14" t="s">
        <v>15</v>
      </c>
      <c r="D135" s="24">
        <v>60</v>
      </c>
      <c r="E135" s="25" t="s">
        <v>11</v>
      </c>
      <c r="F135" s="17"/>
      <c r="G135" s="18"/>
      <c r="H135" s="19">
        <f>685.06</f>
        <v>685.06</v>
      </c>
      <c r="I135" s="20" t="s">
        <v>16</v>
      </c>
    </row>
    <row r="136" spans="1:9" s="12" customFormat="1">
      <c r="A136" s="21"/>
      <c r="B136" s="22" t="s">
        <v>206</v>
      </c>
      <c r="C136" s="23"/>
      <c r="D136" s="24">
        <f>11.09+62.95</f>
        <v>74.040000000000006</v>
      </c>
      <c r="E136" s="25" t="s">
        <v>69</v>
      </c>
      <c r="F136" s="26"/>
      <c r="G136" s="27"/>
      <c r="H136" s="28">
        <f>476.91</f>
        <v>476.91</v>
      </c>
      <c r="I136" s="29" t="s">
        <v>8</v>
      </c>
    </row>
    <row r="137" spans="1:9" s="12" customFormat="1">
      <c r="A137" s="21"/>
      <c r="B137" s="22"/>
      <c r="C137" s="23"/>
      <c r="D137" s="24"/>
      <c r="E137" s="25"/>
      <c r="F137" s="26"/>
      <c r="G137" s="27"/>
      <c r="H137" s="28">
        <f>55.66</f>
        <v>55.66</v>
      </c>
      <c r="I137" s="29" t="s">
        <v>58</v>
      </c>
    </row>
    <row r="138" spans="1:9" s="12" customFormat="1">
      <c r="A138" s="21"/>
      <c r="B138" s="22"/>
      <c r="C138" s="23"/>
      <c r="D138" s="24"/>
      <c r="E138" s="25"/>
      <c r="F138" s="26"/>
      <c r="G138" s="27"/>
      <c r="H138" s="28"/>
      <c r="I138" s="29"/>
    </row>
    <row r="139" spans="1:9" s="12" customFormat="1">
      <c r="A139" s="21"/>
      <c r="B139" s="22"/>
      <c r="C139" s="23" t="s">
        <v>12</v>
      </c>
      <c r="D139" s="24">
        <f>12.4</f>
        <v>12.4</v>
      </c>
      <c r="E139" s="25" t="s">
        <v>50</v>
      </c>
      <c r="F139" s="26"/>
      <c r="G139" s="27"/>
      <c r="H139" s="28">
        <f>853.21</f>
        <v>853.21</v>
      </c>
      <c r="I139" s="29" t="s">
        <v>16</v>
      </c>
    </row>
    <row r="140" spans="1:9" s="12" customFormat="1">
      <c r="A140" s="21"/>
      <c r="B140" s="22"/>
      <c r="C140" s="23"/>
      <c r="D140" s="24">
        <f>57.8</f>
        <v>57.8</v>
      </c>
      <c r="E140" s="25" t="s">
        <v>11</v>
      </c>
      <c r="F140" s="26"/>
      <c r="G140" s="27"/>
      <c r="H140" s="28">
        <f>423.29</f>
        <v>423.29</v>
      </c>
      <c r="I140" s="29" t="s">
        <v>8</v>
      </c>
    </row>
    <row r="141" spans="1:9" s="12" customFormat="1">
      <c r="A141" s="21"/>
      <c r="B141" s="22"/>
      <c r="C141" s="23"/>
      <c r="D141" s="24">
        <f>120</f>
        <v>120</v>
      </c>
      <c r="E141" s="25" t="s">
        <v>207</v>
      </c>
      <c r="F141" s="26"/>
      <c r="G141" s="27"/>
      <c r="H141" s="28">
        <f>38.61</f>
        <v>38.61</v>
      </c>
      <c r="I141" s="29" t="s">
        <v>58</v>
      </c>
    </row>
    <row r="142" spans="1:9" s="12" customFormat="1">
      <c r="A142" s="21"/>
      <c r="B142" s="22"/>
      <c r="C142" s="23"/>
      <c r="D142" s="24"/>
      <c r="E142" s="25"/>
      <c r="F142" s="26"/>
      <c r="G142" s="27"/>
      <c r="H142" s="28"/>
      <c r="I142" s="29"/>
    </row>
    <row r="143" spans="1:9" s="12" customFormat="1">
      <c r="A143" s="21"/>
      <c r="B143" s="22"/>
      <c r="C143" s="23" t="s">
        <v>149</v>
      </c>
      <c r="D143" s="24">
        <f>12.23</f>
        <v>12.23</v>
      </c>
      <c r="E143" s="25" t="s">
        <v>50</v>
      </c>
      <c r="F143" s="26">
        <f>183.91</f>
        <v>183.91</v>
      </c>
      <c r="G143" s="27" t="s">
        <v>59</v>
      </c>
      <c r="H143" s="28">
        <f>853.21</f>
        <v>853.21</v>
      </c>
      <c r="I143" s="29" t="s">
        <v>16</v>
      </c>
    </row>
    <row r="144" spans="1:9" s="12" customFormat="1">
      <c r="A144" s="21"/>
      <c r="B144" s="22"/>
      <c r="C144" s="23"/>
      <c r="D144" s="24"/>
      <c r="E144" s="25"/>
      <c r="F144" s="26">
        <f>0.8</f>
        <v>0.8</v>
      </c>
      <c r="G144" s="27" t="s">
        <v>82</v>
      </c>
      <c r="H144" s="28">
        <f>423.29</f>
        <v>423.29</v>
      </c>
      <c r="I144" s="29" t="s">
        <v>8</v>
      </c>
    </row>
    <row r="145" spans="1:11" s="12" customFormat="1">
      <c r="A145" s="21"/>
      <c r="B145" s="22"/>
      <c r="C145" s="23"/>
      <c r="D145" s="24"/>
      <c r="E145" s="25"/>
      <c r="F145" s="26">
        <f>59</f>
        <v>59</v>
      </c>
      <c r="G145" s="27" t="s">
        <v>68</v>
      </c>
      <c r="H145" s="28">
        <f>14.14</f>
        <v>14.14</v>
      </c>
      <c r="I145" s="29" t="s">
        <v>58</v>
      </c>
    </row>
    <row r="146" spans="1:11" s="12" customFormat="1">
      <c r="A146" s="21"/>
      <c r="B146" s="22"/>
      <c r="C146" s="23"/>
      <c r="D146" s="24"/>
      <c r="E146" s="25"/>
      <c r="F146" s="26"/>
      <c r="G146" s="27"/>
      <c r="H146" s="28"/>
      <c r="I146" s="29"/>
    </row>
    <row r="147" spans="1:11" s="12" customFormat="1">
      <c r="A147" s="21"/>
      <c r="B147" s="22"/>
      <c r="C147" s="23" t="s">
        <v>13</v>
      </c>
      <c r="D147" s="24"/>
      <c r="E147" s="25"/>
      <c r="F147" s="26"/>
      <c r="G147" s="27"/>
      <c r="H147" s="28">
        <f>387.15-378.23+100</f>
        <v>108.91999999999996</v>
      </c>
      <c r="I147" s="50" t="s">
        <v>219</v>
      </c>
    </row>
    <row r="148" spans="1:11" s="12" customFormat="1">
      <c r="A148" s="21"/>
      <c r="B148" s="22"/>
      <c r="C148" s="23" t="s">
        <v>45</v>
      </c>
      <c r="D148" s="24"/>
      <c r="E148" s="25"/>
      <c r="F148" s="26"/>
      <c r="G148" s="27"/>
      <c r="H148" s="28">
        <f>846.57</f>
        <v>846.57</v>
      </c>
      <c r="I148" s="52" t="s">
        <v>198</v>
      </c>
    </row>
    <row r="149" spans="1:11" s="12" customFormat="1">
      <c r="A149" s="21"/>
      <c r="B149" s="22"/>
      <c r="C149" s="23"/>
      <c r="D149" s="24"/>
      <c r="E149" s="25"/>
      <c r="F149" s="26"/>
      <c r="G149" s="27"/>
      <c r="H149" s="28"/>
      <c r="I149" s="29"/>
    </row>
    <row r="150" spans="1:11" s="12" customFormat="1">
      <c r="A150" s="30" t="s">
        <v>5</v>
      </c>
      <c r="B150" s="21"/>
      <c r="C150" s="21"/>
      <c r="D150" s="31">
        <f>SUM(D135:D149)</f>
        <v>336.47</v>
      </c>
      <c r="E150" s="29"/>
      <c r="F150" s="32">
        <f>SUM(F135:F149)</f>
        <v>243.71</v>
      </c>
      <c r="G150" s="33"/>
      <c r="H150" s="34">
        <f>SUM(H135:H149)</f>
        <v>4778.87</v>
      </c>
      <c r="I150" s="35"/>
    </row>
    <row r="151" spans="1:11" s="12" customFormat="1" ht="13.5" thickBot="1">
      <c r="A151" s="36" t="s">
        <v>6</v>
      </c>
      <c r="B151" s="37">
        <f>SUM(D150+F150+H150)</f>
        <v>5359.05</v>
      </c>
      <c r="C151" s="38"/>
      <c r="D151" s="39"/>
      <c r="E151" s="40"/>
      <c r="F151" s="41"/>
      <c r="G151" s="42"/>
      <c r="H151" s="43"/>
      <c r="I151" s="44"/>
    </row>
    <row r="152" spans="1:11" s="12" customFormat="1">
      <c r="A152" s="13">
        <v>42150</v>
      </c>
      <c r="B152" s="14" t="s">
        <v>88</v>
      </c>
      <c r="C152" s="14" t="s">
        <v>21</v>
      </c>
      <c r="D152" s="15"/>
      <c r="E152" s="16"/>
      <c r="F152" s="17">
        <f>2.99</f>
        <v>2.99</v>
      </c>
      <c r="G152" s="18" t="s">
        <v>68</v>
      </c>
      <c r="H152" s="19"/>
      <c r="I152" s="20"/>
    </row>
    <row r="153" spans="1:11" s="12" customFormat="1">
      <c r="A153" s="21"/>
      <c r="B153" s="22" t="s">
        <v>65</v>
      </c>
      <c r="C153" s="23"/>
      <c r="D153" s="24"/>
      <c r="E153" s="25"/>
      <c r="F153" s="26"/>
      <c r="G153" s="27"/>
      <c r="H153" s="28"/>
      <c r="I153" s="29"/>
    </row>
    <row r="154" spans="1:11" s="12" customFormat="1">
      <c r="A154" s="30" t="s">
        <v>5</v>
      </c>
      <c r="B154" s="21"/>
      <c r="C154" s="21"/>
      <c r="D154" s="31">
        <f>SUM(D152:D153)</f>
        <v>0</v>
      </c>
      <c r="E154" s="29"/>
      <c r="F154" s="32">
        <f>SUM(F152:F153)</f>
        <v>2.99</v>
      </c>
      <c r="G154" s="33"/>
      <c r="H154" s="34">
        <f>SUM(H152:H153)</f>
        <v>0</v>
      </c>
      <c r="I154" s="35"/>
    </row>
    <row r="155" spans="1:11" s="12" customFormat="1" ht="13.5" thickBot="1">
      <c r="A155" s="36" t="s">
        <v>6</v>
      </c>
      <c r="B155" s="37">
        <f>SUM(D154+F154+H154)</f>
        <v>2.99</v>
      </c>
      <c r="C155" s="38"/>
      <c r="D155" s="39"/>
      <c r="E155" s="40"/>
      <c r="F155" s="41"/>
      <c r="G155" s="42"/>
      <c r="H155" s="43"/>
      <c r="I155" s="44"/>
    </row>
    <row r="156" spans="1:11" s="12" customFormat="1">
      <c r="A156" s="13">
        <v>42151</v>
      </c>
      <c r="B156" s="14" t="s">
        <v>191</v>
      </c>
      <c r="C156" s="14" t="s">
        <v>17</v>
      </c>
      <c r="D156" s="15">
        <v>27.5</v>
      </c>
      <c r="E156" s="16" t="s">
        <v>50</v>
      </c>
      <c r="F156" s="17"/>
      <c r="G156" s="18"/>
      <c r="H156" s="19"/>
      <c r="I156" s="20"/>
    </row>
    <row r="157" spans="1:11" s="12" customFormat="1">
      <c r="A157" s="21"/>
      <c r="B157" s="22" t="s">
        <v>192</v>
      </c>
      <c r="C157" s="23"/>
      <c r="D157" s="24"/>
      <c r="E157" s="25"/>
      <c r="F157" s="26"/>
      <c r="G157" s="27"/>
      <c r="H157" s="28"/>
      <c r="I157" s="29"/>
    </row>
    <row r="158" spans="1:11" s="12" customFormat="1">
      <c r="A158" s="30" t="s">
        <v>5</v>
      </c>
      <c r="B158" s="21"/>
      <c r="C158" s="21"/>
      <c r="D158" s="31">
        <f>SUM(D156:D157)</f>
        <v>27.5</v>
      </c>
      <c r="E158" s="29"/>
      <c r="F158" s="32">
        <f>SUM(F156:F157)</f>
        <v>0</v>
      </c>
      <c r="G158" s="33"/>
      <c r="H158" s="34">
        <f>SUM(H156:H157)</f>
        <v>0</v>
      </c>
      <c r="I158" s="35"/>
    </row>
    <row r="159" spans="1:11" s="12" customFormat="1" ht="13.5" thickBot="1">
      <c r="A159" s="36" t="s">
        <v>6</v>
      </c>
      <c r="B159" s="37">
        <f>SUM(D158+F158+H158)</f>
        <v>27.5</v>
      </c>
      <c r="C159" s="38"/>
      <c r="D159" s="39"/>
      <c r="E159" s="40"/>
      <c r="F159" s="41"/>
      <c r="G159" s="42"/>
      <c r="H159" s="43"/>
      <c r="I159" s="44"/>
    </row>
    <row r="160" spans="1:11" ht="13.5" thickBot="1">
      <c r="J160" s="12"/>
      <c r="K160" s="46"/>
    </row>
    <row r="161" spans="1:11" ht="15.75">
      <c r="A161" s="2" t="s">
        <v>106</v>
      </c>
      <c r="B161" s="7">
        <f>SUM(B7,B41,B49,B65,B97,B102,B124,B151)</f>
        <v>17733.669999999998</v>
      </c>
      <c r="J161" s="12"/>
      <c r="K161" s="46"/>
    </row>
    <row r="162" spans="1:11" ht="15.75">
      <c r="A162" s="3" t="s">
        <v>105</v>
      </c>
      <c r="B162" s="8">
        <f>SUM(B11,B74)</f>
        <v>1783.77</v>
      </c>
      <c r="J162" s="12"/>
      <c r="K162" s="48"/>
    </row>
    <row r="163" spans="1:11" ht="15.75">
      <c r="A163" s="3" t="s">
        <v>107</v>
      </c>
      <c r="B163" s="9">
        <v>0</v>
      </c>
      <c r="J163" s="12"/>
      <c r="K163" s="46"/>
    </row>
    <row r="164" spans="1:11" ht="16.5" thickBot="1">
      <c r="A164" s="4" t="s">
        <v>108</v>
      </c>
      <c r="B164" s="10">
        <f>SUM(B34,B45,B69,B87,B115,B134,B155,B159)</f>
        <v>45489.499999999993</v>
      </c>
    </row>
    <row r="165" spans="1:11" ht="16.5" thickBot="1">
      <c r="A165" s="5" t="s">
        <v>25</v>
      </c>
      <c r="B165" s="6">
        <f>SUM(B161:B164)</f>
        <v>65006.939999999988</v>
      </c>
    </row>
    <row r="166" spans="1:11">
      <c r="B166" s="47">
        <f>SUM(B7,B11,B34,B41,B45,B49,B65,B69,B74,B87,B97,B102,B115,B124,B134,B151,B155,B159)-B165</f>
        <v>0</v>
      </c>
    </row>
  </sheetData>
  <mergeCells count="3"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46"/>
  <sheetViews>
    <sheetView workbookViewId="0">
      <selection activeCell="F131" sqref="F131:G131"/>
    </sheetView>
  </sheetViews>
  <sheetFormatPr defaultRowHeight="12.75"/>
  <cols>
    <col min="1" max="1" width="31.7109375" style="45" bestFit="1" customWidth="1"/>
    <col min="2" max="2" width="35.5703125" style="45" bestFit="1" customWidth="1"/>
    <col min="3" max="3" width="19.140625" style="45" customWidth="1"/>
    <col min="4" max="4" width="18.28515625" style="45" customWidth="1"/>
    <col min="5" max="5" width="26.42578125" style="45" customWidth="1"/>
    <col min="6" max="6" width="15.7109375" style="45" customWidth="1"/>
    <col min="7" max="7" width="30.140625" style="45" customWidth="1"/>
    <col min="8" max="8" width="19.28515625" style="45" customWidth="1"/>
    <col min="9" max="9" width="33.28515625" style="45" customWidth="1"/>
    <col min="10" max="10" width="14.42578125" style="45" bestFit="1" customWidth="1"/>
    <col min="11" max="11" width="9.7109375" style="45" bestFit="1" customWidth="1"/>
    <col min="12" max="16384" width="9.140625" style="45"/>
  </cols>
  <sheetData>
    <row r="1" spans="1:9" s="12" customFormat="1" ht="13.5" thickBot="1">
      <c r="A1" s="11" t="s">
        <v>0</v>
      </c>
      <c r="B1" s="11" t="s">
        <v>1</v>
      </c>
      <c r="C1" s="11" t="s">
        <v>2</v>
      </c>
      <c r="D1" s="55" t="s">
        <v>3</v>
      </c>
      <c r="E1" s="56"/>
      <c r="F1" s="57" t="s">
        <v>30</v>
      </c>
      <c r="G1" s="58"/>
      <c r="H1" s="57" t="s">
        <v>31</v>
      </c>
      <c r="I1" s="58"/>
    </row>
    <row r="2" spans="1:9" s="12" customFormat="1">
      <c r="A2" s="13" t="s">
        <v>217</v>
      </c>
      <c r="B2" s="14" t="s">
        <v>52</v>
      </c>
      <c r="C2" s="14" t="s">
        <v>13</v>
      </c>
      <c r="D2" s="15"/>
      <c r="E2" s="16"/>
      <c r="F2" s="17"/>
      <c r="G2" s="18"/>
      <c r="H2" s="19">
        <f>178.34+656.27-80.49</f>
        <v>754.12</v>
      </c>
      <c r="I2" s="54" t="s">
        <v>228</v>
      </c>
    </row>
    <row r="3" spans="1:9" s="12" customFormat="1">
      <c r="A3" s="21"/>
      <c r="B3" s="22" t="s">
        <v>218</v>
      </c>
      <c r="C3" s="23" t="s">
        <v>45</v>
      </c>
      <c r="D3" s="24"/>
      <c r="E3" s="25"/>
      <c r="F3" s="26"/>
      <c r="G3" s="27"/>
      <c r="H3" s="28">
        <f>183.23</f>
        <v>183.23</v>
      </c>
      <c r="I3" s="52" t="s">
        <v>198</v>
      </c>
    </row>
    <row r="4" spans="1:9" s="12" customFormat="1">
      <c r="A4" s="21"/>
      <c r="B4" s="22"/>
      <c r="C4" s="23"/>
      <c r="D4" s="24"/>
      <c r="E4" s="25"/>
      <c r="F4" s="26"/>
      <c r="G4" s="27"/>
      <c r="H4" s="28"/>
      <c r="I4" s="29"/>
    </row>
    <row r="5" spans="1:9" s="12" customFormat="1">
      <c r="A5" s="21"/>
      <c r="B5" s="22"/>
      <c r="C5" s="23" t="s">
        <v>127</v>
      </c>
      <c r="D5" s="24"/>
      <c r="E5" s="25"/>
      <c r="F5" s="26"/>
      <c r="G5" s="27"/>
      <c r="H5" s="28">
        <f>173.65</f>
        <v>173.65</v>
      </c>
      <c r="I5" s="29" t="s">
        <v>16</v>
      </c>
    </row>
    <row r="6" spans="1:9" s="12" customFormat="1">
      <c r="A6" s="21"/>
      <c r="B6" s="22"/>
      <c r="C6" s="23"/>
      <c r="D6" s="24"/>
      <c r="E6" s="25"/>
      <c r="F6" s="26"/>
      <c r="G6" s="27"/>
      <c r="H6" s="28"/>
      <c r="I6" s="29"/>
    </row>
    <row r="7" spans="1:9" s="12" customFormat="1">
      <c r="A7" s="21"/>
      <c r="B7" s="22"/>
      <c r="C7" s="23"/>
      <c r="D7" s="24"/>
      <c r="E7" s="25"/>
      <c r="F7" s="26"/>
      <c r="G7" s="27"/>
      <c r="H7" s="28"/>
      <c r="I7" s="29"/>
    </row>
    <row r="8" spans="1:9" s="12" customFormat="1">
      <c r="A8" s="21"/>
      <c r="B8" s="22"/>
      <c r="C8" s="23" t="s">
        <v>149</v>
      </c>
      <c r="D8" s="24">
        <f>27.22+343.88+33.47</f>
        <v>404.57000000000005</v>
      </c>
      <c r="E8" s="25" t="s">
        <v>50</v>
      </c>
      <c r="F8" s="26">
        <f>102.83</f>
        <v>102.83</v>
      </c>
      <c r="G8" s="27" t="s">
        <v>59</v>
      </c>
      <c r="H8" s="28">
        <f>466.74+175.46</f>
        <v>642.20000000000005</v>
      </c>
      <c r="I8" s="29" t="s">
        <v>16</v>
      </c>
    </row>
    <row r="9" spans="1:9" s="12" customFormat="1">
      <c r="A9" s="21"/>
      <c r="B9" s="22"/>
      <c r="C9" s="23"/>
      <c r="D9" s="24">
        <f>183.46</f>
        <v>183.46</v>
      </c>
      <c r="E9" s="25" t="s">
        <v>11</v>
      </c>
      <c r="F9" s="26">
        <f>1.6</f>
        <v>1.6</v>
      </c>
      <c r="G9" s="27" t="s">
        <v>82</v>
      </c>
      <c r="H9" s="28">
        <f>174.5</f>
        <v>174.5</v>
      </c>
      <c r="I9" s="29" t="s">
        <v>8</v>
      </c>
    </row>
    <row r="10" spans="1:9" s="12" customFormat="1">
      <c r="A10" s="21"/>
      <c r="B10" s="22"/>
      <c r="C10" s="23"/>
      <c r="D10" s="24">
        <f>40.24+11.51</f>
        <v>51.75</v>
      </c>
      <c r="E10" s="25" t="s">
        <v>69</v>
      </c>
      <c r="F10" s="26">
        <f>40</f>
        <v>40</v>
      </c>
      <c r="G10" s="27" t="s">
        <v>68</v>
      </c>
      <c r="H10" s="28">
        <f>265</f>
        <v>265</v>
      </c>
      <c r="I10" s="29" t="s">
        <v>230</v>
      </c>
    </row>
    <row r="11" spans="1:9" s="12" customFormat="1">
      <c r="A11" s="21"/>
      <c r="B11" s="22"/>
      <c r="C11" s="23"/>
      <c r="D11" s="24"/>
      <c r="E11" s="25"/>
      <c r="F11" s="26"/>
      <c r="G11" s="27"/>
      <c r="H11" s="28">
        <f>128.41</f>
        <v>128.41</v>
      </c>
      <c r="I11" s="29" t="s">
        <v>58</v>
      </c>
    </row>
    <row r="12" spans="1:9" s="12" customFormat="1">
      <c r="A12" s="21"/>
      <c r="B12" s="22"/>
      <c r="C12" s="23"/>
      <c r="D12" s="24"/>
      <c r="E12" s="25"/>
      <c r="F12" s="26"/>
      <c r="G12" s="27"/>
      <c r="H12" s="28"/>
      <c r="I12" s="29"/>
    </row>
    <row r="13" spans="1:9" s="12" customFormat="1">
      <c r="A13" s="30" t="s">
        <v>5</v>
      </c>
      <c r="B13" s="21"/>
      <c r="C13" s="21"/>
      <c r="D13" s="31">
        <f>SUM(D2:D3)</f>
        <v>0</v>
      </c>
      <c r="E13" s="29"/>
      <c r="F13" s="32">
        <f>SUM(F2:F3)</f>
        <v>0</v>
      </c>
      <c r="G13" s="33"/>
      <c r="H13" s="34">
        <f>SUM(H2:H3)</f>
        <v>937.35</v>
      </c>
      <c r="I13" s="35"/>
    </row>
    <row r="14" spans="1:9" s="12" customFormat="1" ht="13.5" thickBot="1">
      <c r="A14" s="36" t="s">
        <v>6</v>
      </c>
      <c r="B14" s="37">
        <f>SUM(D13+F13+H13)</f>
        <v>937.35</v>
      </c>
      <c r="C14" s="38"/>
      <c r="D14" s="39"/>
      <c r="E14" s="40"/>
      <c r="F14" s="41"/>
      <c r="G14" s="42"/>
      <c r="H14" s="43"/>
      <c r="I14" s="44"/>
    </row>
    <row r="15" spans="1:9" s="12" customFormat="1">
      <c r="A15" s="13" t="s">
        <v>193</v>
      </c>
      <c r="B15" s="14" t="s">
        <v>194</v>
      </c>
      <c r="C15" s="14" t="s">
        <v>21</v>
      </c>
      <c r="D15" s="15">
        <f>5.63+59.25</f>
        <v>64.88</v>
      </c>
      <c r="E15" s="16" t="s">
        <v>50</v>
      </c>
      <c r="F15" s="17"/>
      <c r="G15" s="18"/>
      <c r="H15" s="19">
        <f>593.98</f>
        <v>593.98</v>
      </c>
      <c r="I15" s="20" t="s">
        <v>16</v>
      </c>
    </row>
    <row r="16" spans="1:9" s="12" customFormat="1">
      <c r="A16" s="21"/>
      <c r="B16" s="22" t="s">
        <v>61</v>
      </c>
      <c r="C16" s="23"/>
      <c r="D16" s="24">
        <f>56.82+10.21</f>
        <v>67.03</v>
      </c>
      <c r="E16" s="25" t="s">
        <v>11</v>
      </c>
      <c r="F16" s="26"/>
      <c r="G16" s="27"/>
      <c r="H16" s="28">
        <f>546.26+577.31-546.26</f>
        <v>577.30999999999995</v>
      </c>
      <c r="I16" s="29" t="s">
        <v>8</v>
      </c>
    </row>
    <row r="17" spans="1:9" s="12" customFormat="1">
      <c r="A17" s="21"/>
      <c r="B17" s="22"/>
      <c r="C17" s="23"/>
      <c r="D17" s="24"/>
      <c r="E17" s="25"/>
      <c r="F17" s="26"/>
      <c r="G17" s="27"/>
      <c r="H17" s="28"/>
      <c r="I17" s="29"/>
    </row>
    <row r="18" spans="1:9" s="12" customFormat="1">
      <c r="A18" s="21"/>
      <c r="B18" s="22"/>
      <c r="C18" s="23" t="s">
        <v>22</v>
      </c>
      <c r="D18" s="24">
        <f>56.63</f>
        <v>56.63</v>
      </c>
      <c r="E18" s="25" t="s">
        <v>50</v>
      </c>
      <c r="F18" s="26"/>
      <c r="G18" s="27"/>
      <c r="H18" s="28">
        <f>468.8-468.8+225.99</f>
        <v>225.99</v>
      </c>
      <c r="I18" s="29" t="s">
        <v>16</v>
      </c>
    </row>
    <row r="19" spans="1:9" s="12" customFormat="1">
      <c r="A19" s="21"/>
      <c r="B19" s="22"/>
      <c r="C19" s="23"/>
      <c r="D19" s="24">
        <f>38.16</f>
        <v>38.159999999999997</v>
      </c>
      <c r="E19" s="25" t="s">
        <v>11</v>
      </c>
      <c r="F19" s="26"/>
      <c r="G19" s="27"/>
      <c r="H19" s="28">
        <f>546.26-546.26+461.28</f>
        <v>461.28</v>
      </c>
      <c r="I19" s="29" t="s">
        <v>8</v>
      </c>
    </row>
    <row r="20" spans="1:9" s="12" customFormat="1">
      <c r="A20" s="21"/>
      <c r="B20" s="22"/>
      <c r="C20" s="23"/>
      <c r="D20" s="24"/>
      <c r="E20" s="25"/>
      <c r="F20" s="26"/>
      <c r="G20" s="27"/>
      <c r="H20" s="28">
        <f>51.89</f>
        <v>51.89</v>
      </c>
      <c r="I20" s="29" t="s">
        <v>58</v>
      </c>
    </row>
    <row r="21" spans="1:9" s="12" customFormat="1">
      <c r="A21" s="21"/>
      <c r="B21" s="22"/>
      <c r="C21" s="23"/>
      <c r="D21" s="24"/>
      <c r="E21" s="25"/>
      <c r="F21" s="26"/>
      <c r="G21" s="27"/>
      <c r="H21" s="28"/>
      <c r="I21" s="29"/>
    </row>
    <row r="22" spans="1:9" s="12" customFormat="1">
      <c r="A22" s="21"/>
      <c r="B22" s="22"/>
      <c r="C22" s="23" t="s">
        <v>23</v>
      </c>
      <c r="D22" s="24"/>
      <c r="E22" s="25"/>
      <c r="F22" s="26"/>
      <c r="G22" s="27"/>
      <c r="H22" s="28">
        <f>1897.51</f>
        <v>1897.51</v>
      </c>
      <c r="I22" s="29" t="s">
        <v>16</v>
      </c>
    </row>
    <row r="23" spans="1:9" s="12" customFormat="1">
      <c r="A23" s="21"/>
      <c r="B23" s="22"/>
      <c r="C23" s="23"/>
      <c r="D23" s="24"/>
      <c r="E23" s="25"/>
      <c r="F23" s="26"/>
      <c r="G23" s="27"/>
      <c r="H23" s="28">
        <f>541.79+577.31-541.79</f>
        <v>577.30999999999995</v>
      </c>
      <c r="I23" s="29" t="s">
        <v>8</v>
      </c>
    </row>
    <row r="24" spans="1:9" s="12" customFormat="1">
      <c r="A24" s="21"/>
      <c r="B24" s="22"/>
      <c r="C24" s="23"/>
      <c r="D24" s="24"/>
      <c r="E24" s="25"/>
      <c r="F24" s="26"/>
      <c r="G24" s="27"/>
      <c r="H24" s="28"/>
      <c r="I24" s="29"/>
    </row>
    <row r="25" spans="1:9" s="12" customFormat="1">
      <c r="A25" s="30" t="s">
        <v>5</v>
      </c>
      <c r="B25" s="21"/>
      <c r="C25" s="21"/>
      <c r="D25" s="31">
        <f>SUM(D15:D16)</f>
        <v>131.91</v>
      </c>
      <c r="E25" s="29"/>
      <c r="F25" s="32">
        <f>SUM(F15:F16)</f>
        <v>0</v>
      </c>
      <c r="G25" s="33"/>
      <c r="H25" s="34">
        <f>SUM(H15:H16)</f>
        <v>1171.29</v>
      </c>
      <c r="I25" s="35"/>
    </row>
    <row r="26" spans="1:9" s="12" customFormat="1" ht="13.5" thickBot="1">
      <c r="A26" s="36" t="s">
        <v>6</v>
      </c>
      <c r="B26" s="37">
        <f>SUM(D25+F25+H25)</f>
        <v>1303.2</v>
      </c>
      <c r="C26" s="38"/>
      <c r="D26" s="39"/>
      <c r="E26" s="40"/>
      <c r="F26" s="41"/>
      <c r="G26" s="42"/>
      <c r="H26" s="43"/>
      <c r="I26" s="44"/>
    </row>
    <row r="27" spans="1:9" s="12" customFormat="1">
      <c r="A27" s="13" t="s">
        <v>195</v>
      </c>
      <c r="B27" s="14" t="s">
        <v>196</v>
      </c>
      <c r="C27" s="14" t="s">
        <v>13</v>
      </c>
      <c r="D27" s="15"/>
      <c r="E27" s="16"/>
      <c r="F27" s="17"/>
      <c r="G27" s="18"/>
      <c r="H27" s="19">
        <f>357-357</f>
        <v>0</v>
      </c>
      <c r="I27" s="20" t="s">
        <v>8</v>
      </c>
    </row>
    <row r="28" spans="1:9" s="12" customFormat="1">
      <c r="A28" s="21"/>
      <c r="B28" s="22" t="s">
        <v>197</v>
      </c>
      <c r="C28" s="23" t="s">
        <v>45</v>
      </c>
      <c r="D28" s="24"/>
      <c r="E28" s="25"/>
      <c r="F28" s="26"/>
      <c r="G28" s="27"/>
      <c r="H28" s="28"/>
      <c r="I28" s="29"/>
    </row>
    <row r="29" spans="1:9" s="12" customFormat="1">
      <c r="A29" s="21"/>
      <c r="B29" s="22"/>
      <c r="C29" s="23"/>
      <c r="D29" s="24"/>
      <c r="E29" s="25"/>
      <c r="F29" s="26"/>
      <c r="G29" s="27"/>
      <c r="H29" s="28"/>
      <c r="I29" s="29"/>
    </row>
    <row r="30" spans="1:9" s="12" customFormat="1">
      <c r="A30" s="21"/>
      <c r="B30" s="22"/>
      <c r="C30" s="23" t="s">
        <v>70</v>
      </c>
      <c r="D30" s="24">
        <f>402.38</f>
        <v>402.38</v>
      </c>
      <c r="E30" s="25" t="s">
        <v>50</v>
      </c>
      <c r="F30" s="26">
        <v>5.62</v>
      </c>
      <c r="G30" s="27" t="s">
        <v>59</v>
      </c>
      <c r="H30" s="28">
        <f>147.83+93</f>
        <v>240.83</v>
      </c>
      <c r="I30" s="29" t="s">
        <v>16</v>
      </c>
    </row>
    <row r="31" spans="1:9" s="12" customFormat="1">
      <c r="A31" s="21"/>
      <c r="B31" s="22"/>
      <c r="C31" s="23"/>
      <c r="D31" s="24">
        <f>41.23</f>
        <v>41.23</v>
      </c>
      <c r="E31" s="25" t="s">
        <v>11</v>
      </c>
      <c r="F31" s="26">
        <v>67</v>
      </c>
      <c r="G31" s="27" t="s">
        <v>68</v>
      </c>
      <c r="H31" s="28"/>
      <c r="I31" s="29"/>
    </row>
    <row r="32" spans="1:9" s="12" customFormat="1">
      <c r="A32" s="21"/>
      <c r="B32" s="22"/>
      <c r="C32" s="23"/>
      <c r="D32" s="24">
        <f>10</f>
        <v>10</v>
      </c>
      <c r="E32" s="25" t="s">
        <v>69</v>
      </c>
      <c r="F32" s="26"/>
      <c r="G32" s="27"/>
      <c r="H32" s="28">
        <f>44.94</f>
        <v>44.94</v>
      </c>
      <c r="I32" s="29" t="s">
        <v>58</v>
      </c>
    </row>
    <row r="33" spans="1:9" s="12" customFormat="1">
      <c r="A33" s="21"/>
      <c r="B33" s="22"/>
      <c r="C33" s="23"/>
      <c r="D33" s="24"/>
      <c r="E33" s="25"/>
      <c r="F33" s="26"/>
      <c r="G33" s="27"/>
      <c r="H33" s="28"/>
      <c r="I33" s="29"/>
    </row>
    <row r="34" spans="1:9" s="12" customFormat="1">
      <c r="A34" s="21"/>
      <c r="B34" s="22"/>
      <c r="C34" s="23" t="s">
        <v>129</v>
      </c>
      <c r="D34" s="24"/>
      <c r="E34" s="25"/>
      <c r="F34" s="26"/>
      <c r="G34" s="27"/>
      <c r="H34" s="28">
        <f>147.83</f>
        <v>147.83000000000001</v>
      </c>
      <c r="I34" s="29" t="s">
        <v>16</v>
      </c>
    </row>
    <row r="35" spans="1:9" s="12" customFormat="1">
      <c r="A35" s="21"/>
      <c r="B35" s="22"/>
      <c r="C35" s="23"/>
      <c r="D35" s="24"/>
      <c r="E35" s="25"/>
      <c r="F35" s="26"/>
      <c r="G35" s="27"/>
      <c r="H35" s="28">
        <f>357</f>
        <v>357</v>
      </c>
      <c r="I35" s="29" t="s">
        <v>8</v>
      </c>
    </row>
    <row r="36" spans="1:9" s="12" customFormat="1">
      <c r="A36" s="21"/>
      <c r="B36" s="22"/>
      <c r="C36" s="23"/>
      <c r="D36" s="24"/>
      <c r="E36" s="25"/>
      <c r="F36" s="26"/>
      <c r="G36" s="27"/>
      <c r="H36" s="28"/>
      <c r="I36" s="29"/>
    </row>
    <row r="37" spans="1:9" s="12" customFormat="1">
      <c r="A37" s="21"/>
      <c r="B37" s="22"/>
      <c r="C37" s="23"/>
      <c r="D37" s="24"/>
      <c r="E37" s="25"/>
      <c r="F37" s="26"/>
      <c r="G37" s="27"/>
      <c r="H37" s="28"/>
      <c r="I37" s="29"/>
    </row>
    <row r="38" spans="1:9" s="12" customFormat="1">
      <c r="A38" s="21"/>
      <c r="B38" s="22"/>
      <c r="C38" s="23" t="s">
        <v>41</v>
      </c>
      <c r="D38" s="24"/>
      <c r="E38" s="25"/>
      <c r="F38" s="26"/>
      <c r="G38" s="27"/>
      <c r="H38" s="53">
        <f>2130.88+115.62+2400.53</f>
        <v>4647.0300000000007</v>
      </c>
      <c r="I38" s="29" t="s">
        <v>225</v>
      </c>
    </row>
    <row r="39" spans="1:9" s="12" customFormat="1">
      <c r="A39" s="21"/>
      <c r="B39" s="22"/>
      <c r="C39" s="23"/>
      <c r="D39" s="24"/>
      <c r="E39" s="25"/>
      <c r="F39" s="26"/>
      <c r="G39" s="27"/>
      <c r="H39" s="28">
        <f>357+595-595</f>
        <v>357</v>
      </c>
      <c r="I39" s="29" t="s">
        <v>8</v>
      </c>
    </row>
    <row r="40" spans="1:9" s="12" customFormat="1">
      <c r="A40" s="21"/>
      <c r="B40" s="22"/>
      <c r="C40" s="23"/>
      <c r="D40" s="24"/>
      <c r="E40" s="25"/>
      <c r="F40" s="26"/>
      <c r="G40" s="27"/>
      <c r="H40" s="28"/>
      <c r="I40" s="29"/>
    </row>
    <row r="41" spans="1:9" s="12" customFormat="1">
      <c r="A41" s="21"/>
      <c r="B41" s="22"/>
      <c r="C41" s="23"/>
      <c r="D41" s="24"/>
      <c r="E41" s="25"/>
      <c r="F41" s="26"/>
      <c r="G41" s="27"/>
      <c r="H41" s="28"/>
      <c r="I41" s="29"/>
    </row>
    <row r="42" spans="1:9" s="12" customFormat="1">
      <c r="A42" s="21"/>
      <c r="B42" s="22"/>
      <c r="C42" s="23" t="s">
        <v>7</v>
      </c>
      <c r="D42" s="24"/>
      <c r="E42" s="25"/>
      <c r="F42" s="26"/>
      <c r="G42" s="27"/>
      <c r="H42" s="28">
        <f>147.83</f>
        <v>147.83000000000001</v>
      </c>
      <c r="I42" s="29" t="s">
        <v>16</v>
      </c>
    </row>
    <row r="43" spans="1:9" s="12" customFormat="1">
      <c r="A43" s="21"/>
      <c r="B43" s="22"/>
      <c r="C43" s="23"/>
      <c r="D43" s="24"/>
      <c r="E43" s="25"/>
      <c r="F43" s="26"/>
      <c r="G43" s="27"/>
      <c r="H43" s="28">
        <f>357</f>
        <v>357</v>
      </c>
      <c r="I43" s="29" t="s">
        <v>8</v>
      </c>
    </row>
    <row r="44" spans="1:9" s="12" customFormat="1">
      <c r="A44" s="21"/>
      <c r="B44" s="22"/>
      <c r="C44" s="23"/>
      <c r="D44" s="24"/>
      <c r="E44" s="25"/>
      <c r="F44" s="26"/>
      <c r="G44" s="27"/>
      <c r="H44" s="28"/>
      <c r="I44" s="29"/>
    </row>
    <row r="45" spans="1:9" s="12" customFormat="1">
      <c r="A45" s="21"/>
      <c r="B45" s="22"/>
      <c r="C45" s="23" t="s">
        <v>12</v>
      </c>
      <c r="D45" s="24"/>
      <c r="E45" s="25"/>
      <c r="F45" s="26"/>
      <c r="G45" s="27"/>
      <c r="H45" s="28">
        <f>147.83</f>
        <v>147.83000000000001</v>
      </c>
      <c r="I45" s="29" t="s">
        <v>16</v>
      </c>
    </row>
    <row r="46" spans="1:9" s="12" customFormat="1">
      <c r="A46" s="21"/>
      <c r="B46" s="22"/>
      <c r="C46" s="23"/>
      <c r="D46" s="24"/>
      <c r="E46" s="25"/>
      <c r="F46" s="26"/>
      <c r="G46" s="27"/>
      <c r="H46" s="28">
        <f>357</f>
        <v>357</v>
      </c>
      <c r="I46" s="29" t="s">
        <v>8</v>
      </c>
    </row>
    <row r="47" spans="1:9" s="12" customFormat="1">
      <c r="A47" s="21"/>
      <c r="B47" s="22"/>
      <c r="C47" s="23"/>
      <c r="D47" s="24"/>
      <c r="E47" s="25"/>
      <c r="F47" s="26"/>
      <c r="G47" s="27"/>
      <c r="H47" s="28"/>
      <c r="I47" s="29"/>
    </row>
    <row r="48" spans="1:9" s="12" customFormat="1">
      <c r="A48" s="21"/>
      <c r="B48" s="22"/>
      <c r="C48" s="23"/>
      <c r="D48" s="24"/>
      <c r="E48" s="25"/>
      <c r="F48" s="26"/>
      <c r="G48" s="27"/>
      <c r="H48" s="28"/>
      <c r="I48" s="29"/>
    </row>
    <row r="49" spans="1:9" s="12" customFormat="1">
      <c r="A49" s="21"/>
      <c r="B49" s="22"/>
      <c r="C49" s="23" t="s">
        <v>19</v>
      </c>
      <c r="D49" s="24"/>
      <c r="E49" s="25"/>
      <c r="F49" s="26"/>
      <c r="G49" s="27"/>
      <c r="H49" s="28">
        <f>807.61</f>
        <v>807.61</v>
      </c>
      <c r="I49" s="29" t="s">
        <v>16</v>
      </c>
    </row>
    <row r="50" spans="1:9" s="12" customFormat="1">
      <c r="A50" s="21"/>
      <c r="B50" s="22"/>
      <c r="C50" s="23"/>
      <c r="D50" s="24"/>
      <c r="E50" s="25"/>
      <c r="F50" s="26"/>
      <c r="G50" s="27"/>
      <c r="H50" s="28">
        <f>357+238-357</f>
        <v>238</v>
      </c>
      <c r="I50" s="29" t="s">
        <v>8</v>
      </c>
    </row>
    <row r="51" spans="1:9" s="12" customFormat="1">
      <c r="A51" s="21"/>
      <c r="B51" s="22"/>
      <c r="C51" s="23"/>
      <c r="D51" s="24"/>
      <c r="E51" s="25"/>
      <c r="F51" s="26"/>
      <c r="G51" s="27"/>
      <c r="H51" s="28"/>
      <c r="I51" s="29"/>
    </row>
    <row r="52" spans="1:9" s="12" customFormat="1">
      <c r="A52" s="21"/>
      <c r="B52" s="22"/>
      <c r="C52" s="23"/>
      <c r="D52" s="24"/>
      <c r="E52" s="25"/>
      <c r="F52" s="26"/>
      <c r="G52" s="27"/>
      <c r="H52" s="28"/>
      <c r="I52" s="29"/>
    </row>
    <row r="53" spans="1:9" s="12" customFormat="1">
      <c r="A53" s="21"/>
      <c r="B53" s="22"/>
      <c r="C53" s="23" t="s">
        <v>98</v>
      </c>
      <c r="D53" s="24"/>
      <c r="E53" s="25"/>
      <c r="F53" s="26"/>
      <c r="G53" s="27"/>
      <c r="H53" s="28">
        <f>147.83</f>
        <v>147.83000000000001</v>
      </c>
      <c r="I53" s="29" t="s">
        <v>16</v>
      </c>
    </row>
    <row r="54" spans="1:9" s="12" customFormat="1">
      <c r="A54" s="21"/>
      <c r="B54" s="22"/>
      <c r="C54" s="23"/>
      <c r="D54" s="24"/>
      <c r="E54" s="25"/>
      <c r="F54" s="26"/>
      <c r="G54" s="27"/>
      <c r="H54" s="28">
        <f>357</f>
        <v>357</v>
      </c>
      <c r="I54" s="29" t="s">
        <v>8</v>
      </c>
    </row>
    <row r="55" spans="1:9" s="12" customFormat="1">
      <c r="A55" s="21"/>
      <c r="B55" s="22"/>
      <c r="C55" s="23"/>
      <c r="D55" s="24"/>
      <c r="E55" s="25"/>
      <c r="F55" s="26"/>
      <c r="G55" s="27"/>
      <c r="H55" s="28"/>
      <c r="I55" s="29"/>
    </row>
    <row r="56" spans="1:9" s="12" customFormat="1">
      <c r="A56" s="21"/>
      <c r="B56" s="22"/>
      <c r="C56" s="23" t="s">
        <v>24</v>
      </c>
      <c r="D56" s="24"/>
      <c r="E56" s="25"/>
      <c r="F56" s="26"/>
      <c r="G56" s="27"/>
      <c r="H56" s="28">
        <f>147.83</f>
        <v>147.83000000000001</v>
      </c>
      <c r="I56" s="29" t="s">
        <v>16</v>
      </c>
    </row>
    <row r="57" spans="1:9" s="12" customFormat="1">
      <c r="A57" s="21"/>
      <c r="B57" s="22"/>
      <c r="C57" s="23"/>
      <c r="D57" s="24"/>
      <c r="E57" s="25"/>
      <c r="F57" s="26"/>
      <c r="G57" s="27"/>
      <c r="H57" s="28">
        <f>357</f>
        <v>357</v>
      </c>
      <c r="I57" s="29" t="s">
        <v>8</v>
      </c>
    </row>
    <row r="58" spans="1:9" s="12" customFormat="1">
      <c r="A58" s="21"/>
      <c r="B58" s="22"/>
      <c r="C58" s="23"/>
      <c r="D58" s="24"/>
      <c r="E58" s="25"/>
      <c r="F58" s="26"/>
      <c r="G58" s="27"/>
      <c r="H58" s="28"/>
      <c r="I58" s="29"/>
    </row>
    <row r="59" spans="1:9" s="12" customFormat="1">
      <c r="A59" s="21"/>
      <c r="B59" s="22"/>
      <c r="C59" s="23" t="s">
        <v>15</v>
      </c>
      <c r="D59" s="24">
        <f>7.55+25.63</f>
        <v>33.18</v>
      </c>
      <c r="E59" s="25" t="s">
        <v>50</v>
      </c>
      <c r="F59" s="26">
        <f>7.8</f>
        <v>7.8</v>
      </c>
      <c r="G59" s="27" t="s">
        <v>82</v>
      </c>
      <c r="H59" s="28">
        <f>239.34</f>
        <v>239.34</v>
      </c>
      <c r="I59" s="29" t="s">
        <v>16</v>
      </c>
    </row>
    <row r="60" spans="1:9" s="12" customFormat="1">
      <c r="A60" s="21"/>
      <c r="B60" s="22"/>
      <c r="C60" s="23"/>
      <c r="D60" s="24">
        <f>127.22</f>
        <v>127.22</v>
      </c>
      <c r="E60" s="25" t="s">
        <v>11</v>
      </c>
      <c r="F60" s="26">
        <v>0.85</v>
      </c>
      <c r="G60" s="27" t="s">
        <v>68</v>
      </c>
      <c r="H60" s="28">
        <f>552.16</f>
        <v>552.16</v>
      </c>
      <c r="I60" s="29" t="s">
        <v>8</v>
      </c>
    </row>
    <row r="61" spans="1:9" s="12" customFormat="1">
      <c r="A61" s="21"/>
      <c r="B61" s="22"/>
      <c r="C61" s="23"/>
      <c r="D61" s="24">
        <f>22.5+6.36</f>
        <v>28.86</v>
      </c>
      <c r="E61" s="25" t="s">
        <v>69</v>
      </c>
      <c r="F61" s="26"/>
      <c r="G61" s="27"/>
      <c r="H61" s="28">
        <f>21.17</f>
        <v>21.17</v>
      </c>
      <c r="I61" s="29" t="s">
        <v>58</v>
      </c>
    </row>
    <row r="62" spans="1:9" s="12" customFormat="1">
      <c r="A62" s="21"/>
      <c r="B62" s="22"/>
      <c r="C62" s="23"/>
      <c r="D62" s="24"/>
      <c r="E62" s="25"/>
      <c r="F62" s="26"/>
      <c r="G62" s="27"/>
      <c r="H62" s="28"/>
      <c r="I62" s="29"/>
    </row>
    <row r="63" spans="1:9" s="12" customFormat="1">
      <c r="A63" s="30" t="s">
        <v>5</v>
      </c>
      <c r="B63" s="21"/>
      <c r="C63" s="21"/>
      <c r="D63" s="31">
        <f>SUM(D27:D28)</f>
        <v>0</v>
      </c>
      <c r="E63" s="29"/>
      <c r="F63" s="32">
        <f>SUM(F27:F28)</f>
        <v>0</v>
      </c>
      <c r="G63" s="33"/>
      <c r="H63" s="34">
        <f>SUM(H27:H28)</f>
        <v>0</v>
      </c>
      <c r="I63" s="35"/>
    </row>
    <row r="64" spans="1:9" s="12" customFormat="1" ht="13.5" thickBot="1">
      <c r="A64" s="36" t="s">
        <v>6</v>
      </c>
      <c r="B64" s="37">
        <f>SUM(D63+F63+H63)</f>
        <v>0</v>
      </c>
      <c r="C64" s="38"/>
      <c r="D64" s="39"/>
      <c r="E64" s="40"/>
      <c r="F64" s="41"/>
      <c r="G64" s="42"/>
      <c r="H64" s="43"/>
      <c r="I64" s="44"/>
    </row>
    <row r="65" spans="1:9" s="12" customFormat="1">
      <c r="A65" s="13" t="s">
        <v>212</v>
      </c>
      <c r="B65" s="14" t="s">
        <v>52</v>
      </c>
      <c r="C65" s="14" t="s">
        <v>9</v>
      </c>
      <c r="D65" s="15"/>
      <c r="E65" s="16"/>
      <c r="F65" s="17"/>
      <c r="G65" s="18"/>
      <c r="H65" s="19">
        <f>952.86</f>
        <v>952.86</v>
      </c>
      <c r="I65" s="20" t="s">
        <v>16</v>
      </c>
    </row>
    <row r="66" spans="1:9" s="12" customFormat="1">
      <c r="A66" s="21"/>
      <c r="B66" s="22" t="s">
        <v>84</v>
      </c>
      <c r="C66" s="23"/>
      <c r="D66" s="24"/>
      <c r="E66" s="25"/>
      <c r="F66" s="26"/>
      <c r="G66" s="27"/>
      <c r="H66" s="28">
        <f>602.36+92.03</f>
        <v>694.39</v>
      </c>
      <c r="I66" s="29" t="s">
        <v>8</v>
      </c>
    </row>
    <row r="67" spans="1:9" s="12" customFormat="1">
      <c r="A67" s="21"/>
      <c r="B67" s="22"/>
      <c r="C67" s="23"/>
      <c r="D67" s="24">
        <f>39.18</f>
        <v>39.18</v>
      </c>
      <c r="E67" s="25" t="s">
        <v>28</v>
      </c>
      <c r="F67" s="26"/>
      <c r="G67" s="27"/>
      <c r="H67" s="28"/>
      <c r="I67" s="29"/>
    </row>
    <row r="68" spans="1:9" s="12" customFormat="1">
      <c r="A68" s="21"/>
      <c r="B68" s="22"/>
      <c r="C68" s="23"/>
      <c r="D68" s="24"/>
      <c r="E68" s="25"/>
      <c r="F68" s="26"/>
      <c r="G68" s="27"/>
      <c r="H68" s="28"/>
      <c r="I68" s="29"/>
    </row>
    <row r="69" spans="1:9" s="12" customFormat="1">
      <c r="A69" s="21"/>
      <c r="B69" s="22"/>
      <c r="C69" s="23" t="s">
        <v>127</v>
      </c>
      <c r="D69" s="24"/>
      <c r="E69" s="25"/>
      <c r="F69" s="26"/>
      <c r="G69" s="27"/>
      <c r="H69" s="28">
        <f>375.74</f>
        <v>375.74</v>
      </c>
      <c r="I69" s="29" t="s">
        <v>16</v>
      </c>
    </row>
    <row r="70" spans="1:9" s="12" customFormat="1">
      <c r="A70" s="21"/>
      <c r="B70" s="22"/>
      <c r="C70" s="23"/>
      <c r="D70" s="24"/>
      <c r="E70" s="25"/>
      <c r="F70" s="26"/>
      <c r="G70" s="27"/>
      <c r="H70" s="28">
        <f>806.65</f>
        <v>806.65</v>
      </c>
      <c r="I70" s="29" t="s">
        <v>8</v>
      </c>
    </row>
    <row r="71" spans="1:9" s="12" customFormat="1">
      <c r="A71" s="21"/>
      <c r="B71" s="22"/>
      <c r="C71" s="23"/>
      <c r="D71" s="24">
        <f>7.34</f>
        <v>7.34</v>
      </c>
      <c r="E71" s="25" t="s">
        <v>69</v>
      </c>
      <c r="F71" s="26"/>
      <c r="G71" s="27"/>
      <c r="H71" s="28"/>
      <c r="I71" s="29"/>
    </row>
    <row r="72" spans="1:9" s="12" customFormat="1">
      <c r="A72" s="21"/>
      <c r="B72" s="22"/>
      <c r="C72" s="23"/>
      <c r="D72" s="24"/>
      <c r="E72" s="25"/>
      <c r="F72" s="26"/>
      <c r="G72" s="27"/>
      <c r="H72" s="28"/>
      <c r="I72" s="29"/>
    </row>
    <row r="73" spans="1:9" s="12" customFormat="1">
      <c r="A73" s="30" t="s">
        <v>5</v>
      </c>
      <c r="B73" s="21"/>
      <c r="C73" s="21"/>
      <c r="D73" s="31">
        <f>SUM(D65:D66)</f>
        <v>0</v>
      </c>
      <c r="E73" s="29"/>
      <c r="F73" s="32">
        <f>SUM(F65:F66)</f>
        <v>0</v>
      </c>
      <c r="G73" s="33"/>
      <c r="H73" s="34">
        <f>SUM(H65:H66)</f>
        <v>1647.25</v>
      </c>
      <c r="I73" s="35"/>
    </row>
    <row r="74" spans="1:9" s="12" customFormat="1" ht="13.5" thickBot="1">
      <c r="A74" s="36" t="s">
        <v>6</v>
      </c>
      <c r="B74" s="37">
        <f>SUM(D73+F73+H73)</f>
        <v>1647.25</v>
      </c>
      <c r="C74" s="38"/>
      <c r="D74" s="39"/>
      <c r="E74" s="40"/>
      <c r="F74" s="41"/>
      <c r="G74" s="42"/>
      <c r="H74" s="43"/>
      <c r="I74" s="44"/>
    </row>
    <row r="75" spans="1:9" s="12" customFormat="1">
      <c r="A75" s="13" t="s">
        <v>236</v>
      </c>
      <c r="B75" s="14" t="s">
        <v>182</v>
      </c>
      <c r="C75" s="14" t="s">
        <v>72</v>
      </c>
      <c r="D75" s="15">
        <v>38</v>
      </c>
      <c r="E75" s="16" t="s">
        <v>11</v>
      </c>
      <c r="F75" s="17">
        <v>10</v>
      </c>
      <c r="G75" s="18" t="s">
        <v>68</v>
      </c>
      <c r="H75" s="19">
        <f>172</f>
        <v>172</v>
      </c>
      <c r="I75" s="20" t="s">
        <v>57</v>
      </c>
    </row>
    <row r="76" spans="1:9" s="12" customFormat="1">
      <c r="A76" s="21"/>
      <c r="B76" s="22" t="s">
        <v>233</v>
      </c>
      <c r="C76" s="23"/>
      <c r="D76" s="24"/>
      <c r="E76" s="25"/>
      <c r="F76" s="26"/>
      <c r="G76" s="27"/>
      <c r="H76" s="28"/>
      <c r="I76" s="29"/>
    </row>
    <row r="77" spans="1:9" s="12" customFormat="1">
      <c r="A77" s="21"/>
      <c r="B77" s="22"/>
      <c r="C77" s="23"/>
      <c r="D77" s="24"/>
      <c r="E77" s="25"/>
      <c r="F77" s="26"/>
      <c r="G77" s="27"/>
      <c r="H77" s="28">
        <f>6</f>
        <v>6</v>
      </c>
      <c r="I77" s="29" t="s">
        <v>58</v>
      </c>
    </row>
    <row r="78" spans="1:9" s="12" customFormat="1">
      <c r="A78" s="21"/>
      <c r="B78" s="22"/>
      <c r="C78" s="23"/>
      <c r="D78" s="24"/>
      <c r="E78" s="25"/>
      <c r="F78" s="26"/>
      <c r="G78" s="27"/>
      <c r="H78" s="28"/>
      <c r="I78" s="29"/>
    </row>
    <row r="79" spans="1:9" s="12" customFormat="1">
      <c r="A79" s="30" t="s">
        <v>5</v>
      </c>
      <c r="B79" s="21"/>
      <c r="C79" s="21"/>
      <c r="D79" s="31">
        <f>SUM(D75:D76)</f>
        <v>38</v>
      </c>
      <c r="E79" s="29"/>
      <c r="F79" s="32">
        <f>SUM(F75:F76)</f>
        <v>10</v>
      </c>
      <c r="G79" s="33"/>
      <c r="H79" s="34">
        <f>SUM(H75:H76)</f>
        <v>172</v>
      </c>
      <c r="I79" s="35"/>
    </row>
    <row r="80" spans="1:9" s="12" customFormat="1" ht="13.5" thickBot="1">
      <c r="A80" s="36" t="s">
        <v>6</v>
      </c>
      <c r="B80" s="37">
        <f>SUM(D79+F79+H79)</f>
        <v>220</v>
      </c>
      <c r="C80" s="38"/>
      <c r="D80" s="39"/>
      <c r="E80" s="40"/>
      <c r="F80" s="41"/>
      <c r="G80" s="42"/>
      <c r="H80" s="43"/>
      <c r="I80" s="44"/>
    </row>
    <row r="81" spans="1:9" s="12" customFormat="1">
      <c r="A81" s="13">
        <v>42167</v>
      </c>
      <c r="B81" s="14" t="s">
        <v>88</v>
      </c>
      <c r="C81" s="14" t="s">
        <v>129</v>
      </c>
      <c r="D81" s="15"/>
      <c r="E81" s="16"/>
      <c r="F81" s="17"/>
      <c r="G81" s="18"/>
      <c r="H81" s="19"/>
      <c r="I81" s="20"/>
    </row>
    <row r="82" spans="1:9" s="12" customFormat="1">
      <c r="A82" s="21"/>
      <c r="B82" s="22" t="s">
        <v>233</v>
      </c>
      <c r="C82" s="23"/>
      <c r="D82" s="24"/>
      <c r="E82" s="25"/>
      <c r="F82" s="26"/>
      <c r="G82" s="27"/>
      <c r="H82" s="28"/>
      <c r="I82" s="29"/>
    </row>
    <row r="83" spans="1:9" s="12" customFormat="1">
      <c r="A83" s="21"/>
      <c r="B83" s="22"/>
      <c r="C83" s="23"/>
      <c r="D83" s="24"/>
      <c r="E83" s="25"/>
      <c r="F83" s="26"/>
      <c r="G83" s="27"/>
      <c r="H83" s="28"/>
      <c r="I83" s="29"/>
    </row>
    <row r="84" spans="1:9" s="12" customFormat="1">
      <c r="A84" s="21"/>
      <c r="B84" s="22"/>
      <c r="C84" s="23"/>
      <c r="D84" s="24"/>
      <c r="E84" s="25"/>
      <c r="F84" s="26"/>
      <c r="G84" s="27"/>
      <c r="H84" s="28"/>
      <c r="I84" s="29"/>
    </row>
    <row r="85" spans="1:9" s="12" customFormat="1">
      <c r="A85" s="21"/>
      <c r="B85" s="22"/>
      <c r="C85" s="23"/>
      <c r="D85" s="24"/>
      <c r="E85" s="25"/>
      <c r="F85" s="26"/>
      <c r="G85" s="27"/>
      <c r="H85" s="28"/>
      <c r="I85" s="29"/>
    </row>
    <row r="86" spans="1:9" s="12" customFormat="1">
      <c r="A86" s="21"/>
      <c r="B86" s="22"/>
      <c r="C86" s="23"/>
      <c r="D86" s="24"/>
      <c r="E86" s="25"/>
      <c r="F86" s="26"/>
      <c r="G86" s="27"/>
      <c r="H86" s="28"/>
      <c r="I86" s="29"/>
    </row>
    <row r="87" spans="1:9" s="12" customFormat="1">
      <c r="A87" s="21"/>
      <c r="B87" s="22"/>
      <c r="C87" s="23"/>
      <c r="D87" s="24"/>
      <c r="E87" s="25"/>
      <c r="F87" s="26"/>
      <c r="G87" s="27"/>
      <c r="H87" s="28"/>
      <c r="I87" s="29"/>
    </row>
    <row r="88" spans="1:9" s="12" customFormat="1">
      <c r="A88" s="21"/>
      <c r="B88" s="22"/>
      <c r="C88" s="23"/>
      <c r="D88" s="24"/>
      <c r="E88" s="25"/>
      <c r="F88" s="26"/>
      <c r="G88" s="27"/>
      <c r="H88" s="28"/>
      <c r="I88" s="29"/>
    </row>
    <row r="89" spans="1:9" s="12" customFormat="1">
      <c r="A89" s="30" t="s">
        <v>5</v>
      </c>
      <c r="B89" s="21"/>
      <c r="C89" s="21"/>
      <c r="D89" s="31">
        <f>SUM(D81:D82)</f>
        <v>0</v>
      </c>
      <c r="E89" s="29"/>
      <c r="F89" s="32">
        <f>SUM(F81:F82)</f>
        <v>0</v>
      </c>
      <c r="G89" s="33"/>
      <c r="H89" s="34">
        <f>SUM(H81:H82)</f>
        <v>0</v>
      </c>
      <c r="I89" s="35"/>
    </row>
    <row r="90" spans="1:9" s="12" customFormat="1" ht="13.5" thickBot="1">
      <c r="A90" s="36" t="s">
        <v>6</v>
      </c>
      <c r="B90" s="37">
        <f>SUM(D89+F89+H89)</f>
        <v>0</v>
      </c>
      <c r="C90" s="38"/>
      <c r="D90" s="39"/>
      <c r="E90" s="40"/>
      <c r="F90" s="41"/>
      <c r="G90" s="42"/>
      <c r="H90" s="43"/>
      <c r="I90" s="44"/>
    </row>
    <row r="91" spans="1:9" s="12" customFormat="1">
      <c r="A91" s="13" t="s">
        <v>226</v>
      </c>
      <c r="B91" s="14" t="s">
        <v>14</v>
      </c>
      <c r="C91" s="14" t="s">
        <v>19</v>
      </c>
      <c r="D91" s="15"/>
      <c r="E91" s="16"/>
      <c r="F91" s="17"/>
      <c r="G91" s="18"/>
      <c r="H91" s="19">
        <f>461.74</f>
        <v>461.74</v>
      </c>
      <c r="I91" s="20" t="s">
        <v>16</v>
      </c>
    </row>
    <row r="92" spans="1:9" s="12" customFormat="1">
      <c r="A92" s="21"/>
      <c r="B92" s="22" t="s">
        <v>218</v>
      </c>
      <c r="C92" s="23"/>
      <c r="D92" s="24"/>
      <c r="E92" s="25"/>
      <c r="F92" s="26"/>
      <c r="G92" s="27"/>
      <c r="H92" s="28">
        <f>120.62</f>
        <v>120.62</v>
      </c>
      <c r="I92" s="29" t="s">
        <v>8</v>
      </c>
    </row>
    <row r="93" spans="1:9" s="12" customFormat="1">
      <c r="A93" s="21"/>
      <c r="B93" s="22"/>
      <c r="C93" s="23"/>
      <c r="D93" s="24"/>
      <c r="E93" s="25"/>
      <c r="F93" s="26"/>
      <c r="G93" s="27"/>
      <c r="H93" s="28"/>
      <c r="I93" s="29"/>
    </row>
    <row r="94" spans="1:9" s="12" customFormat="1">
      <c r="A94" s="21"/>
      <c r="B94" s="22"/>
      <c r="C94" s="23"/>
      <c r="D94" s="24"/>
      <c r="E94" s="25"/>
      <c r="F94" s="26"/>
      <c r="G94" s="27"/>
      <c r="H94" s="28"/>
      <c r="I94" s="29"/>
    </row>
    <row r="95" spans="1:9" s="12" customFormat="1">
      <c r="A95" s="21"/>
      <c r="B95" s="22"/>
      <c r="C95" s="23" t="s">
        <v>127</v>
      </c>
      <c r="D95" s="24"/>
      <c r="E95" s="25"/>
      <c r="F95" s="26"/>
      <c r="G95" s="27"/>
      <c r="H95" s="28">
        <f>461.74</f>
        <v>461.74</v>
      </c>
      <c r="I95" s="29" t="s">
        <v>16</v>
      </c>
    </row>
    <row r="96" spans="1:9" s="12" customFormat="1">
      <c r="A96" s="21"/>
      <c r="B96" s="22"/>
      <c r="C96" s="23"/>
      <c r="D96" s="24"/>
      <c r="E96" s="25"/>
      <c r="F96" s="26"/>
      <c r="G96" s="27"/>
      <c r="H96" s="28">
        <f>112.73</f>
        <v>112.73</v>
      </c>
      <c r="I96" s="29" t="s">
        <v>8</v>
      </c>
    </row>
    <row r="97" spans="1:9" s="12" customFormat="1">
      <c r="A97" s="21"/>
      <c r="B97" s="22"/>
      <c r="C97" s="23"/>
      <c r="D97" s="24"/>
      <c r="E97" s="25"/>
      <c r="F97" s="26"/>
      <c r="G97" s="27"/>
      <c r="H97" s="28"/>
      <c r="I97" s="29"/>
    </row>
    <row r="98" spans="1:9" s="12" customFormat="1">
      <c r="A98" s="21"/>
      <c r="B98" s="22"/>
      <c r="C98" s="23"/>
      <c r="D98" s="24"/>
      <c r="E98" s="25"/>
      <c r="F98" s="26"/>
      <c r="G98" s="27"/>
      <c r="H98" s="28"/>
      <c r="I98" s="29"/>
    </row>
    <row r="99" spans="1:9" s="12" customFormat="1">
      <c r="A99" s="30" t="s">
        <v>5</v>
      </c>
      <c r="B99" s="21"/>
      <c r="C99" s="21"/>
      <c r="D99" s="31">
        <f>SUM(D91:D92)</f>
        <v>0</v>
      </c>
      <c r="E99" s="29"/>
      <c r="F99" s="32">
        <f>SUM(F91:F92)</f>
        <v>0</v>
      </c>
      <c r="G99" s="33"/>
      <c r="H99" s="34">
        <f>SUM(H91:H92)</f>
        <v>582.36</v>
      </c>
      <c r="I99" s="35"/>
    </row>
    <row r="100" spans="1:9" s="12" customFormat="1" ht="13.5" thickBot="1">
      <c r="A100" s="36" t="s">
        <v>6</v>
      </c>
      <c r="B100" s="37">
        <f>SUM(D99+F99+H99)</f>
        <v>582.36</v>
      </c>
      <c r="C100" s="38"/>
      <c r="D100" s="39"/>
      <c r="E100" s="40"/>
      <c r="F100" s="41"/>
      <c r="G100" s="42"/>
      <c r="H100" s="43"/>
      <c r="I100" s="44"/>
    </row>
    <row r="101" spans="1:9" s="12" customFormat="1">
      <c r="A101" s="13" t="s">
        <v>237</v>
      </c>
      <c r="B101" s="14" t="s">
        <v>88</v>
      </c>
      <c r="C101" s="14" t="s">
        <v>15</v>
      </c>
      <c r="D101" s="15">
        <f>74</f>
        <v>74</v>
      </c>
      <c r="E101" s="16" t="s">
        <v>50</v>
      </c>
      <c r="F101" s="17">
        <f>7.8</f>
        <v>7.8</v>
      </c>
      <c r="G101" s="18" t="s">
        <v>82</v>
      </c>
      <c r="H101" s="19"/>
      <c r="I101" s="20" t="s">
        <v>16</v>
      </c>
    </row>
    <row r="102" spans="1:9" s="12" customFormat="1">
      <c r="A102" s="21"/>
      <c r="B102" s="22" t="s">
        <v>70</v>
      </c>
      <c r="C102" s="23"/>
      <c r="D102" s="24"/>
      <c r="E102" s="25"/>
      <c r="F102" s="26">
        <f>1.25</f>
        <v>1.25</v>
      </c>
      <c r="G102" s="27" t="s">
        <v>68</v>
      </c>
      <c r="H102" s="28"/>
      <c r="I102" s="29" t="s">
        <v>8</v>
      </c>
    </row>
    <row r="103" spans="1:9" s="12" customFormat="1">
      <c r="A103" s="21"/>
      <c r="B103" s="22"/>
      <c r="C103" s="23"/>
      <c r="D103" s="24"/>
      <c r="E103" s="25"/>
      <c r="F103" s="26">
        <f>24</f>
        <v>24</v>
      </c>
      <c r="G103" s="27" t="s">
        <v>57</v>
      </c>
      <c r="H103" s="28"/>
      <c r="I103" s="29"/>
    </row>
    <row r="104" spans="1:9" s="12" customFormat="1">
      <c r="A104" s="21"/>
      <c r="B104" s="22"/>
      <c r="C104" s="23"/>
      <c r="D104" s="24"/>
      <c r="E104" s="25"/>
      <c r="F104" s="26">
        <f>3</f>
        <v>3</v>
      </c>
      <c r="G104" s="27" t="s">
        <v>79</v>
      </c>
      <c r="H104" s="28"/>
      <c r="I104" s="29"/>
    </row>
    <row r="105" spans="1:9" s="12" customFormat="1">
      <c r="A105" s="21"/>
      <c r="B105" s="22"/>
      <c r="C105" s="23"/>
      <c r="D105" s="24"/>
      <c r="E105" s="25"/>
      <c r="F105" s="26"/>
      <c r="G105" s="27"/>
      <c r="H105" s="28"/>
      <c r="I105" s="29"/>
    </row>
    <row r="106" spans="1:9" s="12" customFormat="1">
      <c r="A106" s="21"/>
      <c r="B106" s="22"/>
      <c r="C106" s="23"/>
      <c r="D106" s="24"/>
      <c r="E106" s="25"/>
      <c r="F106" s="26"/>
      <c r="G106" s="27"/>
      <c r="H106" s="28"/>
      <c r="I106" s="29"/>
    </row>
    <row r="107" spans="1:9" s="12" customFormat="1">
      <c r="A107" s="21"/>
      <c r="B107" s="22"/>
      <c r="C107" s="23"/>
      <c r="D107" s="24"/>
      <c r="E107" s="25"/>
      <c r="F107" s="26"/>
      <c r="G107" s="27"/>
      <c r="H107" s="28"/>
      <c r="I107" s="29"/>
    </row>
    <row r="108" spans="1:9" s="12" customFormat="1">
      <c r="A108" s="21"/>
      <c r="B108" s="22"/>
      <c r="C108" s="23"/>
      <c r="D108" s="24"/>
      <c r="E108" s="25"/>
      <c r="F108" s="26"/>
      <c r="G108" s="27"/>
      <c r="H108" s="28"/>
      <c r="I108" s="29"/>
    </row>
    <row r="109" spans="1:9" s="12" customFormat="1">
      <c r="A109" s="30" t="s">
        <v>5</v>
      </c>
      <c r="B109" s="21"/>
      <c r="C109" s="21"/>
      <c r="D109" s="31">
        <f>SUM(D101:D102)</f>
        <v>74</v>
      </c>
      <c r="E109" s="29"/>
      <c r="F109" s="32">
        <f>SUM(F101:F102)</f>
        <v>9.0500000000000007</v>
      </c>
      <c r="G109" s="33"/>
      <c r="H109" s="34">
        <f>SUM(H101:H102)</f>
        <v>0</v>
      </c>
      <c r="I109" s="35"/>
    </row>
    <row r="110" spans="1:9" s="12" customFormat="1" ht="13.5" thickBot="1">
      <c r="A110" s="36" t="s">
        <v>6</v>
      </c>
      <c r="B110" s="37">
        <f>SUM(D109+F109+H109)</f>
        <v>83.05</v>
      </c>
      <c r="C110" s="38"/>
      <c r="D110" s="39"/>
      <c r="E110" s="40"/>
      <c r="F110" s="41"/>
      <c r="G110" s="42"/>
      <c r="H110" s="43"/>
      <c r="I110" s="44"/>
    </row>
    <row r="111" spans="1:9" s="12" customFormat="1">
      <c r="A111" s="13" t="s">
        <v>234</v>
      </c>
      <c r="B111" s="14" t="s">
        <v>88</v>
      </c>
      <c r="C111" s="14" t="s">
        <v>129</v>
      </c>
      <c r="D111" s="15">
        <f>223.4</f>
        <v>223.4</v>
      </c>
      <c r="E111" s="16" t="s">
        <v>50</v>
      </c>
      <c r="F111" s="17">
        <v>12</v>
      </c>
      <c r="G111" s="18" t="s">
        <v>57</v>
      </c>
      <c r="H111" s="19"/>
      <c r="I111" s="20"/>
    </row>
    <row r="112" spans="1:9" s="12" customFormat="1">
      <c r="A112" s="21"/>
      <c r="B112" s="22" t="s">
        <v>209</v>
      </c>
      <c r="C112" s="23"/>
      <c r="D112" s="24">
        <f>52.3</f>
        <v>52.3</v>
      </c>
      <c r="E112" s="25" t="s">
        <v>11</v>
      </c>
      <c r="F112" s="26"/>
      <c r="G112" s="27"/>
      <c r="H112" s="28"/>
      <c r="I112" s="29"/>
    </row>
    <row r="113" spans="1:9" s="12" customFormat="1">
      <c r="A113" s="21"/>
      <c r="B113" s="22"/>
      <c r="C113" s="23"/>
      <c r="D113" s="24"/>
      <c r="E113" s="25"/>
      <c r="F113" s="26"/>
      <c r="G113" s="27"/>
      <c r="H113" s="28">
        <f>193.94</f>
        <v>193.94</v>
      </c>
      <c r="I113" s="29" t="s">
        <v>134</v>
      </c>
    </row>
    <row r="114" spans="1:9" s="12" customFormat="1">
      <c r="A114" s="21"/>
      <c r="B114" s="22"/>
      <c r="C114" s="23"/>
      <c r="D114" s="24"/>
      <c r="E114" s="25"/>
      <c r="F114" s="26"/>
      <c r="G114" s="27"/>
      <c r="H114" s="28"/>
      <c r="I114" s="29"/>
    </row>
    <row r="115" spans="1:9" s="12" customFormat="1">
      <c r="A115" s="21"/>
      <c r="B115" s="22"/>
      <c r="C115" s="23"/>
      <c r="D115" s="24"/>
      <c r="E115" s="25"/>
      <c r="F115" s="26"/>
      <c r="G115" s="27"/>
      <c r="H115" s="28"/>
      <c r="I115" s="29"/>
    </row>
    <row r="116" spans="1:9" s="12" customFormat="1">
      <c r="A116" s="21"/>
      <c r="B116" s="22"/>
      <c r="C116" s="23"/>
      <c r="D116" s="24"/>
      <c r="E116" s="25"/>
      <c r="F116" s="26"/>
      <c r="G116" s="27"/>
      <c r="H116" s="28"/>
      <c r="I116" s="29"/>
    </row>
    <row r="117" spans="1:9" s="12" customFormat="1">
      <c r="A117" s="21"/>
      <c r="B117" s="22"/>
      <c r="C117" s="23"/>
      <c r="D117" s="24"/>
      <c r="E117" s="25"/>
      <c r="F117" s="26"/>
      <c r="G117" s="27"/>
      <c r="H117" s="28"/>
      <c r="I117" s="29"/>
    </row>
    <row r="118" spans="1:9" s="12" customFormat="1">
      <c r="A118" s="21"/>
      <c r="B118" s="22"/>
      <c r="C118" s="23"/>
      <c r="D118" s="24"/>
      <c r="E118" s="25"/>
      <c r="F118" s="26"/>
      <c r="G118" s="27"/>
      <c r="H118" s="28"/>
      <c r="I118" s="29"/>
    </row>
    <row r="119" spans="1:9" s="12" customFormat="1">
      <c r="A119" s="30" t="s">
        <v>5</v>
      </c>
      <c r="B119" s="21"/>
      <c r="C119" s="21"/>
      <c r="D119" s="31">
        <f>SUM(D111:D112)</f>
        <v>275.7</v>
      </c>
      <c r="E119" s="29"/>
      <c r="F119" s="32">
        <f>SUM(F111:F112)</f>
        <v>12</v>
      </c>
      <c r="G119" s="33"/>
      <c r="H119" s="34">
        <f>SUM(H111:H112)</f>
        <v>0</v>
      </c>
      <c r="I119" s="35"/>
    </row>
    <row r="120" spans="1:9" s="12" customFormat="1" ht="13.5" thickBot="1">
      <c r="A120" s="36" t="s">
        <v>6</v>
      </c>
      <c r="B120" s="37">
        <f>SUM(D119+F119+H119)</f>
        <v>287.7</v>
      </c>
      <c r="C120" s="38"/>
      <c r="D120" s="39"/>
      <c r="E120" s="40"/>
      <c r="F120" s="41"/>
      <c r="G120" s="42"/>
      <c r="H120" s="43"/>
      <c r="I120" s="44"/>
    </row>
    <row r="121" spans="1:9" s="12" customFormat="1">
      <c r="A121" s="13" t="s">
        <v>235</v>
      </c>
      <c r="B121" s="14" t="s">
        <v>86</v>
      </c>
      <c r="C121" s="14" t="s">
        <v>21</v>
      </c>
      <c r="D121" s="15">
        <f>76.64</f>
        <v>76.64</v>
      </c>
      <c r="E121" s="16" t="s">
        <v>50</v>
      </c>
      <c r="F121" s="17">
        <f>33.19</f>
        <v>33.19</v>
      </c>
      <c r="G121" s="18" t="s">
        <v>68</v>
      </c>
      <c r="H121" s="19"/>
      <c r="I121" s="20"/>
    </row>
    <row r="122" spans="1:9" s="12" customFormat="1">
      <c r="A122" s="21"/>
      <c r="B122" s="22" t="s">
        <v>65</v>
      </c>
      <c r="C122" s="23"/>
      <c r="D122" s="24">
        <f>70.77</f>
        <v>70.77</v>
      </c>
      <c r="E122" s="25" t="s">
        <v>11</v>
      </c>
      <c r="F122" s="26"/>
      <c r="G122" s="27"/>
      <c r="H122" s="28"/>
      <c r="I122" s="29"/>
    </row>
    <row r="123" spans="1:9" s="12" customFormat="1">
      <c r="A123" s="21"/>
      <c r="B123" s="22"/>
      <c r="C123" s="23"/>
      <c r="D123" s="24"/>
      <c r="E123" s="25"/>
      <c r="F123" s="26"/>
      <c r="G123" s="27"/>
      <c r="H123" s="28"/>
      <c r="I123" s="29"/>
    </row>
    <row r="124" spans="1:9" s="12" customFormat="1">
      <c r="A124" s="21"/>
      <c r="B124" s="22"/>
      <c r="C124" s="23"/>
      <c r="D124" s="24"/>
      <c r="E124" s="25"/>
      <c r="F124" s="26"/>
      <c r="G124" s="27"/>
      <c r="H124" s="28"/>
      <c r="I124" s="29"/>
    </row>
    <row r="125" spans="1:9" s="12" customFormat="1">
      <c r="A125" s="21"/>
      <c r="B125" s="22"/>
      <c r="C125" s="23"/>
      <c r="D125" s="24"/>
      <c r="E125" s="25"/>
      <c r="F125" s="26"/>
      <c r="G125" s="27"/>
      <c r="H125" s="28"/>
      <c r="I125" s="29"/>
    </row>
    <row r="126" spans="1:9" s="12" customFormat="1">
      <c r="A126" s="21"/>
      <c r="B126" s="22"/>
      <c r="C126" s="23"/>
      <c r="D126" s="24"/>
      <c r="E126" s="25"/>
      <c r="F126" s="26"/>
      <c r="G126" s="27"/>
      <c r="H126" s="28"/>
      <c r="I126" s="29"/>
    </row>
    <row r="127" spans="1:9" s="12" customFormat="1">
      <c r="A127" s="21"/>
      <c r="B127" s="22"/>
      <c r="C127" s="23"/>
      <c r="D127" s="24"/>
      <c r="E127" s="25"/>
      <c r="F127" s="26"/>
      <c r="G127" s="27"/>
      <c r="H127" s="28"/>
      <c r="I127" s="29"/>
    </row>
    <row r="128" spans="1:9" s="12" customFormat="1">
      <c r="A128" s="21"/>
      <c r="B128" s="22"/>
      <c r="C128" s="23"/>
      <c r="D128" s="24"/>
      <c r="E128" s="25"/>
      <c r="F128" s="26"/>
      <c r="G128" s="27"/>
      <c r="H128" s="28"/>
      <c r="I128" s="29"/>
    </row>
    <row r="129" spans="1:11" s="12" customFormat="1">
      <c r="A129" s="30" t="s">
        <v>5</v>
      </c>
      <c r="B129" s="21"/>
      <c r="C129" s="21"/>
      <c r="D129" s="31">
        <f>SUM(D121:D122)</f>
        <v>147.41</v>
      </c>
      <c r="E129" s="29"/>
      <c r="F129" s="32">
        <f>SUM(F121:F122)</f>
        <v>33.19</v>
      </c>
      <c r="G129" s="33"/>
      <c r="H129" s="34">
        <f>SUM(H121:H122)</f>
        <v>0</v>
      </c>
      <c r="I129" s="35"/>
    </row>
    <row r="130" spans="1:11" s="12" customFormat="1" ht="13.5" thickBot="1">
      <c r="A130" s="36" t="s">
        <v>6</v>
      </c>
      <c r="B130" s="37">
        <f>SUM(D129+F129+H129)</f>
        <v>180.6</v>
      </c>
      <c r="C130" s="38"/>
      <c r="D130" s="39"/>
      <c r="E130" s="40"/>
      <c r="F130" s="41"/>
      <c r="G130" s="42"/>
      <c r="H130" s="43"/>
      <c r="I130" s="44"/>
    </row>
    <row r="131" spans="1:11" s="12" customFormat="1">
      <c r="A131" s="13">
        <v>42184</v>
      </c>
      <c r="B131" s="14" t="s">
        <v>88</v>
      </c>
      <c r="C131" s="14" t="s">
        <v>17</v>
      </c>
      <c r="D131" s="15">
        <v>18.5</v>
      </c>
      <c r="E131" s="16" t="s">
        <v>50</v>
      </c>
      <c r="F131" s="17"/>
      <c r="G131" s="18"/>
      <c r="H131" s="19"/>
      <c r="I131" s="20"/>
    </row>
    <row r="132" spans="1:11" s="12" customFormat="1">
      <c r="A132" s="21"/>
      <c r="B132" s="22" t="s">
        <v>70</v>
      </c>
      <c r="C132" s="23"/>
      <c r="D132" s="24"/>
      <c r="E132" s="25"/>
      <c r="F132" s="26"/>
      <c r="G132" s="27"/>
      <c r="H132" s="28"/>
      <c r="I132" s="29"/>
    </row>
    <row r="133" spans="1:11" s="12" customFormat="1">
      <c r="A133" s="21"/>
      <c r="B133" s="22"/>
      <c r="C133" s="23"/>
      <c r="D133" s="24"/>
      <c r="E133" s="25"/>
      <c r="F133" s="26"/>
      <c r="G133" s="27"/>
      <c r="H133" s="28"/>
      <c r="I133" s="29"/>
    </row>
    <row r="134" spans="1:11" s="12" customFormat="1">
      <c r="A134" s="21"/>
      <c r="B134" s="22"/>
      <c r="C134" s="23"/>
      <c r="D134" s="24"/>
      <c r="E134" s="25"/>
      <c r="F134" s="26"/>
      <c r="G134" s="27"/>
      <c r="H134" s="28"/>
      <c r="I134" s="29"/>
    </row>
    <row r="135" spans="1:11" s="12" customFormat="1">
      <c r="A135" s="21"/>
      <c r="B135" s="22"/>
      <c r="C135" s="23"/>
      <c r="D135" s="24"/>
      <c r="E135" s="25"/>
      <c r="F135" s="26"/>
      <c r="G135" s="27"/>
      <c r="H135" s="28"/>
      <c r="I135" s="29"/>
    </row>
    <row r="136" spans="1:11" s="12" customFormat="1">
      <c r="A136" s="21"/>
      <c r="B136" s="22"/>
      <c r="C136" s="23"/>
      <c r="D136" s="24"/>
      <c r="E136" s="25"/>
      <c r="F136" s="26"/>
      <c r="G136" s="27"/>
      <c r="H136" s="28"/>
      <c r="I136" s="29"/>
    </row>
    <row r="137" spans="1:11" s="12" customFormat="1">
      <c r="A137" s="21"/>
      <c r="B137" s="22"/>
      <c r="C137" s="23"/>
      <c r="D137" s="24"/>
      <c r="E137" s="25"/>
      <c r="F137" s="26"/>
      <c r="G137" s="27"/>
      <c r="H137" s="28"/>
      <c r="I137" s="29"/>
    </row>
    <row r="138" spans="1:11" s="12" customFormat="1">
      <c r="A138" s="21"/>
      <c r="B138" s="22"/>
      <c r="C138" s="23"/>
      <c r="D138" s="24"/>
      <c r="E138" s="25"/>
      <c r="F138" s="26"/>
      <c r="G138" s="27"/>
      <c r="H138" s="28"/>
      <c r="I138" s="29"/>
    </row>
    <row r="139" spans="1:11" s="12" customFormat="1">
      <c r="A139" s="30" t="s">
        <v>5</v>
      </c>
      <c r="B139" s="21"/>
      <c r="C139" s="21"/>
      <c r="D139" s="31">
        <f>SUM(D131:D132)</f>
        <v>18.5</v>
      </c>
      <c r="E139" s="29"/>
      <c r="F139" s="32">
        <f>SUM(F131:F132)</f>
        <v>0</v>
      </c>
      <c r="G139" s="33"/>
      <c r="H139" s="34">
        <f>SUM(H131:H132)</f>
        <v>0</v>
      </c>
      <c r="I139" s="35"/>
    </row>
    <row r="140" spans="1:11" s="12" customFormat="1" ht="13.5" thickBot="1">
      <c r="A140" s="36" t="s">
        <v>6</v>
      </c>
      <c r="B140" s="37">
        <f>SUM(D139+F139+H139)</f>
        <v>18.5</v>
      </c>
      <c r="C140" s="38"/>
      <c r="D140" s="39"/>
      <c r="E140" s="40"/>
      <c r="F140" s="41"/>
      <c r="G140" s="42"/>
      <c r="H140" s="43"/>
      <c r="I140" s="44"/>
    </row>
    <row r="141" spans="1:11" ht="13.5" thickBot="1">
      <c r="J141" s="12"/>
      <c r="K141" s="46"/>
    </row>
    <row r="142" spans="1:11" ht="15.75">
      <c r="A142" s="2" t="s">
        <v>106</v>
      </c>
      <c r="B142" s="7"/>
      <c r="J142" s="12"/>
      <c r="K142" s="46"/>
    </row>
    <row r="143" spans="1:11" ht="15.75">
      <c r="A143" s="3" t="s">
        <v>105</v>
      </c>
      <c r="B143" s="8"/>
      <c r="J143" s="12"/>
      <c r="K143" s="48"/>
    </row>
    <row r="144" spans="1:11" ht="15.75">
      <c r="A144" s="3" t="s">
        <v>107</v>
      </c>
      <c r="B144" s="9"/>
      <c r="J144" s="12"/>
      <c r="K144" s="46"/>
    </row>
    <row r="145" spans="1:2" ht="16.5" thickBot="1">
      <c r="A145" s="4" t="s">
        <v>108</v>
      </c>
      <c r="B145" s="10"/>
    </row>
    <row r="146" spans="1:2" ht="16.5" thickBot="1">
      <c r="A146" s="5" t="s">
        <v>25</v>
      </c>
      <c r="B146" s="6">
        <f>SUM(B142:B145)</f>
        <v>0</v>
      </c>
    </row>
  </sheetData>
  <mergeCells count="3">
    <mergeCell ref="D1:E1"/>
    <mergeCell ref="F1:G1"/>
    <mergeCell ref="H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4"/>
  <sheetViews>
    <sheetView topLeftCell="B1" workbookViewId="0">
      <selection activeCell="I16" sqref="I16"/>
    </sheetView>
  </sheetViews>
  <sheetFormatPr defaultRowHeight="12.75"/>
  <cols>
    <col min="1" max="1" width="31.7109375" style="45" bestFit="1" customWidth="1"/>
    <col min="2" max="2" width="35.5703125" style="45" bestFit="1" customWidth="1"/>
    <col min="3" max="3" width="19.140625" style="45" customWidth="1"/>
    <col min="4" max="4" width="18.28515625" style="45" customWidth="1"/>
    <col min="5" max="5" width="26.42578125" style="45" customWidth="1"/>
    <col min="6" max="6" width="15.7109375" style="45" customWidth="1"/>
    <col min="7" max="7" width="30.140625" style="45" customWidth="1"/>
    <col min="8" max="8" width="19.28515625" style="45" customWidth="1"/>
    <col min="9" max="9" width="33.28515625" style="45" customWidth="1"/>
    <col min="10" max="10" width="14.42578125" style="45" bestFit="1" customWidth="1"/>
    <col min="11" max="11" width="9.7109375" style="45" bestFit="1" customWidth="1"/>
    <col min="12" max="16384" width="9.140625" style="45"/>
  </cols>
  <sheetData>
    <row r="1" spans="1:9" s="12" customFormat="1" ht="13.5" thickBot="1">
      <c r="A1" s="11" t="s">
        <v>0</v>
      </c>
      <c r="B1" s="11" t="s">
        <v>1</v>
      </c>
      <c r="C1" s="11" t="s">
        <v>2</v>
      </c>
      <c r="D1" s="55" t="s">
        <v>3</v>
      </c>
      <c r="E1" s="56"/>
      <c r="F1" s="57" t="s">
        <v>30</v>
      </c>
      <c r="G1" s="58"/>
      <c r="H1" s="57" t="s">
        <v>31</v>
      </c>
      <c r="I1" s="58"/>
    </row>
    <row r="2" spans="1:9" s="12" customFormat="1">
      <c r="A2" s="13" t="s">
        <v>220</v>
      </c>
      <c r="B2" s="14" t="s">
        <v>221</v>
      </c>
      <c r="C2" s="14" t="s">
        <v>9</v>
      </c>
      <c r="D2" s="15"/>
      <c r="E2" s="16"/>
      <c r="F2" s="17"/>
      <c r="G2" s="18"/>
      <c r="H2" s="19"/>
      <c r="I2" s="20"/>
    </row>
    <row r="3" spans="1:9" s="12" customFormat="1">
      <c r="A3" s="21"/>
      <c r="B3" s="22" t="s">
        <v>222</v>
      </c>
      <c r="C3" s="23"/>
      <c r="D3" s="24"/>
      <c r="E3" s="25"/>
      <c r="F3" s="26"/>
      <c r="G3" s="27"/>
      <c r="H3" s="28">
        <f>627.3</f>
        <v>627.29999999999995</v>
      </c>
      <c r="I3" s="29" t="s">
        <v>8</v>
      </c>
    </row>
    <row r="4" spans="1:9" s="12" customFormat="1">
      <c r="A4" s="21"/>
      <c r="B4" s="22"/>
      <c r="C4" s="23"/>
      <c r="D4" s="24"/>
      <c r="E4" s="25"/>
      <c r="F4" s="26"/>
      <c r="G4" s="27"/>
      <c r="H4" s="28"/>
      <c r="I4" s="29"/>
    </row>
    <row r="5" spans="1:9" s="12" customFormat="1">
      <c r="A5" s="21"/>
      <c r="B5" s="22"/>
      <c r="C5" s="23"/>
      <c r="D5" s="24"/>
      <c r="E5" s="25"/>
      <c r="F5" s="26"/>
      <c r="G5" s="27"/>
      <c r="H5" s="28"/>
      <c r="I5" s="29"/>
    </row>
    <row r="6" spans="1:9" s="12" customFormat="1">
      <c r="A6" s="21"/>
      <c r="B6" s="22"/>
      <c r="C6" s="23" t="s">
        <v>23</v>
      </c>
      <c r="D6" s="24"/>
      <c r="E6" s="25"/>
      <c r="F6" s="26"/>
      <c r="G6" s="27"/>
      <c r="H6" s="28"/>
      <c r="I6" s="29"/>
    </row>
    <row r="7" spans="1:9" s="12" customFormat="1">
      <c r="A7" s="21"/>
      <c r="B7" s="22"/>
      <c r="C7" s="23"/>
      <c r="D7" s="24"/>
      <c r="E7" s="25"/>
      <c r="F7" s="26"/>
      <c r="G7" s="27"/>
      <c r="H7" s="28">
        <f>633</f>
        <v>633</v>
      </c>
      <c r="I7" s="29" t="s">
        <v>8</v>
      </c>
    </row>
    <row r="8" spans="1:9" s="12" customFormat="1">
      <c r="A8" s="21"/>
      <c r="B8" s="22"/>
      <c r="C8" s="23"/>
      <c r="D8" s="24"/>
      <c r="E8" s="25"/>
      <c r="F8" s="26"/>
      <c r="G8" s="27"/>
      <c r="H8" s="28"/>
      <c r="I8" s="29"/>
    </row>
    <row r="9" spans="1:9" s="12" customFormat="1">
      <c r="A9" s="21"/>
      <c r="B9" s="22"/>
      <c r="C9" s="23"/>
      <c r="D9" s="24"/>
      <c r="E9" s="25"/>
      <c r="F9" s="26"/>
      <c r="G9" s="27"/>
      <c r="H9" s="28"/>
      <c r="I9" s="29"/>
    </row>
    <row r="10" spans="1:9" s="12" customFormat="1">
      <c r="A10" s="21"/>
      <c r="B10" s="22"/>
      <c r="C10" s="23" t="s">
        <v>44</v>
      </c>
      <c r="D10" s="24"/>
      <c r="E10" s="25"/>
      <c r="F10" s="26"/>
      <c r="G10" s="27"/>
      <c r="H10" s="28"/>
      <c r="I10" s="29"/>
    </row>
    <row r="11" spans="1:9" s="12" customFormat="1">
      <c r="A11" s="21"/>
      <c r="B11" s="22"/>
      <c r="C11" s="23"/>
      <c r="D11" s="24"/>
      <c r="E11" s="25"/>
      <c r="F11" s="26"/>
      <c r="G11" s="27"/>
      <c r="H11" s="28">
        <v>633</v>
      </c>
      <c r="I11" s="29" t="s">
        <v>8</v>
      </c>
    </row>
    <row r="12" spans="1:9" s="12" customFormat="1">
      <c r="A12" s="21"/>
      <c r="B12" s="22"/>
      <c r="C12" s="23"/>
      <c r="D12" s="24"/>
      <c r="E12" s="25"/>
      <c r="F12" s="26"/>
      <c r="G12" s="27"/>
      <c r="H12" s="28">
        <v>130</v>
      </c>
      <c r="I12" s="29" t="s">
        <v>162</v>
      </c>
    </row>
    <row r="13" spans="1:9" s="12" customFormat="1">
      <c r="A13" s="21"/>
      <c r="B13" s="22"/>
      <c r="C13" s="23"/>
      <c r="D13" s="24"/>
      <c r="E13" s="25"/>
      <c r="F13" s="26"/>
      <c r="G13" s="27"/>
      <c r="H13" s="28"/>
      <c r="I13" s="29"/>
    </row>
    <row r="14" spans="1:9" s="12" customFormat="1">
      <c r="A14" s="21"/>
      <c r="B14" s="22"/>
      <c r="C14" s="23" t="s">
        <v>17</v>
      </c>
      <c r="D14" s="24"/>
      <c r="E14" s="25"/>
      <c r="F14" s="26"/>
      <c r="G14" s="27"/>
      <c r="H14" s="28"/>
      <c r="I14" s="29"/>
    </row>
    <row r="15" spans="1:9" s="12" customFormat="1">
      <c r="A15" s="21"/>
      <c r="B15" s="22"/>
      <c r="C15" s="23"/>
      <c r="D15" s="24"/>
      <c r="E15" s="25"/>
      <c r="F15" s="26"/>
      <c r="G15" s="27"/>
      <c r="H15" s="28">
        <f>627.3</f>
        <v>627.29999999999995</v>
      </c>
      <c r="I15" s="29" t="s">
        <v>8</v>
      </c>
    </row>
    <row r="16" spans="1:9" s="12" customFormat="1">
      <c r="A16" s="21"/>
      <c r="B16" s="22"/>
      <c r="C16" s="23"/>
      <c r="D16" s="24"/>
      <c r="E16" s="25"/>
      <c r="F16" s="26"/>
      <c r="G16" s="27"/>
      <c r="H16" s="28"/>
      <c r="I16" s="29"/>
    </row>
    <row r="17" spans="1:11" s="12" customFormat="1">
      <c r="A17" s="30" t="s">
        <v>5</v>
      </c>
      <c r="B17" s="21"/>
      <c r="C17" s="21"/>
      <c r="D17" s="31">
        <f>SUM(D2:D3)</f>
        <v>0</v>
      </c>
      <c r="E17" s="29"/>
      <c r="F17" s="32">
        <f>SUM(F2:F3)</f>
        <v>0</v>
      </c>
      <c r="G17" s="33"/>
      <c r="H17" s="34">
        <f>SUM(H2:H3)</f>
        <v>627.29999999999995</v>
      </c>
      <c r="I17" s="35"/>
    </row>
    <row r="18" spans="1:11" s="12" customFormat="1" ht="13.5" thickBot="1">
      <c r="A18" s="36" t="s">
        <v>6</v>
      </c>
      <c r="B18" s="37">
        <f>SUM(D17+F17+H17)</f>
        <v>627.29999999999995</v>
      </c>
      <c r="C18" s="38"/>
      <c r="D18" s="39"/>
      <c r="E18" s="40"/>
      <c r="F18" s="41"/>
      <c r="G18" s="42"/>
      <c r="H18" s="43"/>
      <c r="I18" s="44"/>
    </row>
    <row r="19" spans="1:11" ht="13.5" thickBot="1">
      <c r="J19" s="12"/>
      <c r="K19" s="46"/>
    </row>
    <row r="20" spans="1:11" ht="15.75">
      <c r="A20" s="2" t="s">
        <v>106</v>
      </c>
      <c r="B20" s="7"/>
      <c r="J20" s="12"/>
      <c r="K20" s="46"/>
    </row>
    <row r="21" spans="1:11" ht="15.75">
      <c r="A21" s="3" t="s">
        <v>105</v>
      </c>
      <c r="B21" s="8"/>
      <c r="J21" s="12"/>
      <c r="K21" s="48"/>
    </row>
    <row r="22" spans="1:11" ht="15.75">
      <c r="A22" s="3" t="s">
        <v>107</v>
      </c>
      <c r="B22" s="9"/>
      <c r="J22" s="12"/>
      <c r="K22" s="46"/>
    </row>
    <row r="23" spans="1:11" ht="16.5" thickBot="1">
      <c r="A23" s="4" t="s">
        <v>108</v>
      </c>
      <c r="B23" s="10"/>
    </row>
    <row r="24" spans="1:11" ht="16.5" thickBot="1">
      <c r="A24" s="5" t="s">
        <v>25</v>
      </c>
      <c r="B24" s="6">
        <f>SUM(B20:B23)</f>
        <v>0</v>
      </c>
    </row>
  </sheetData>
  <mergeCells count="3"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GENNAIO</vt:lpstr>
      <vt:lpstr>FEBBRAIO</vt:lpstr>
      <vt:lpstr>MARZO</vt:lpstr>
      <vt:lpstr>APRILE</vt:lpstr>
      <vt:lpstr>MAGGIO</vt:lpstr>
      <vt:lpstr>GIUGNO</vt:lpstr>
      <vt:lpstr>LUGLIO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</dc:creator>
  <cp:lastModifiedBy>Simonetta</cp:lastModifiedBy>
  <dcterms:created xsi:type="dcterms:W3CDTF">2015-01-15T15:50:49Z</dcterms:created>
  <dcterms:modified xsi:type="dcterms:W3CDTF">2015-07-03T07:00:02Z</dcterms:modified>
</cp:coreProperties>
</file>