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24435" windowHeight="11505" activeTab="5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</sheets>
  <calcPr calcId="125725"/>
</workbook>
</file>

<file path=xl/calcChain.xml><?xml version="1.0" encoding="utf-8"?>
<calcChain xmlns="http://schemas.openxmlformats.org/spreadsheetml/2006/main">
  <c r="C57" i="6"/>
  <c r="B57"/>
  <c r="B59" l="1"/>
  <c r="B56" l="1"/>
  <c r="G56" i="5"/>
  <c r="F56"/>
  <c r="C3"/>
  <c r="B3"/>
  <c r="E3" s="1"/>
  <c r="C49" i="6"/>
  <c r="B49"/>
  <c r="E49" s="1"/>
  <c r="D57"/>
  <c r="E57" s="1"/>
  <c r="B58"/>
  <c r="B116"/>
  <c r="B121"/>
  <c r="G66"/>
  <c r="C66"/>
  <c r="B66"/>
  <c r="E65"/>
  <c r="E66" s="1"/>
  <c r="D65"/>
  <c r="D61"/>
  <c r="E61"/>
  <c r="D60"/>
  <c r="E60" s="1"/>
  <c r="D59"/>
  <c r="E59" s="1"/>
  <c r="D58"/>
  <c r="E58" s="1"/>
  <c r="D56"/>
  <c r="E56" s="1"/>
  <c r="D55"/>
  <c r="E55"/>
  <c r="G54"/>
  <c r="G62" s="1"/>
  <c r="D54"/>
  <c r="E54" s="1"/>
  <c r="E53"/>
  <c r="D53"/>
  <c r="D49"/>
  <c r="E48"/>
  <c r="D48"/>
  <c r="G47"/>
  <c r="G50"/>
  <c r="C50"/>
  <c r="E46"/>
  <c r="E45"/>
  <c r="D44"/>
  <c r="G41"/>
  <c r="C41"/>
  <c r="B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E41" s="1"/>
  <c r="D22"/>
  <c r="E21"/>
  <c r="D21"/>
  <c r="E20"/>
  <c r="D20"/>
  <c r="G17"/>
  <c r="B120" s="1"/>
  <c r="C17"/>
  <c r="B17"/>
  <c r="E16"/>
  <c r="E15"/>
  <c r="E17"/>
  <c r="G12"/>
  <c r="C12"/>
  <c r="B12"/>
  <c r="E11"/>
  <c r="E10"/>
  <c r="E9"/>
  <c r="E8"/>
  <c r="E12"/>
  <c r="G5"/>
  <c r="C5"/>
  <c r="B5"/>
  <c r="E4"/>
  <c r="E3"/>
  <c r="E2"/>
  <c r="E5" s="1"/>
  <c r="B62"/>
  <c r="E44"/>
  <c r="D46"/>
  <c r="D47"/>
  <c r="E47"/>
  <c r="E50" s="1"/>
  <c r="C57" i="5"/>
  <c r="B57"/>
  <c r="C47"/>
  <c r="C50" s="1"/>
  <c r="B47"/>
  <c r="C60"/>
  <c r="B60"/>
  <c r="D60" s="1"/>
  <c r="E60" s="1"/>
  <c r="C2"/>
  <c r="C5" s="1"/>
  <c r="B2"/>
  <c r="C55"/>
  <c r="B55"/>
  <c r="C46"/>
  <c r="E46" s="1"/>
  <c r="B46"/>
  <c r="C54"/>
  <c r="B54"/>
  <c r="D54" s="1"/>
  <c r="E54" s="1"/>
  <c r="C53"/>
  <c r="B53"/>
  <c r="D53" s="1"/>
  <c r="E53" s="1"/>
  <c r="C44"/>
  <c r="E44" s="1"/>
  <c r="B44"/>
  <c r="C48"/>
  <c r="B48"/>
  <c r="B59"/>
  <c r="D59" s="1"/>
  <c r="E59" s="1"/>
  <c r="B49"/>
  <c r="C49"/>
  <c r="B56"/>
  <c r="D56" s="1"/>
  <c r="E56" s="1"/>
  <c r="C61"/>
  <c r="B61"/>
  <c r="B58"/>
  <c r="D58"/>
  <c r="E58" s="1"/>
  <c r="G54"/>
  <c r="E10"/>
  <c r="B116"/>
  <c r="B121"/>
  <c r="G66"/>
  <c r="C66"/>
  <c r="B66"/>
  <c r="D65"/>
  <c r="E65" s="1"/>
  <c r="E66" s="1"/>
  <c r="D61"/>
  <c r="E61"/>
  <c r="D57"/>
  <c r="E57" s="1"/>
  <c r="D55"/>
  <c r="E55" s="1"/>
  <c r="G62"/>
  <c r="E48"/>
  <c r="D48"/>
  <c r="G47"/>
  <c r="G50"/>
  <c r="E45"/>
  <c r="G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C41"/>
  <c r="B41"/>
  <c r="E27"/>
  <c r="D27"/>
  <c r="E26"/>
  <c r="D26"/>
  <c r="E25"/>
  <c r="D25"/>
  <c r="E24"/>
  <c r="D24"/>
  <c r="E23"/>
  <c r="D23"/>
  <c r="E22"/>
  <c r="D22"/>
  <c r="E21"/>
  <c r="E41" s="1"/>
  <c r="D21"/>
  <c r="E20"/>
  <c r="D20"/>
  <c r="G17"/>
  <c r="C17"/>
  <c r="B17"/>
  <c r="E16"/>
  <c r="E15"/>
  <c r="E17"/>
  <c r="G12"/>
  <c r="C12"/>
  <c r="B12"/>
  <c r="E11"/>
  <c r="E12" s="1"/>
  <c r="E9"/>
  <c r="E8"/>
  <c r="G5"/>
  <c r="E4"/>
  <c r="E28"/>
  <c r="D28"/>
  <c r="C47" i="4"/>
  <c r="B47"/>
  <c r="D47" s="1"/>
  <c r="E47" s="1"/>
  <c r="G56"/>
  <c r="C28"/>
  <c r="B28"/>
  <c r="E28"/>
  <c r="E41" s="1"/>
  <c r="C37"/>
  <c r="B37"/>
  <c r="E37"/>
  <c r="C3"/>
  <c r="C5" s="1"/>
  <c r="B3"/>
  <c r="C44"/>
  <c r="B44"/>
  <c r="B2"/>
  <c r="B5" s="1"/>
  <c r="C54"/>
  <c r="B54"/>
  <c r="C46"/>
  <c r="B46"/>
  <c r="E46" s="1"/>
  <c r="B49"/>
  <c r="C49"/>
  <c r="D49"/>
  <c r="C53"/>
  <c r="D53" s="1"/>
  <c r="E53" s="1"/>
  <c r="B53"/>
  <c r="B61"/>
  <c r="C61"/>
  <c r="B56"/>
  <c r="D56" s="1"/>
  <c r="E56" s="1"/>
  <c r="C55"/>
  <c r="B55"/>
  <c r="C60"/>
  <c r="B60"/>
  <c r="D60" s="1"/>
  <c r="E60" s="1"/>
  <c r="C48"/>
  <c r="B48"/>
  <c r="B58"/>
  <c r="B62"/>
  <c r="B116"/>
  <c r="B121"/>
  <c r="G66"/>
  <c r="C66"/>
  <c r="B66"/>
  <c r="D65"/>
  <c r="E65"/>
  <c r="E66"/>
  <c r="D61"/>
  <c r="E61"/>
  <c r="D59"/>
  <c r="E59"/>
  <c r="D57"/>
  <c r="E57"/>
  <c r="D55"/>
  <c r="E55"/>
  <c r="G54"/>
  <c r="G62"/>
  <c r="D54"/>
  <c r="E54"/>
  <c r="D58"/>
  <c r="E58"/>
  <c r="E49"/>
  <c r="D48"/>
  <c r="G47"/>
  <c r="G50" s="1"/>
  <c r="B120" s="1"/>
  <c r="E44"/>
  <c r="E45"/>
  <c r="E48"/>
  <c r="C50"/>
  <c r="D44"/>
  <c r="G41"/>
  <c r="E40"/>
  <c r="D40"/>
  <c r="E39"/>
  <c r="D39"/>
  <c r="D38"/>
  <c r="D37"/>
  <c r="E36"/>
  <c r="D36"/>
  <c r="E35"/>
  <c r="D35"/>
  <c r="E34"/>
  <c r="D34"/>
  <c r="E33"/>
  <c r="D33"/>
  <c r="E32"/>
  <c r="D32"/>
  <c r="E31"/>
  <c r="D31"/>
  <c r="E30"/>
  <c r="D30"/>
  <c r="E29"/>
  <c r="D29"/>
  <c r="D28"/>
  <c r="E27"/>
  <c r="D27"/>
  <c r="E26"/>
  <c r="D26"/>
  <c r="E25"/>
  <c r="D25"/>
  <c r="E24"/>
  <c r="D24"/>
  <c r="E23"/>
  <c r="D23"/>
  <c r="E22"/>
  <c r="D22"/>
  <c r="E21"/>
  <c r="D21"/>
  <c r="E20"/>
  <c r="D20"/>
  <c r="G17"/>
  <c r="C17"/>
  <c r="B17"/>
  <c r="E16"/>
  <c r="E15"/>
  <c r="E17" s="1"/>
  <c r="G12"/>
  <c r="C12"/>
  <c r="B12"/>
  <c r="E11"/>
  <c r="E8"/>
  <c r="E9"/>
  <c r="E12" s="1"/>
  <c r="G5"/>
  <c r="E4"/>
  <c r="E3"/>
  <c r="E38"/>
  <c r="B118" i="3"/>
  <c r="G55"/>
  <c r="G56" i="2"/>
  <c r="G62" s="1"/>
  <c r="G54"/>
  <c r="G53" i="3"/>
  <c r="C46"/>
  <c r="B46"/>
  <c r="D46" s="1"/>
  <c r="E46" s="1"/>
  <c r="C47"/>
  <c r="B47"/>
  <c r="C56"/>
  <c r="B56"/>
  <c r="C54"/>
  <c r="B54"/>
  <c r="C3"/>
  <c r="B3"/>
  <c r="B5" s="1"/>
  <c r="C37"/>
  <c r="B37"/>
  <c r="C59"/>
  <c r="D59"/>
  <c r="E59" s="1"/>
  <c r="B59"/>
  <c r="C43"/>
  <c r="B43"/>
  <c r="D43" s="1"/>
  <c r="C52"/>
  <c r="B52"/>
  <c r="D52" s="1"/>
  <c r="E52" s="1"/>
  <c r="C53"/>
  <c r="B53"/>
  <c r="D53" s="1"/>
  <c r="E53" s="1"/>
  <c r="B58"/>
  <c r="D58"/>
  <c r="E58" s="1"/>
  <c r="B48"/>
  <c r="E48" s="1"/>
  <c r="C48"/>
  <c r="B55"/>
  <c r="D55" s="1"/>
  <c r="C60"/>
  <c r="D60"/>
  <c r="E60" s="1"/>
  <c r="B60"/>
  <c r="B123"/>
  <c r="G65"/>
  <c r="C65"/>
  <c r="B65"/>
  <c r="D64"/>
  <c r="E64"/>
  <c r="E65" s="1"/>
  <c r="D57"/>
  <c r="E57" s="1"/>
  <c r="D56"/>
  <c r="E56" s="1"/>
  <c r="G61"/>
  <c r="D54"/>
  <c r="E54"/>
  <c r="E47"/>
  <c r="G46"/>
  <c r="G49" s="1"/>
  <c r="B122" s="1"/>
  <c r="C49"/>
  <c r="D45"/>
  <c r="E44"/>
  <c r="G40"/>
  <c r="C40"/>
  <c r="B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G16"/>
  <c r="C16"/>
  <c r="B16"/>
  <c r="E15"/>
  <c r="E14"/>
  <c r="E16" s="1"/>
  <c r="G11"/>
  <c r="C11"/>
  <c r="B11"/>
  <c r="E10"/>
  <c r="E11" s="1"/>
  <c r="E9"/>
  <c r="E8"/>
  <c r="G5"/>
  <c r="C5"/>
  <c r="E4"/>
  <c r="E2"/>
  <c r="E49" i="2"/>
  <c r="E48"/>
  <c r="E45" i="3"/>
  <c r="D47"/>
  <c r="G61" i="2"/>
  <c r="C46"/>
  <c r="B46"/>
  <c r="B57"/>
  <c r="D57" s="1"/>
  <c r="E57" s="1"/>
  <c r="B3"/>
  <c r="C55"/>
  <c r="B55"/>
  <c r="C45"/>
  <c r="E45" s="1"/>
  <c r="B45"/>
  <c r="E58" i="1"/>
  <c r="D54" i="2"/>
  <c r="E54" s="1"/>
  <c r="B54"/>
  <c r="C43"/>
  <c r="C50" s="1"/>
  <c r="B43"/>
  <c r="B50" s="1"/>
  <c r="C2"/>
  <c r="E2" s="1"/>
  <c r="E5" s="1"/>
  <c r="B2"/>
  <c r="B5"/>
  <c r="B124" s="1"/>
  <c r="C53"/>
  <c r="C62" s="1"/>
  <c r="B53"/>
  <c r="D53" s="1"/>
  <c r="E53" s="1"/>
  <c r="C47"/>
  <c r="B47"/>
  <c r="B56"/>
  <c r="B62" s="1"/>
  <c r="B58"/>
  <c r="C46" i="1"/>
  <c r="B46"/>
  <c r="D46" s="1"/>
  <c r="E46" s="1"/>
  <c r="B61" i="2"/>
  <c r="B11"/>
  <c r="B16"/>
  <c r="B40"/>
  <c r="B66"/>
  <c r="G5"/>
  <c r="G11"/>
  <c r="B125" s="1"/>
  <c r="G16"/>
  <c r="G40"/>
  <c r="G46"/>
  <c r="G50"/>
  <c r="G66"/>
  <c r="B121"/>
  <c r="B126"/>
  <c r="D65"/>
  <c r="E65" s="1"/>
  <c r="E66" s="1"/>
  <c r="C66"/>
  <c r="D56"/>
  <c r="E56" s="1"/>
  <c r="D58"/>
  <c r="E58"/>
  <c r="D61"/>
  <c r="E61" s="1"/>
  <c r="D60"/>
  <c r="E60"/>
  <c r="D59"/>
  <c r="E59" s="1"/>
  <c r="D55"/>
  <c r="E43"/>
  <c r="E44"/>
  <c r="D46"/>
  <c r="E46"/>
  <c r="E47"/>
  <c r="D47"/>
  <c r="D43"/>
  <c r="E19"/>
  <c r="E40" s="1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C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E14"/>
  <c r="E16" s="1"/>
  <c r="E15"/>
  <c r="C16"/>
  <c r="E8"/>
  <c r="E11" s="1"/>
  <c r="E9"/>
  <c r="E10"/>
  <c r="C11"/>
  <c r="E3"/>
  <c r="E4"/>
  <c r="B55" i="1"/>
  <c r="D55" s="1"/>
  <c r="E55" s="1"/>
  <c r="C45"/>
  <c r="C49" s="1"/>
  <c r="B45"/>
  <c r="C53"/>
  <c r="B53"/>
  <c r="D53" s="1"/>
  <c r="E53" s="1"/>
  <c r="C59"/>
  <c r="C60" s="1"/>
  <c r="B59"/>
  <c r="B3"/>
  <c r="C52"/>
  <c r="D52" s="1"/>
  <c r="E52" s="1"/>
  <c r="B52"/>
  <c r="C58"/>
  <c r="B58"/>
  <c r="B54"/>
  <c r="D54" s="1"/>
  <c r="B56"/>
  <c r="B63"/>
  <c r="B64" s="1"/>
  <c r="C47"/>
  <c r="B47"/>
  <c r="G46"/>
  <c r="G49"/>
  <c r="G59"/>
  <c r="G60"/>
  <c r="B119"/>
  <c r="B124"/>
  <c r="G64"/>
  <c r="C64"/>
  <c r="D59"/>
  <c r="E59" s="1"/>
  <c r="D56"/>
  <c r="E56"/>
  <c r="D48"/>
  <c r="E48" s="1"/>
  <c r="E47"/>
  <c r="E44"/>
  <c r="E43"/>
  <c r="G40"/>
  <c r="E19"/>
  <c r="E20"/>
  <c r="E21"/>
  <c r="E40" s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C40"/>
  <c r="B40"/>
  <c r="G16"/>
  <c r="E14"/>
  <c r="E15"/>
  <c r="E16"/>
  <c r="C16"/>
  <c r="B16"/>
  <c r="C11"/>
  <c r="B11"/>
  <c r="G11"/>
  <c r="E8"/>
  <c r="E9"/>
  <c r="E11"/>
  <c r="E10"/>
  <c r="C5"/>
  <c r="E2"/>
  <c r="E5" s="1"/>
  <c r="E3"/>
  <c r="E4"/>
  <c r="G5"/>
  <c r="B123" s="1"/>
  <c r="B5"/>
  <c r="D39"/>
  <c r="D47"/>
  <c r="D43"/>
  <c r="D38"/>
  <c r="D37"/>
  <c r="D36"/>
  <c r="D58"/>
  <c r="D57"/>
  <c r="E57" s="1"/>
  <c r="D35"/>
  <c r="D34"/>
  <c r="D33"/>
  <c r="D32"/>
  <c r="D31"/>
  <c r="D30"/>
  <c r="D29"/>
  <c r="D28"/>
  <c r="D27"/>
  <c r="D26"/>
  <c r="D25"/>
  <c r="D24"/>
  <c r="D23"/>
  <c r="D22"/>
  <c r="D21"/>
  <c r="D19"/>
  <c r="D20"/>
  <c r="E45"/>
  <c r="D45"/>
  <c r="E55" i="2"/>
  <c r="E40" i="3"/>
  <c r="C61"/>
  <c r="B41" i="4"/>
  <c r="C41"/>
  <c r="D49" i="5"/>
  <c r="B50"/>
  <c r="E49"/>
  <c r="D46"/>
  <c r="B120" l="1"/>
  <c r="D62" i="2"/>
  <c r="E62"/>
  <c r="E50" i="4"/>
  <c r="E54" i="1"/>
  <c r="D60"/>
  <c r="D61" i="3"/>
  <c r="E55"/>
  <c r="E60" i="1"/>
  <c r="E49"/>
  <c r="B127" i="2"/>
  <c r="E62" i="4"/>
  <c r="E62" i="6"/>
  <c r="E50" i="2"/>
  <c r="E61" i="3"/>
  <c r="E62" i="5"/>
  <c r="B49" i="3"/>
  <c r="B121" s="1"/>
  <c r="B124" s="1"/>
  <c r="D45" i="2"/>
  <c r="D63" i="1"/>
  <c r="E63" s="1"/>
  <c r="E64" s="1"/>
  <c r="C5" i="2"/>
  <c r="B60" i="1"/>
  <c r="E3" i="3"/>
  <c r="E5" s="1"/>
  <c r="E2" i="4"/>
  <c r="E5" s="1"/>
  <c r="D46"/>
  <c r="B5" i="5"/>
  <c r="E2"/>
  <c r="E5" s="1"/>
  <c r="D44"/>
  <c r="D47"/>
  <c r="E47" s="1"/>
  <c r="E50" s="1"/>
  <c r="E43" i="3"/>
  <c r="E49" s="1"/>
  <c r="B49" i="1"/>
  <c r="B122" s="1"/>
  <c r="B125" s="1"/>
  <c r="B62" i="5"/>
  <c r="B50" i="6"/>
  <c r="B119" s="1"/>
  <c r="B122" s="1"/>
  <c r="B61" i="3"/>
  <c r="B50" i="4"/>
  <c r="B119" s="1"/>
  <c r="B122" s="1"/>
  <c r="B119" i="5" l="1"/>
  <c r="B122" s="1"/>
</calcChain>
</file>

<file path=xl/sharedStrings.xml><?xml version="1.0" encoding="utf-8"?>
<sst xmlns="http://schemas.openxmlformats.org/spreadsheetml/2006/main" count="973" uniqueCount="139">
  <si>
    <t>DIREZIONE GENERALE</t>
  </si>
  <si>
    <t>TOT. NOTA SPESE</t>
  </si>
  <si>
    <t>Pagamento C/C aziendale</t>
  </si>
  <si>
    <t>Vincenzetti David 349/4403823</t>
  </si>
  <si>
    <t>Bedeschi Valeriano 335/7636888</t>
  </si>
  <si>
    <t>Busatto Fabio 335/6089762</t>
  </si>
  <si>
    <t>Chiodini Massimo 335/7710861</t>
  </si>
  <si>
    <t>Cino Giovanni 347/6082465</t>
  </si>
  <si>
    <t>Cornelli Fabrizio 366/6539755</t>
  </si>
  <si>
    <t>Di Pasquale Andrea 349/3505788</t>
  </si>
  <si>
    <t>Fontana Marco 335/1725432</t>
  </si>
  <si>
    <t>Furlan Walter 366/9237125</t>
  </si>
  <si>
    <t>Gallucci Simonetta 393/9310619</t>
  </si>
  <si>
    <t>Giubertoni Diego 366/9022609</t>
  </si>
  <si>
    <t xml:space="preserve">Guerra Luca 348/0115641 </t>
  </si>
  <si>
    <t>Invernizzi Lorenzo 366/6335128</t>
  </si>
  <si>
    <t xml:space="preserve">Losito Marco 360/1076598 </t>
  </si>
  <si>
    <t>Marcon Eros 348/6512411</t>
  </si>
  <si>
    <t>Martinez Daniel 366/5676136</t>
  </si>
  <si>
    <t>Mazzeo Antonio 331/1863741</t>
  </si>
  <si>
    <t>Milan Daniele 334/6221194</t>
  </si>
  <si>
    <t>Molteni Daniele 331/6237813</t>
  </si>
  <si>
    <t>Muschitiello Bruno 335/1732130</t>
  </si>
  <si>
    <t>Oliva Matteo 338/6955204</t>
  </si>
  <si>
    <t>Ornaghi Alberto 348/0115642</t>
  </si>
  <si>
    <t>Pardo Eduardo 366/6285429</t>
  </si>
  <si>
    <t>Placidi Emanuele 337/1115601</t>
  </si>
  <si>
    <t>Pozzi Christian 335/6675105</t>
  </si>
  <si>
    <t xml:space="preserve">Rodriguez Sergio +34608662179 </t>
  </si>
  <si>
    <t>Romeo Mauro 347/6079478</t>
  </si>
  <si>
    <t>Scarafile Alessandro 338/6906194</t>
  </si>
  <si>
    <t>Speziale Ivan 366/9003900</t>
  </si>
  <si>
    <t>Valleri Marco 348/8261691</t>
  </si>
  <si>
    <t>Vardaro Cristian 348/6512408</t>
  </si>
  <si>
    <t>Woon Serge +65 912/73063</t>
  </si>
  <si>
    <t>AMMINISTRAZIONE</t>
  </si>
  <si>
    <t>Russo Giancarlo 328/8139385</t>
  </si>
  <si>
    <t>Bettini Marco 348/8291450</t>
  </si>
  <si>
    <t>Luppi Massimiliano 366/6539760</t>
  </si>
  <si>
    <t>Maglietta Daniel +65 912/73560</t>
  </si>
  <si>
    <t>Shehata Emad 335/7939078</t>
  </si>
  <si>
    <t>Velasco Alex 301/332/5654 - 335/7245469</t>
  </si>
  <si>
    <t>EXTRA</t>
  </si>
  <si>
    <t>COSTO</t>
  </si>
  <si>
    <t xml:space="preserve">SIM Test Cornelli - 334/6221285  </t>
  </si>
  <si>
    <t>MICRO-SIM TEST Cino -335/7660700</t>
  </si>
  <si>
    <t>MICRO-SIM TEST Cornelli -334/6405249</t>
  </si>
  <si>
    <t xml:space="preserve">SIM USB 366/6539750 - Romeo </t>
  </si>
  <si>
    <t>SIM USB 366/6539752 - Vincenzetti</t>
  </si>
  <si>
    <t>SIM USB 338/2508322 - Mazzeo</t>
  </si>
  <si>
    <t>SIM USB 366/6712813 - Bettini</t>
  </si>
  <si>
    <t>SIM i-Pad Bettini 335/5885358</t>
  </si>
  <si>
    <t>SIM i-Pad Russo 338/6147118</t>
  </si>
  <si>
    <t>SIM i-Pad Valleri 338/5784657</t>
  </si>
  <si>
    <t>SIM i-Pad Gallucci 338/5799796</t>
  </si>
  <si>
    <t>SIM i-Pad Milan 338/6035792</t>
  </si>
  <si>
    <t>SIM i-Pad Ornaghi 338/6014231</t>
  </si>
  <si>
    <t>MICRO-SIM TEST Pozzi 335/1798083</t>
  </si>
  <si>
    <t>SIM i-Pad Luppi 334/6195490</t>
  </si>
  <si>
    <t>SIM i-Pad Shehata 335/6166584</t>
  </si>
  <si>
    <t>SIM i-Pad Cornelli 366/6868542</t>
  </si>
  <si>
    <t>SIM i-Pad Rana 338/6158296</t>
  </si>
  <si>
    <t>SIM i-Pad Vincenzetti 338/6265521</t>
  </si>
  <si>
    <t>SIM Tablet Vincenzetti 366/5807966</t>
  </si>
  <si>
    <t>SIM Tablet Bedeschi 366/5802120</t>
  </si>
  <si>
    <t>Micro-SIM 4GB Vincenzetti - 366/9603623</t>
  </si>
  <si>
    <t>Micro-SIM 4GB Vincenzetti - 366/9118338</t>
  </si>
  <si>
    <t>Micro-SIM 4GB Bedeschi - 366/9603620</t>
  </si>
  <si>
    <t>Micro-SIM 4GB Milan - 366/9295274</t>
  </si>
  <si>
    <t>Nano-Sim 4G Russo - 335/6363244</t>
  </si>
  <si>
    <t>CATENA DEMO 1: 366/5798113</t>
  </si>
  <si>
    <t>CATENA DEMO 2: 366/5798116</t>
  </si>
  <si>
    <t>CATENA DEMO 3: 366/5798119</t>
  </si>
  <si>
    <t>CATENA DEMO 4: 335/1754592</t>
  </si>
  <si>
    <t>CATENA DEMO 5: 335/1780295</t>
  </si>
  <si>
    <t>CATENA DEMO 6: 366/6040990</t>
  </si>
  <si>
    <t>SIM VOCE x ALLARME 5° PIANO: 334/6207225</t>
  </si>
  <si>
    <t>SIM VOCE x ALLARME 5° PIANO: 337/1050842</t>
  </si>
  <si>
    <t>TOTALE NOTE SPESE</t>
  </si>
  <si>
    <t>TOTALE CELLULARI</t>
  </si>
  <si>
    <t>Rimborso dovuto Valuta</t>
  </si>
  <si>
    <t>Rimborso dovuto Euro</t>
  </si>
  <si>
    <t>Costo Cellulare Valuta</t>
  </si>
  <si>
    <t>Costo cellulare Euro</t>
  </si>
  <si>
    <t>Capaldo Antonella 366/7216471</t>
  </si>
  <si>
    <t>Rana Lucia 366/7216470</t>
  </si>
  <si>
    <t xml:space="preserve">NET. SEC. </t>
  </si>
  <si>
    <t>R&amp;D</t>
  </si>
  <si>
    <t>Bassi Alessandro 337/1176341</t>
  </si>
  <si>
    <t>FAE</t>
  </si>
  <si>
    <t>Viscardi Rosario 331/6646438</t>
  </si>
  <si>
    <t>Subtotal</t>
  </si>
  <si>
    <t>Bettini Marco BIS 338/6737284</t>
  </si>
  <si>
    <t>SALES</t>
  </si>
  <si>
    <t>TOTALE SIM DATI/TEST</t>
  </si>
  <si>
    <t>TOTALE GENNAIO</t>
  </si>
  <si>
    <t xml:space="preserve">TASSI DI CAMBIO AL 31/01: </t>
  </si>
  <si>
    <t>MXN</t>
  </si>
  <si>
    <t>SGD</t>
  </si>
  <si>
    <t>USD</t>
  </si>
  <si>
    <t>SIM DATI/TEST</t>
  </si>
  <si>
    <t xml:space="preserve">SIM Test Cornelli - 335/5865863 </t>
  </si>
  <si>
    <t>SIM Test Cornelli - 366/6539758</t>
  </si>
  <si>
    <t xml:space="preserve">SIM Test Cornelli - 366/6539757 </t>
  </si>
  <si>
    <t>SIM USB 335/5950448 -  Free (Ex Filippi)</t>
  </si>
  <si>
    <t>Richiesta Disattivazione 12/01</t>
  </si>
  <si>
    <t>SIM USB 338/2640490 - Free (Ex-Maanna)</t>
  </si>
  <si>
    <t>SIM USB 366/6712811 - Rana</t>
  </si>
  <si>
    <t>Micro-SIM Extra APN Vincenzetti 335/1956146</t>
  </si>
  <si>
    <t>Micro-SIM 4GB Russo 331/6866640</t>
  </si>
  <si>
    <t>Micro-SIM 4GB Bedeschi 366/8541200</t>
  </si>
  <si>
    <t>NANO-SIM Test Chiodini - 338/5091404</t>
  </si>
  <si>
    <t>NANO-SIM Busatto 335/7705343</t>
  </si>
  <si>
    <t>NANO-SIM Bedeschi 335/5662351</t>
  </si>
  <si>
    <t>NANO-SIM Test Extra APN Cornelli 360/1094046</t>
  </si>
  <si>
    <t>NANO-SIM 4GB Extra APN Vincenzetti 360/1095572</t>
  </si>
  <si>
    <t>NANO-SIM 4GB Extra APN Vincenzetti 360/5631988</t>
  </si>
  <si>
    <t>NANO-SIM 4GB Vincenzetti 334/6932700</t>
  </si>
  <si>
    <t>SIM 4G Bedeschi 335/7706363</t>
  </si>
  <si>
    <t>SIM 4G Vincenzetti 366/7895183</t>
  </si>
  <si>
    <t>Total</t>
  </si>
  <si>
    <t>Rabe Eric</t>
  </si>
  <si>
    <t xml:space="preserve">TASSI DI CAMBIO AL 28/02: </t>
  </si>
  <si>
    <t>Ho Eugene +65 912 730 63</t>
  </si>
  <si>
    <t>Vinci Philippe 335/1005194333</t>
  </si>
  <si>
    <t>TOTALE FEBBRAIO</t>
  </si>
  <si>
    <t xml:space="preserve">TASSI DI CAMBIO AL 31/03: </t>
  </si>
  <si>
    <t>Romualdi Davide 337/1266538</t>
  </si>
  <si>
    <t>SIM Ex-Velasco</t>
  </si>
  <si>
    <t>Richiesta disattivazione</t>
  </si>
  <si>
    <t xml:space="preserve">TASSI DI CAMBIO AL 30/04: </t>
  </si>
  <si>
    <t xml:space="preserve">Mino Alessandra 334/6398065 </t>
  </si>
  <si>
    <t xml:space="preserve">TASSI DI CAMBIO AL 31/05: </t>
  </si>
  <si>
    <t>TOTALE MARZO</t>
  </si>
  <si>
    <t>TOTALE APRILE</t>
  </si>
  <si>
    <t>TOTALE MAGGIO</t>
  </si>
  <si>
    <t>Vinci Philippe 335/1005194</t>
  </si>
  <si>
    <t xml:space="preserve">TASSI DI CAMBIO AL 30/06: </t>
  </si>
  <si>
    <t>COP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</si>
</sst>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[$MXN]\ #,##0.00"/>
    <numFmt numFmtId="165" formatCode="[$$-409]#,##0.00"/>
    <numFmt numFmtId="166" formatCode="[$SGD]\ #,##0.00"/>
    <numFmt numFmtId="167" formatCode="[$USD]\ #,##0.00"/>
    <numFmt numFmtId="168" formatCode="[$COP]\ 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4" fillId="0" borderId="0" xfId="1" applyNumberFormat="1" applyFont="1" applyFill="1" applyBorder="1" applyAlignment="1"/>
    <xf numFmtId="2" fontId="2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0" fontId="2" fillId="0" borderId="0" xfId="0" applyFont="1" applyFill="1" applyBorder="1"/>
    <xf numFmtId="2" fontId="2" fillId="0" borderId="0" xfId="1" applyNumberFormat="1" applyFont="1" applyFill="1" applyBorder="1"/>
    <xf numFmtId="0" fontId="4" fillId="0" borderId="0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2" fontId="4" fillId="0" borderId="0" xfId="0" applyNumberFormat="1" applyFont="1" applyFill="1" applyBorder="1"/>
    <xf numFmtId="2" fontId="4" fillId="0" borderId="0" xfId="1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165" fontId="4" fillId="0" borderId="0" xfId="1" applyNumberFormat="1" applyFont="1" applyFill="1" applyBorder="1"/>
    <xf numFmtId="165" fontId="4" fillId="0" borderId="0" xfId="0" applyNumberFormat="1" applyFont="1" applyFill="1" applyBorder="1"/>
    <xf numFmtId="2" fontId="4" fillId="0" borderId="0" xfId="0" applyNumberFormat="1" applyFont="1" applyBorder="1"/>
    <xf numFmtId="2" fontId="4" fillId="0" borderId="0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/>
    <xf numFmtId="2" fontId="4" fillId="0" borderId="12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1" xfId="1" applyNumberFormat="1" applyFont="1" applyFill="1" applyBorder="1"/>
    <xf numFmtId="2" fontId="4" fillId="0" borderId="12" xfId="1" applyNumberFormat="1" applyFont="1" applyFill="1" applyBorder="1"/>
    <xf numFmtId="4" fontId="4" fillId="0" borderId="10" xfId="0" applyNumberFormat="1" applyFont="1" applyFill="1" applyBorder="1"/>
    <xf numFmtId="2" fontId="2" fillId="2" borderId="1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/>
    <xf numFmtId="2" fontId="4" fillId="2" borderId="11" xfId="0" applyNumberFormat="1" applyFont="1" applyFill="1" applyBorder="1" applyAlignment="1"/>
    <xf numFmtId="4" fontId="4" fillId="0" borderId="10" xfId="1" applyNumberFormat="1" applyFont="1" applyFill="1" applyBorder="1"/>
    <xf numFmtId="4" fontId="4" fillId="0" borderId="11" xfId="1" applyNumberFormat="1" applyFont="1" applyFill="1" applyBorder="1"/>
    <xf numFmtId="4" fontId="4" fillId="2" borderId="11" xfId="0" applyNumberFormat="1" applyFont="1" applyFill="1" applyBorder="1" applyAlignment="1"/>
    <xf numFmtId="4" fontId="4" fillId="0" borderId="12" xfId="0" applyNumberFormat="1" applyFont="1" applyFill="1" applyBorder="1" applyAlignment="1">
      <alignment vertical="center" wrapText="1"/>
    </xf>
    <xf numFmtId="4" fontId="4" fillId="0" borderId="12" xfId="1" applyNumberFormat="1" applyFont="1" applyFill="1" applyBorder="1"/>
    <xf numFmtId="4" fontId="4" fillId="2" borderId="12" xfId="0" applyNumberFormat="1" applyFont="1" applyFill="1" applyBorder="1" applyAlignment="1">
      <alignment vertical="center"/>
    </xf>
    <xf numFmtId="4" fontId="4" fillId="2" borderId="10" xfId="1" applyNumberFormat="1" applyFont="1" applyFill="1" applyBorder="1"/>
    <xf numFmtId="4" fontId="4" fillId="2" borderId="11" xfId="1" applyNumberFormat="1" applyFont="1" applyFill="1" applyBorder="1"/>
    <xf numFmtId="4" fontId="4" fillId="2" borderId="12" xfId="1" applyNumberFormat="1" applyFont="1" applyFill="1" applyBorder="1"/>
    <xf numFmtId="0" fontId="4" fillId="0" borderId="10" xfId="0" applyFont="1" applyBorder="1"/>
    <xf numFmtId="0" fontId="4" fillId="0" borderId="12" xfId="0" applyFont="1" applyFill="1" applyBorder="1"/>
    <xf numFmtId="4" fontId="4" fillId="0" borderId="12" xfId="0" applyNumberFormat="1" applyFont="1" applyFill="1" applyBorder="1"/>
    <xf numFmtId="4" fontId="4" fillId="2" borderId="12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2" fontId="4" fillId="0" borderId="11" xfId="0" applyNumberFormat="1" applyFont="1" applyFill="1" applyBorder="1" applyAlignment="1">
      <alignment vertical="center" wrapText="1"/>
    </xf>
    <xf numFmtId="2" fontId="4" fillId="0" borderId="11" xfId="0" applyNumberFormat="1" applyFont="1" applyFill="1" applyBorder="1"/>
    <xf numFmtId="2" fontId="4" fillId="0" borderId="12" xfId="0" applyNumberFormat="1" applyFont="1" applyFill="1" applyBorder="1"/>
    <xf numFmtId="2" fontId="4" fillId="2" borderId="11" xfId="1" applyNumberFormat="1" applyFont="1" applyFill="1" applyBorder="1"/>
    <xf numFmtId="2" fontId="4" fillId="2" borderId="12" xfId="1" applyNumberFormat="1" applyFont="1" applyFill="1" applyBorder="1"/>
    <xf numFmtId="2" fontId="4" fillId="2" borderId="11" xfId="0" applyNumberFormat="1" applyFont="1" applyFill="1" applyBorder="1" applyAlignment="1">
      <alignment vertical="center"/>
    </xf>
    <xf numFmtId="2" fontId="6" fillId="2" borderId="11" xfId="0" applyNumberFormat="1" applyFont="1" applyFill="1" applyBorder="1" applyAlignment="1"/>
    <xf numFmtId="2" fontId="4" fillId="2" borderId="12" xfId="0" applyNumberFormat="1" applyFont="1" applyFill="1" applyBorder="1" applyAlignment="1"/>
    <xf numFmtId="2" fontId="4" fillId="2" borderId="0" xfId="1" applyNumberFormat="1" applyFont="1" applyFill="1" applyBorder="1"/>
    <xf numFmtId="2" fontId="4" fillId="2" borderId="0" xfId="0" applyNumberFormat="1" applyFont="1" applyFill="1" applyBorder="1" applyAlignment="1"/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/>
    <xf numFmtId="165" fontId="4" fillId="0" borderId="11" xfId="1" applyNumberFormat="1" applyFont="1" applyFill="1" applyBorder="1"/>
    <xf numFmtId="166" fontId="4" fillId="0" borderId="11" xfId="0" applyNumberFormat="1" applyFont="1" applyFill="1" applyBorder="1"/>
    <xf numFmtId="166" fontId="4" fillId="0" borderId="11" xfId="1" applyNumberFormat="1" applyFont="1" applyFill="1" applyBorder="1"/>
    <xf numFmtId="167" fontId="4" fillId="0" borderId="11" xfId="0" applyNumberFormat="1" applyFont="1" applyFill="1" applyBorder="1" applyAlignment="1">
      <alignment horizontal="right"/>
    </xf>
    <xf numFmtId="167" fontId="4" fillId="0" borderId="11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/>
    <xf numFmtId="164" fontId="4" fillId="0" borderId="11" xfId="1" applyNumberFormat="1" applyFont="1" applyFill="1" applyBorder="1"/>
    <xf numFmtId="2" fontId="4" fillId="0" borderId="11" xfId="0" applyNumberFormat="1" applyFont="1" applyFill="1" applyBorder="1" applyAlignment="1">
      <alignment horizontal="right"/>
    </xf>
    <xf numFmtId="167" fontId="4" fillId="0" borderId="11" xfId="0" applyNumberFormat="1" applyFont="1" applyFill="1" applyBorder="1" applyAlignment="1">
      <alignment vertical="center" wrapText="1"/>
    </xf>
    <xf numFmtId="167" fontId="4" fillId="0" borderId="11" xfId="1" applyNumberFormat="1" applyFont="1" applyFill="1" applyBorder="1"/>
    <xf numFmtId="0" fontId="4" fillId="0" borderId="6" xfId="0" applyFont="1" applyBorder="1"/>
    <xf numFmtId="0" fontId="4" fillId="0" borderId="7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6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0" fontId="6" fillId="0" borderId="9" xfId="0" applyFont="1" applyFill="1" applyBorder="1" applyAlignment="1"/>
    <xf numFmtId="4" fontId="4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/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9" fillId="0" borderId="3" xfId="0" applyFont="1" applyFill="1" applyBorder="1"/>
    <xf numFmtId="0" fontId="9" fillId="0" borderId="6" xfId="0" applyFont="1" applyFill="1" applyBorder="1"/>
    <xf numFmtId="0" fontId="8" fillId="0" borderId="8" xfId="0" applyFont="1" applyFill="1" applyBorder="1"/>
    <xf numFmtId="3" fontId="9" fillId="0" borderId="5" xfId="0" applyNumberFormat="1" applyFont="1" applyFill="1" applyBorder="1"/>
    <xf numFmtId="3" fontId="9" fillId="0" borderId="7" xfId="1" applyNumberFormat="1" applyFont="1" applyFill="1" applyBorder="1"/>
    <xf numFmtId="3" fontId="9" fillId="0" borderId="7" xfId="0" applyNumberFormat="1" applyFont="1" applyFill="1" applyBorder="1"/>
    <xf numFmtId="3" fontId="8" fillId="0" borderId="9" xfId="0" applyNumberFormat="1" applyFont="1" applyFill="1" applyBorder="1"/>
    <xf numFmtId="2" fontId="6" fillId="2" borderId="11" xfId="1" applyNumberFormat="1" applyFont="1" applyFill="1" applyBorder="1"/>
    <xf numFmtId="2" fontId="6" fillId="2" borderId="11" xfId="0" applyNumberFormat="1" applyFont="1" applyFill="1" applyBorder="1" applyAlignment="1">
      <alignment vertical="center"/>
    </xf>
    <xf numFmtId="4" fontId="9" fillId="0" borderId="5" xfId="0" applyNumberFormat="1" applyFont="1" applyFill="1" applyBorder="1"/>
    <xf numFmtId="4" fontId="9" fillId="0" borderId="7" xfId="1" applyNumberFormat="1" applyFont="1" applyFill="1" applyBorder="1"/>
    <xf numFmtId="4" fontId="9" fillId="0" borderId="7" xfId="0" applyNumberFormat="1" applyFont="1" applyFill="1" applyBorder="1"/>
    <xf numFmtId="4" fontId="8" fillId="0" borderId="9" xfId="0" applyNumberFormat="1" applyFont="1" applyFill="1" applyBorder="1"/>
    <xf numFmtId="0" fontId="6" fillId="0" borderId="0" xfId="0" applyFont="1" applyBorder="1"/>
    <xf numFmtId="4" fontId="6" fillId="2" borderId="11" xfId="0" applyNumberFormat="1" applyFont="1" applyFill="1" applyBorder="1" applyAlignment="1"/>
    <xf numFmtId="0" fontId="4" fillId="3" borderId="11" xfId="0" applyFont="1" applyFill="1" applyBorder="1" applyAlignment="1">
      <alignment wrapText="1"/>
    </xf>
    <xf numFmtId="2" fontId="6" fillId="0" borderId="0" xfId="0" applyNumberFormat="1" applyFont="1" applyBorder="1"/>
    <xf numFmtId="0" fontId="4" fillId="3" borderId="11" xfId="0" applyFont="1" applyFill="1" applyBorder="1" applyAlignment="1">
      <alignment horizontal="left" wrapText="1"/>
    </xf>
    <xf numFmtId="168" fontId="4" fillId="0" borderId="11" xfId="0" applyNumberFormat="1" applyFont="1" applyFill="1" applyBorder="1" applyAlignment="1">
      <alignment vertical="center" wrapText="1"/>
    </xf>
    <xf numFmtId="168" fontId="4" fillId="0" borderId="11" xfId="1" applyNumberFormat="1" applyFont="1" applyFill="1" applyBorder="1"/>
    <xf numFmtId="0" fontId="10" fillId="0" borderId="0" xfId="0" applyFont="1"/>
    <xf numFmtId="0" fontId="10" fillId="0" borderId="13" xfId="0" applyFont="1" applyBorder="1"/>
    <xf numFmtId="2" fontId="4" fillId="0" borderId="14" xfId="0" applyNumberFormat="1" applyFont="1" applyFill="1" applyBorder="1" applyAlignment="1">
      <alignment vertical="center" wrapText="1"/>
    </xf>
    <xf numFmtId="0" fontId="10" fillId="0" borderId="14" xfId="0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3"/>
  <sheetViews>
    <sheetView showGridLines="0" topLeftCell="A31" workbookViewId="0">
      <selection activeCell="G57" sqref="G57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96</v>
      </c>
      <c r="J1" s="122"/>
    </row>
    <row r="2" spans="1:12">
      <c r="A2" s="28" t="s">
        <v>3</v>
      </c>
      <c r="B2" s="37">
        <v>1848.6</v>
      </c>
      <c r="C2" s="37">
        <v>1701</v>
      </c>
      <c r="D2" s="50"/>
      <c r="E2" s="47">
        <f>B2-C2</f>
        <v>147.59999999999991</v>
      </c>
      <c r="F2" s="41"/>
      <c r="G2" s="39">
        <v>27.25</v>
      </c>
      <c r="I2" s="84"/>
      <c r="J2" s="85"/>
    </row>
    <row r="3" spans="1:12" s="12" customFormat="1">
      <c r="A3" s="29" t="s">
        <v>36</v>
      </c>
      <c r="B3" s="32">
        <f>1767</f>
        <v>1767</v>
      </c>
      <c r="C3" s="32">
        <v>1685.4</v>
      </c>
      <c r="D3" s="29"/>
      <c r="E3" s="48">
        <f>B3-C3</f>
        <v>81.599999999999909</v>
      </c>
      <c r="F3" s="42"/>
      <c r="G3" s="43">
        <v>71.8</v>
      </c>
      <c r="H3" s="18"/>
      <c r="I3" s="86" t="s">
        <v>97</v>
      </c>
      <c r="J3" s="87">
        <v>16.838200000000001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6">
        <v>101.22</v>
      </c>
      <c r="H4" s="18"/>
      <c r="I4" s="88" t="s">
        <v>98</v>
      </c>
      <c r="J4" s="89">
        <v>1.5291999999999999</v>
      </c>
      <c r="K4" s="18"/>
      <c r="L4" s="18"/>
    </row>
    <row r="5" spans="1:12" s="12" customFormat="1" ht="13.5" thickBot="1">
      <c r="A5" s="67" t="s">
        <v>91</v>
      </c>
      <c r="B5" s="68">
        <f>SUM(B2:B4)</f>
        <v>3615.6</v>
      </c>
      <c r="C5" s="68">
        <f t="shared" ref="C5:G5" si="0">SUM(C2:C4)</f>
        <v>3386.4</v>
      </c>
      <c r="D5" s="68"/>
      <c r="E5" s="69">
        <f t="shared" si="0"/>
        <v>229.19999999999982</v>
      </c>
      <c r="F5" s="68"/>
      <c r="G5" s="69">
        <f t="shared" si="0"/>
        <v>200.26999999999998</v>
      </c>
      <c r="H5" s="18"/>
      <c r="I5" s="90" t="s">
        <v>99</v>
      </c>
      <c r="J5" s="91">
        <v>1.1305000000000001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>
        <v>59.69</v>
      </c>
    </row>
    <row r="9" spans="1:12" s="12" customFormat="1">
      <c r="A9" s="29" t="s">
        <v>12</v>
      </c>
      <c r="B9" s="32">
        <v>115</v>
      </c>
      <c r="C9" s="32">
        <v>115</v>
      </c>
      <c r="D9" s="29"/>
      <c r="E9" s="48">
        <f>B9-C9</f>
        <v>0</v>
      </c>
      <c r="F9" s="42"/>
      <c r="G9" s="43">
        <v>10.98</v>
      </c>
      <c r="H9" s="18"/>
      <c r="I9" s="18"/>
      <c r="J9" s="18"/>
      <c r="K9" s="18"/>
      <c r="L9" s="18"/>
    </row>
    <row r="10" spans="1:12" s="12" customFormat="1" ht="13.5" thickBot="1">
      <c r="A10" s="30" t="s">
        <v>85</v>
      </c>
      <c r="B10" s="44"/>
      <c r="C10" s="44"/>
      <c r="D10" s="51"/>
      <c r="E10" s="49">
        <f>B10-C10</f>
        <v>0</v>
      </c>
      <c r="F10" s="45"/>
      <c r="G10" s="46">
        <v>25.39</v>
      </c>
      <c r="H10" s="18"/>
      <c r="I10" s="18"/>
      <c r="J10" s="18"/>
      <c r="K10" s="18"/>
      <c r="L10" s="18"/>
    </row>
    <row r="11" spans="1:12" s="12" customFormat="1" ht="13.5" thickBot="1">
      <c r="A11" s="67" t="s">
        <v>91</v>
      </c>
      <c r="B11" s="68">
        <f>SUM(B8:B10)</f>
        <v>115</v>
      </c>
      <c r="C11" s="68">
        <f>SUM(C8:C10)</f>
        <v>115</v>
      </c>
      <c r="D11" s="68"/>
      <c r="E11" s="69">
        <f t="shared" ref="E11" si="1">SUM(E8:E10)</f>
        <v>0</v>
      </c>
      <c r="F11" s="68"/>
      <c r="G11" s="69">
        <f t="shared" ref="G11" si="2">SUM(G8:G10)</f>
        <v>96.06</v>
      </c>
      <c r="H11" s="18"/>
      <c r="I11" s="18"/>
      <c r="J11" s="18"/>
      <c r="K11" s="18"/>
      <c r="L11" s="18"/>
    </row>
    <row r="12" spans="1:12" s="12" customFormat="1" ht="16.5" thickBot="1">
      <c r="A12" s="21"/>
      <c r="B12" s="13"/>
      <c r="C12" s="3"/>
      <c r="D12" s="3"/>
      <c r="E12" s="3"/>
      <c r="F12" s="3"/>
      <c r="G12" s="14"/>
      <c r="H12" s="2"/>
    </row>
    <row r="13" spans="1:12" ht="32.25" thickBot="1">
      <c r="A13" s="27" t="s">
        <v>86</v>
      </c>
      <c r="B13" s="31" t="s">
        <v>1</v>
      </c>
      <c r="C13" s="34" t="s">
        <v>2</v>
      </c>
      <c r="D13" s="34" t="s">
        <v>80</v>
      </c>
      <c r="E13" s="38" t="s">
        <v>81</v>
      </c>
      <c r="F13" s="34" t="s">
        <v>82</v>
      </c>
      <c r="G13" s="38" t="s">
        <v>83</v>
      </c>
      <c r="H13" s="1"/>
    </row>
    <row r="14" spans="1:12" s="12" customFormat="1">
      <c r="A14" s="28" t="s">
        <v>27</v>
      </c>
      <c r="B14" s="37"/>
      <c r="C14" s="37"/>
      <c r="D14" s="50"/>
      <c r="E14" s="47">
        <f>B14-C14</f>
        <v>0</v>
      </c>
      <c r="F14" s="41"/>
      <c r="G14" s="39">
        <v>2.16</v>
      </c>
      <c r="H14" s="18"/>
      <c r="I14" s="18"/>
      <c r="J14" s="18"/>
      <c r="K14" s="18"/>
      <c r="L14" s="18"/>
    </row>
    <row r="15" spans="1:12" s="12" customFormat="1" ht="13.5" thickBot="1">
      <c r="A15" s="51" t="s">
        <v>29</v>
      </c>
      <c r="B15" s="52"/>
      <c r="C15" s="52"/>
      <c r="D15" s="51"/>
      <c r="E15" s="49">
        <f>B15-C15</f>
        <v>0</v>
      </c>
      <c r="F15" s="45"/>
      <c r="G15" s="53">
        <v>11.28</v>
      </c>
      <c r="H15" s="18"/>
      <c r="I15" s="18"/>
      <c r="J15" s="18"/>
      <c r="K15" s="18"/>
      <c r="L15" s="18"/>
    </row>
    <row r="16" spans="1:12" s="12" customFormat="1" ht="13.5" thickBot="1">
      <c r="A16" s="67" t="s">
        <v>91</v>
      </c>
      <c r="B16" s="68">
        <f>SUM(B14:B15)</f>
        <v>0</v>
      </c>
      <c r="C16" s="68">
        <f>SUM(C14:C15)</f>
        <v>0</v>
      </c>
      <c r="D16" s="68"/>
      <c r="E16" s="69">
        <f>SUM(E14:E15)</f>
        <v>0</v>
      </c>
      <c r="F16" s="68"/>
      <c r="G16" s="69">
        <f>SUM(G14:G15)</f>
        <v>13.44</v>
      </c>
      <c r="H16" s="18"/>
      <c r="I16" s="18"/>
      <c r="J16" s="18"/>
      <c r="K16" s="18"/>
      <c r="L16" s="18"/>
    </row>
    <row r="17" spans="1:12" s="12" customFormat="1" ht="13.5" thickBot="1">
      <c r="A17" s="19"/>
      <c r="B17" s="4"/>
      <c r="C17" s="4"/>
      <c r="D17" s="17"/>
      <c r="E17" s="17"/>
      <c r="F17" s="17"/>
      <c r="G17" s="20"/>
      <c r="H17" s="18"/>
      <c r="I17" s="18"/>
      <c r="J17" s="18"/>
      <c r="K17" s="18"/>
      <c r="L17" s="18"/>
    </row>
    <row r="18" spans="1:12" ht="32.25" thickBot="1">
      <c r="A18" s="54" t="s">
        <v>87</v>
      </c>
      <c r="B18" s="31" t="s">
        <v>1</v>
      </c>
      <c r="C18" s="34" t="s">
        <v>2</v>
      </c>
      <c r="D18" s="34" t="s">
        <v>80</v>
      </c>
      <c r="E18" s="38" t="s">
        <v>81</v>
      </c>
      <c r="F18" s="34" t="s">
        <v>82</v>
      </c>
      <c r="G18" s="38" t="s">
        <v>83</v>
      </c>
      <c r="H18" s="22"/>
    </row>
    <row r="19" spans="1:12" s="12" customFormat="1">
      <c r="A19" s="55" t="s">
        <v>88</v>
      </c>
      <c r="B19" s="57"/>
      <c r="C19" s="35"/>
      <c r="D19" s="35">
        <f>B19-C19</f>
        <v>0</v>
      </c>
      <c r="E19" s="48">
        <f>B19-C19</f>
        <v>0</v>
      </c>
      <c r="F19" s="35"/>
      <c r="G19" s="62">
        <v>0.44</v>
      </c>
      <c r="H19" s="18"/>
      <c r="I19" s="18"/>
      <c r="J19" s="18"/>
      <c r="K19" s="18"/>
      <c r="L19" s="18"/>
    </row>
    <row r="20" spans="1:12" s="12" customFormat="1">
      <c r="A20" s="56" t="s">
        <v>5</v>
      </c>
      <c r="B20" s="57"/>
      <c r="C20" s="35"/>
      <c r="D20" s="35">
        <f t="shared" ref="D20:D38" si="3">B20-C20</f>
        <v>0</v>
      </c>
      <c r="E20" s="60">
        <f>B20-C20</f>
        <v>0</v>
      </c>
      <c r="F20" s="35"/>
      <c r="G20" s="62">
        <v>4.25</v>
      </c>
      <c r="H20" s="18"/>
      <c r="I20" s="18"/>
      <c r="J20" s="18"/>
      <c r="K20" s="18"/>
      <c r="L20" s="18"/>
    </row>
    <row r="21" spans="1:12" s="12" customFormat="1" ht="13.5" customHeight="1">
      <c r="A21" s="29" t="s">
        <v>6</v>
      </c>
      <c r="B21" s="58"/>
      <c r="C21" s="35"/>
      <c r="D21" s="35">
        <f t="shared" ref="D21" si="4">B21-C21</f>
        <v>0</v>
      </c>
      <c r="E21" s="60">
        <f t="shared" ref="E21:E39" si="5">B21-C21</f>
        <v>0</v>
      </c>
      <c r="F21" s="35"/>
      <c r="G21" s="40">
        <v>12.75</v>
      </c>
      <c r="H21" s="18"/>
      <c r="I21" s="18"/>
      <c r="J21" s="18"/>
      <c r="K21" s="18"/>
      <c r="L21" s="18"/>
    </row>
    <row r="22" spans="1:12" s="12" customFormat="1">
      <c r="A22" s="29" t="s">
        <v>7</v>
      </c>
      <c r="B22" s="58"/>
      <c r="C22" s="35"/>
      <c r="D22" s="35">
        <f t="shared" si="3"/>
        <v>0</v>
      </c>
      <c r="E22" s="60">
        <f t="shared" si="5"/>
        <v>0</v>
      </c>
      <c r="F22" s="35"/>
      <c r="G22" s="40">
        <v>0</v>
      </c>
      <c r="H22" s="18"/>
      <c r="I22" s="18"/>
      <c r="J22" s="18"/>
      <c r="K22" s="18"/>
      <c r="L22" s="18"/>
    </row>
    <row r="23" spans="1:12" s="12" customFormat="1">
      <c r="A23" s="29" t="s">
        <v>8</v>
      </c>
      <c r="B23" s="58"/>
      <c r="C23" s="35"/>
      <c r="D23" s="35">
        <f>B23-C23</f>
        <v>0</v>
      </c>
      <c r="E23" s="60">
        <f t="shared" si="5"/>
        <v>0</v>
      </c>
      <c r="F23" s="35"/>
      <c r="G23" s="40">
        <v>9.67</v>
      </c>
      <c r="H23" s="18"/>
      <c r="I23" s="18"/>
      <c r="J23" s="18"/>
      <c r="K23" s="18"/>
      <c r="L23" s="18"/>
    </row>
    <row r="24" spans="1:12" s="12" customFormat="1">
      <c r="A24" s="29" t="s">
        <v>9</v>
      </c>
      <c r="B24" s="58"/>
      <c r="C24" s="35"/>
      <c r="D24" s="35">
        <f t="shared" si="3"/>
        <v>0</v>
      </c>
      <c r="E24" s="60">
        <f t="shared" si="5"/>
        <v>0</v>
      </c>
      <c r="F24" s="35"/>
      <c r="G24" s="40">
        <v>0</v>
      </c>
      <c r="H24" s="18"/>
      <c r="I24" s="18"/>
      <c r="J24" s="18"/>
      <c r="K24" s="18"/>
      <c r="L24" s="18"/>
    </row>
    <row r="25" spans="1:12" s="12" customFormat="1">
      <c r="A25" s="29" t="s">
        <v>10</v>
      </c>
      <c r="B25" s="58"/>
      <c r="C25" s="35"/>
      <c r="D25" s="35">
        <f t="shared" si="3"/>
        <v>0</v>
      </c>
      <c r="E25" s="60">
        <f t="shared" si="5"/>
        <v>0</v>
      </c>
      <c r="F25" s="35"/>
      <c r="G25" s="40">
        <v>0.04</v>
      </c>
      <c r="H25" s="18"/>
      <c r="I25" s="18"/>
      <c r="J25" s="18"/>
      <c r="K25" s="18"/>
      <c r="L25" s="18"/>
    </row>
    <row r="26" spans="1:12" s="12" customFormat="1">
      <c r="A26" s="29" t="s">
        <v>13</v>
      </c>
      <c r="B26" s="58"/>
      <c r="C26" s="35"/>
      <c r="D26" s="35">
        <f t="shared" si="3"/>
        <v>0</v>
      </c>
      <c r="E26" s="60">
        <f t="shared" si="5"/>
        <v>0</v>
      </c>
      <c r="F26" s="35"/>
      <c r="G26" s="40">
        <v>0.02</v>
      </c>
      <c r="H26" s="18"/>
      <c r="I26" s="18"/>
      <c r="J26" s="18"/>
      <c r="K26" s="18"/>
      <c r="L26" s="18"/>
    </row>
    <row r="27" spans="1:12" s="12" customFormat="1">
      <c r="A27" s="29" t="s">
        <v>14</v>
      </c>
      <c r="B27" s="58"/>
      <c r="C27" s="35"/>
      <c r="D27" s="35">
        <f t="shared" si="3"/>
        <v>0</v>
      </c>
      <c r="E27" s="60">
        <f t="shared" si="5"/>
        <v>0</v>
      </c>
      <c r="F27" s="35"/>
      <c r="G27" s="40">
        <v>0</v>
      </c>
      <c r="H27" s="18"/>
      <c r="I27" s="18"/>
      <c r="J27" s="18"/>
      <c r="K27" s="18"/>
      <c r="L27" s="18"/>
    </row>
    <row r="28" spans="1:12" s="12" customFormat="1">
      <c r="A28" s="29" t="s">
        <v>16</v>
      </c>
      <c r="B28" s="58"/>
      <c r="C28" s="35"/>
      <c r="D28" s="35">
        <f t="shared" si="3"/>
        <v>0</v>
      </c>
      <c r="E28" s="60">
        <f t="shared" si="5"/>
        <v>0</v>
      </c>
      <c r="F28" s="35"/>
      <c r="G28" s="40">
        <v>0</v>
      </c>
      <c r="H28" s="18"/>
      <c r="I28" s="18"/>
      <c r="J28" s="18"/>
      <c r="K28" s="18"/>
      <c r="L28" s="18"/>
    </row>
    <row r="29" spans="1:12" s="12" customFormat="1">
      <c r="A29" s="29" t="s">
        <v>17</v>
      </c>
      <c r="B29" s="58"/>
      <c r="C29" s="35"/>
      <c r="D29" s="35">
        <f t="shared" si="3"/>
        <v>0</v>
      </c>
      <c r="E29" s="60">
        <f t="shared" si="5"/>
        <v>0</v>
      </c>
      <c r="F29" s="35"/>
      <c r="G29" s="40">
        <v>38.21</v>
      </c>
      <c r="H29" s="18"/>
      <c r="I29" s="18"/>
      <c r="J29" s="18"/>
      <c r="K29" s="18"/>
      <c r="L29" s="18"/>
    </row>
    <row r="30" spans="1:12" s="12" customFormat="1">
      <c r="A30" s="56" t="s">
        <v>19</v>
      </c>
      <c r="B30" s="57"/>
      <c r="C30" s="35"/>
      <c r="D30" s="35">
        <f t="shared" si="3"/>
        <v>0</v>
      </c>
      <c r="E30" s="60">
        <f t="shared" si="5"/>
        <v>0</v>
      </c>
      <c r="F30" s="35"/>
      <c r="G30" s="60">
        <v>3.9</v>
      </c>
      <c r="H30" s="18"/>
      <c r="I30" s="18"/>
      <c r="J30" s="18"/>
      <c r="K30" s="18"/>
      <c r="L30" s="18"/>
    </row>
    <row r="31" spans="1:12" s="12" customFormat="1">
      <c r="A31" s="56" t="s">
        <v>21</v>
      </c>
      <c r="B31" s="57"/>
      <c r="C31" s="35"/>
      <c r="D31" s="35">
        <f t="shared" si="3"/>
        <v>0</v>
      </c>
      <c r="E31" s="60">
        <f t="shared" si="5"/>
        <v>0</v>
      </c>
      <c r="F31" s="35"/>
      <c r="G31" s="60">
        <v>0</v>
      </c>
      <c r="H31" s="18"/>
      <c r="I31" s="18"/>
      <c r="J31" s="18"/>
      <c r="K31" s="18"/>
      <c r="L31" s="18"/>
    </row>
    <row r="32" spans="1:12" s="12" customFormat="1">
      <c r="A32" s="56" t="s">
        <v>22</v>
      </c>
      <c r="B32" s="57"/>
      <c r="C32" s="35"/>
      <c r="D32" s="35">
        <f t="shared" si="3"/>
        <v>0</v>
      </c>
      <c r="E32" s="60">
        <f t="shared" si="5"/>
        <v>0</v>
      </c>
      <c r="F32" s="35"/>
      <c r="G32" s="60">
        <v>0.91</v>
      </c>
      <c r="H32" s="18"/>
      <c r="I32" s="18"/>
      <c r="J32" s="18"/>
      <c r="K32" s="18"/>
      <c r="L32" s="18"/>
    </row>
    <row r="33" spans="1:12" s="12" customFormat="1">
      <c r="A33" s="56" t="s">
        <v>23</v>
      </c>
      <c r="B33" s="57"/>
      <c r="C33" s="35"/>
      <c r="D33" s="35">
        <f t="shared" si="3"/>
        <v>0</v>
      </c>
      <c r="E33" s="60">
        <f t="shared" si="5"/>
        <v>0</v>
      </c>
      <c r="F33" s="35"/>
      <c r="G33" s="60">
        <v>0.13</v>
      </c>
      <c r="H33" s="18"/>
      <c r="I33" s="18"/>
      <c r="J33" s="18"/>
      <c r="K33" s="18"/>
      <c r="L33" s="18"/>
    </row>
    <row r="34" spans="1:12" s="12" customFormat="1">
      <c r="A34" s="56" t="s">
        <v>24</v>
      </c>
      <c r="B34" s="57"/>
      <c r="C34" s="35"/>
      <c r="D34" s="35">
        <f t="shared" si="3"/>
        <v>0</v>
      </c>
      <c r="E34" s="60">
        <f t="shared" si="5"/>
        <v>0</v>
      </c>
      <c r="F34" s="35"/>
      <c r="G34" s="62">
        <v>1.64</v>
      </c>
      <c r="H34" s="18"/>
      <c r="I34" s="18"/>
      <c r="J34" s="18"/>
      <c r="K34" s="18"/>
      <c r="L34" s="18"/>
    </row>
    <row r="35" spans="1:12" s="12" customFormat="1">
      <c r="A35" s="56" t="s">
        <v>26</v>
      </c>
      <c r="B35" s="58"/>
      <c r="C35" s="35"/>
      <c r="D35" s="35">
        <f t="shared" si="3"/>
        <v>0</v>
      </c>
      <c r="E35" s="60">
        <f t="shared" si="5"/>
        <v>0</v>
      </c>
      <c r="F35" s="35"/>
      <c r="G35" s="62">
        <v>0</v>
      </c>
      <c r="H35" s="18"/>
      <c r="I35" s="18"/>
      <c r="J35" s="18"/>
      <c r="K35" s="18"/>
      <c r="L35" s="18"/>
    </row>
    <row r="36" spans="1:12" s="12" customFormat="1" ht="12.75" customHeight="1">
      <c r="A36" s="29" t="s">
        <v>31</v>
      </c>
      <c r="B36" s="58"/>
      <c r="C36" s="35"/>
      <c r="D36" s="35">
        <f t="shared" si="3"/>
        <v>0</v>
      </c>
      <c r="E36" s="60">
        <f t="shared" si="5"/>
        <v>0</v>
      </c>
      <c r="F36" s="35"/>
      <c r="G36" s="40">
        <v>16.91</v>
      </c>
      <c r="H36" s="5"/>
      <c r="I36" s="18"/>
      <c r="J36" s="18"/>
      <c r="K36" s="18"/>
      <c r="L36" s="18"/>
    </row>
    <row r="37" spans="1:12" s="12" customFormat="1" ht="12.75" customHeight="1">
      <c r="A37" s="29" t="s">
        <v>32</v>
      </c>
      <c r="B37" s="58"/>
      <c r="C37" s="35"/>
      <c r="D37" s="35">
        <f t="shared" si="3"/>
        <v>0</v>
      </c>
      <c r="E37" s="60">
        <f t="shared" si="5"/>
        <v>0</v>
      </c>
      <c r="F37" s="35"/>
      <c r="G37" s="40">
        <v>89.1</v>
      </c>
      <c r="H37" s="5"/>
      <c r="I37" s="18"/>
      <c r="J37" s="18"/>
      <c r="K37" s="18"/>
      <c r="L37" s="18"/>
    </row>
    <row r="38" spans="1:12" s="12" customFormat="1" ht="12.75" customHeight="1">
      <c r="A38" s="29" t="s">
        <v>33</v>
      </c>
      <c r="B38" s="58"/>
      <c r="C38" s="35"/>
      <c r="D38" s="35">
        <f t="shared" si="3"/>
        <v>0</v>
      </c>
      <c r="E38" s="60">
        <f t="shared" si="5"/>
        <v>0</v>
      </c>
      <c r="F38" s="35"/>
      <c r="G38" s="40">
        <v>0.05</v>
      </c>
      <c r="H38" s="5"/>
      <c r="I38" s="18"/>
      <c r="J38" s="18"/>
      <c r="K38" s="18"/>
      <c r="L38" s="18"/>
    </row>
    <row r="39" spans="1:12" s="12" customFormat="1" ht="12.75" customHeight="1" thickBot="1">
      <c r="A39" s="51" t="s">
        <v>90</v>
      </c>
      <c r="B39" s="59"/>
      <c r="C39" s="36"/>
      <c r="D39" s="36">
        <f t="shared" ref="D39" si="6">B39-C39</f>
        <v>0</v>
      </c>
      <c r="E39" s="61">
        <f t="shared" si="5"/>
        <v>0</v>
      </c>
      <c r="F39" s="36"/>
      <c r="G39" s="64">
        <v>0</v>
      </c>
      <c r="H39" s="5"/>
      <c r="I39" s="18"/>
      <c r="J39" s="18"/>
      <c r="K39" s="18"/>
      <c r="L39" s="18"/>
    </row>
    <row r="40" spans="1:12" s="12" customFormat="1" ht="13.5" thickBot="1">
      <c r="A40" s="67" t="s">
        <v>91</v>
      </c>
      <c r="B40" s="68">
        <f>SUM(B19:B39)</f>
        <v>0</v>
      </c>
      <c r="C40" s="68">
        <f>SUM(C19:C39)</f>
        <v>0</v>
      </c>
      <c r="D40" s="68"/>
      <c r="E40" s="69">
        <f>SUM(E19:E39)</f>
        <v>0</v>
      </c>
      <c r="F40" s="68"/>
      <c r="G40" s="69">
        <f>SUM(G19:G39)</f>
        <v>178.01999999999998</v>
      </c>
      <c r="H40" s="18"/>
      <c r="I40" s="18"/>
      <c r="J40" s="18"/>
      <c r="K40" s="18"/>
      <c r="L40" s="18"/>
    </row>
    <row r="41" spans="1:12" s="12" customFormat="1" ht="12.75" customHeight="1" thickBot="1">
      <c r="B41" s="16"/>
      <c r="C41" s="17"/>
      <c r="D41" s="17"/>
      <c r="E41" s="65"/>
      <c r="F41" s="17"/>
      <c r="G41" s="66"/>
      <c r="H41" s="5"/>
      <c r="I41" s="18"/>
      <c r="J41" s="18"/>
      <c r="K41" s="18"/>
      <c r="L41" s="18"/>
    </row>
    <row r="42" spans="1:12" s="12" customFormat="1" ht="32.25" thickBot="1">
      <c r="A42" s="8" t="s">
        <v>93</v>
      </c>
      <c r="B42" s="31" t="s">
        <v>1</v>
      </c>
      <c r="C42" s="34" t="s">
        <v>2</v>
      </c>
      <c r="D42" s="34" t="s">
        <v>80</v>
      </c>
      <c r="E42" s="38" t="s">
        <v>81</v>
      </c>
      <c r="F42" s="34" t="s">
        <v>82</v>
      </c>
      <c r="G42" s="38" t="s">
        <v>83</v>
      </c>
      <c r="H42" s="2"/>
    </row>
    <row r="43" spans="1:12" s="12" customFormat="1">
      <c r="A43" s="29" t="s">
        <v>37</v>
      </c>
      <c r="B43" s="58">
        <v>136.5</v>
      </c>
      <c r="C43" s="58">
        <v>136.5</v>
      </c>
      <c r="D43" s="35">
        <f>B43-C43</f>
        <v>0</v>
      </c>
      <c r="E43" s="60">
        <f>B43-C43</f>
        <v>0</v>
      </c>
      <c r="F43" s="35"/>
      <c r="G43" s="40">
        <v>11.84</v>
      </c>
      <c r="H43" s="18"/>
      <c r="I43" s="18"/>
      <c r="J43" s="18"/>
      <c r="K43" s="18"/>
      <c r="L43" s="18"/>
    </row>
    <row r="44" spans="1:12" s="12" customFormat="1">
      <c r="A44" s="29" t="s">
        <v>92</v>
      </c>
      <c r="B44" s="58"/>
      <c r="C44" s="58"/>
      <c r="D44" s="35"/>
      <c r="E44" s="60">
        <f>B44-C44</f>
        <v>0</v>
      </c>
      <c r="F44" s="35"/>
      <c r="G44" s="40">
        <v>0</v>
      </c>
      <c r="H44" s="18"/>
      <c r="I44" s="18"/>
      <c r="J44" s="18"/>
      <c r="K44" s="18"/>
      <c r="L44" s="18"/>
    </row>
    <row r="45" spans="1:12" s="12" customFormat="1" ht="17.25" customHeight="1">
      <c r="A45" s="29" t="s">
        <v>38</v>
      </c>
      <c r="B45" s="58">
        <f>127.03+508.9</f>
        <v>635.92999999999995</v>
      </c>
      <c r="C45" s="58">
        <f>101.4+205.55+307.66</f>
        <v>614.61000000000013</v>
      </c>
      <c r="D45" s="35">
        <f>B45-C45</f>
        <v>21.319999999999823</v>
      </c>
      <c r="E45" s="60">
        <f t="shared" ref="E45:E47" si="7">B45-C45</f>
        <v>21.319999999999823</v>
      </c>
      <c r="F45" s="35"/>
      <c r="G45" s="40">
        <v>4.6399999999999997</v>
      </c>
      <c r="H45" s="18"/>
      <c r="I45" s="18"/>
      <c r="J45" s="18"/>
      <c r="K45" s="18"/>
      <c r="L45" s="18"/>
    </row>
    <row r="46" spans="1:12" s="12" customFormat="1">
      <c r="A46" s="29" t="s">
        <v>39</v>
      </c>
      <c r="B46" s="73">
        <f>557.15+92.4</f>
        <v>649.54999999999995</v>
      </c>
      <c r="C46" s="73">
        <f>545.26+92.4</f>
        <v>637.66</v>
      </c>
      <c r="D46" s="74">
        <f>B46-C46</f>
        <v>11.889999999999986</v>
      </c>
      <c r="E46" s="60">
        <f>D46/$J$4</f>
        <v>7.7753073502484877</v>
      </c>
      <c r="F46" s="74">
        <v>676.5</v>
      </c>
      <c r="G46" s="60">
        <f>F46/$J$4</f>
        <v>442.38817682448342</v>
      </c>
      <c r="K46" s="18"/>
      <c r="L46" s="18"/>
    </row>
    <row r="47" spans="1:12" s="12" customFormat="1">
      <c r="A47" s="29" t="s">
        <v>40</v>
      </c>
      <c r="B47" s="58">
        <f>165.61+211.77+72.43+154.3</f>
        <v>604.11</v>
      </c>
      <c r="C47" s="35">
        <f>165.61+4.69+207.08+72.43+216.65</f>
        <v>666.46</v>
      </c>
      <c r="D47" s="35">
        <f>B47-C47</f>
        <v>-62.350000000000023</v>
      </c>
      <c r="E47" s="60">
        <f t="shared" si="7"/>
        <v>-62.350000000000023</v>
      </c>
      <c r="F47" s="35"/>
      <c r="G47" s="104">
        <v>452.81</v>
      </c>
      <c r="K47" s="18"/>
      <c r="L47" s="18"/>
    </row>
    <row r="48" spans="1:12" s="12" customFormat="1" ht="13.5" thickBot="1">
      <c r="A48" s="29" t="s">
        <v>41</v>
      </c>
      <c r="B48" s="75"/>
      <c r="C48" s="76"/>
      <c r="D48" s="75">
        <f>B48</f>
        <v>0</v>
      </c>
      <c r="E48" s="92">
        <f>D48/$J$5</f>
        <v>0</v>
      </c>
      <c r="F48" s="70"/>
      <c r="G48" s="48">
        <v>104.6</v>
      </c>
      <c r="K48" s="18"/>
      <c r="L48" s="18"/>
    </row>
    <row r="49" spans="1:12" s="12" customFormat="1" ht="13.5" thickBot="1">
      <c r="A49" s="67" t="s">
        <v>91</v>
      </c>
      <c r="B49" s="68">
        <f>SUM(B43:B45,B47)+(B46/$J$4)+(B48/$J$5)</f>
        <v>1801.3045827883861</v>
      </c>
      <c r="C49" s="68">
        <f>SUM(C43:C45,C47)+(C46/$J$4)+(C48/$J$5)</f>
        <v>1834.5592754381378</v>
      </c>
      <c r="D49" s="68"/>
      <c r="E49" s="69">
        <f>SUM(E43:E48)</f>
        <v>-33.254692649751711</v>
      </c>
      <c r="F49" s="68"/>
      <c r="G49" s="69">
        <f>SUM(G43:G48)</f>
        <v>1016.2781768244835</v>
      </c>
      <c r="H49" s="18"/>
      <c r="I49" s="18"/>
      <c r="J49" s="18"/>
      <c r="K49" s="18"/>
      <c r="L49" s="18"/>
    </row>
    <row r="50" spans="1:12" s="12" customFormat="1" ht="13.5" thickBot="1">
      <c r="B50" s="7"/>
      <c r="C50" s="24"/>
      <c r="D50" s="7"/>
      <c r="E50" s="7"/>
      <c r="F50" s="7"/>
      <c r="G50" s="23"/>
      <c r="K50" s="18"/>
      <c r="L50" s="18"/>
    </row>
    <row r="51" spans="1:12" s="12" customFormat="1" ht="32.25" thickBot="1">
      <c r="A51" s="8" t="s">
        <v>89</v>
      </c>
      <c r="B51" s="31" t="s">
        <v>1</v>
      </c>
      <c r="C51" s="34" t="s">
        <v>2</v>
      </c>
      <c r="D51" s="34" t="s">
        <v>80</v>
      </c>
      <c r="E51" s="38" t="s">
        <v>81</v>
      </c>
      <c r="F51" s="34" t="s">
        <v>82</v>
      </c>
      <c r="G51" s="38" t="s">
        <v>83</v>
      </c>
      <c r="H51" s="2"/>
    </row>
    <row r="52" spans="1:12" s="12" customFormat="1">
      <c r="A52" s="29" t="s">
        <v>11</v>
      </c>
      <c r="B52" s="58">
        <f>1193.29+324.24+639.73</f>
        <v>2157.2600000000002</v>
      </c>
      <c r="C52" s="35">
        <f>19.83+1052.31+335.76+279.59</f>
        <v>1687.4899999999998</v>
      </c>
      <c r="D52" s="35">
        <f t="shared" ref="D52:D59" si="8">B52-C52</f>
        <v>469.77000000000044</v>
      </c>
      <c r="E52" s="48">
        <f>D52</f>
        <v>469.77000000000044</v>
      </c>
      <c r="F52" s="35"/>
      <c r="G52" s="63">
        <v>179.19</v>
      </c>
      <c r="H52" s="18"/>
      <c r="I52" s="18"/>
      <c r="J52" s="18"/>
      <c r="K52" s="18"/>
      <c r="L52" s="18"/>
    </row>
    <row r="53" spans="1:12" s="12" customFormat="1">
      <c r="A53" s="29" t="s">
        <v>15</v>
      </c>
      <c r="B53" s="58">
        <f>140.36+28.85+227.48+462.27</f>
        <v>858.96</v>
      </c>
      <c r="C53" s="35">
        <f>140.36+28.85+134+462.27</f>
        <v>765.48</v>
      </c>
      <c r="D53" s="35">
        <f t="shared" si="8"/>
        <v>93.480000000000018</v>
      </c>
      <c r="E53" s="48">
        <f>D53</f>
        <v>93.480000000000018</v>
      </c>
      <c r="F53" s="35"/>
      <c r="G53" s="40">
        <v>49.52</v>
      </c>
      <c r="H53" s="18"/>
      <c r="I53" s="18"/>
      <c r="J53" s="18"/>
      <c r="K53" s="18"/>
      <c r="L53" s="18"/>
    </row>
    <row r="54" spans="1:12" s="12" customFormat="1">
      <c r="A54" s="29" t="s">
        <v>18</v>
      </c>
      <c r="B54" s="79">
        <f>4853.84+11982.3</f>
        <v>16836.14</v>
      </c>
      <c r="C54" s="80">
        <v>0</v>
      </c>
      <c r="D54" s="80">
        <f t="shared" si="8"/>
        <v>16836.14</v>
      </c>
      <c r="E54" s="48">
        <f>D54/$J$3</f>
        <v>999.87765913221119</v>
      </c>
      <c r="F54" s="80"/>
      <c r="G54" s="40">
        <v>142.4</v>
      </c>
      <c r="H54" s="18"/>
      <c r="I54" s="18"/>
      <c r="J54" s="18"/>
      <c r="K54" s="18"/>
      <c r="L54" s="18"/>
    </row>
    <row r="55" spans="1:12" s="12" customFormat="1">
      <c r="A55" s="56" t="s">
        <v>20</v>
      </c>
      <c r="B55" s="57">
        <f>523</f>
        <v>523</v>
      </c>
      <c r="C55" s="35">
        <v>517.79999999999995</v>
      </c>
      <c r="D55" s="35">
        <f t="shared" si="8"/>
        <v>5.2000000000000455</v>
      </c>
      <c r="E55" s="48">
        <f>D55</f>
        <v>5.2000000000000455</v>
      </c>
      <c r="F55" s="35"/>
      <c r="G55" s="48">
        <v>49.19</v>
      </c>
      <c r="H55" s="18"/>
      <c r="I55" s="18"/>
      <c r="J55" s="18"/>
      <c r="K55" s="18"/>
      <c r="L55" s="18"/>
    </row>
    <row r="56" spans="1:12" s="12" customFormat="1">
      <c r="A56" s="56" t="s">
        <v>25</v>
      </c>
      <c r="B56" s="82">
        <f>111.29+133.43</f>
        <v>244.72000000000003</v>
      </c>
      <c r="C56" s="83">
        <v>0</v>
      </c>
      <c r="D56" s="83">
        <f t="shared" si="8"/>
        <v>244.72000000000003</v>
      </c>
      <c r="E56" s="48">
        <f>D56/$J$5</f>
        <v>216.47058823529414</v>
      </c>
      <c r="F56" s="72"/>
      <c r="G56" s="105">
        <v>255.93</v>
      </c>
      <c r="H56" s="18"/>
      <c r="I56" s="18"/>
      <c r="J56" s="18"/>
      <c r="K56" s="18"/>
      <c r="L56" s="18"/>
    </row>
    <row r="57" spans="1:12" s="12" customFormat="1" ht="12.75" customHeight="1">
      <c r="A57" s="29" t="s">
        <v>28</v>
      </c>
      <c r="B57" s="58">
        <v>566.38</v>
      </c>
      <c r="C57" s="35">
        <v>0</v>
      </c>
      <c r="D57" s="81">
        <f t="shared" si="8"/>
        <v>566.38</v>
      </c>
      <c r="E57" s="92">
        <f>D57</f>
        <v>566.38</v>
      </c>
      <c r="F57" s="81"/>
      <c r="G57" s="40">
        <v>280.85000000000002</v>
      </c>
      <c r="H57" s="5"/>
      <c r="I57" s="18"/>
      <c r="J57" s="18"/>
      <c r="K57" s="18"/>
      <c r="L57" s="18"/>
    </row>
    <row r="58" spans="1:12" s="12" customFormat="1" ht="12.75" customHeight="1">
      <c r="A58" s="29" t="s">
        <v>30</v>
      </c>
      <c r="B58" s="58">
        <f>268.83+247.4+44.49</f>
        <v>560.72</v>
      </c>
      <c r="C58" s="35">
        <f>10.2+73.46</f>
        <v>83.66</v>
      </c>
      <c r="D58" s="81">
        <f t="shared" si="8"/>
        <v>477.06000000000006</v>
      </c>
      <c r="E58" s="92">
        <f>D58</f>
        <v>477.06000000000006</v>
      </c>
      <c r="F58" s="81"/>
      <c r="G58" s="63">
        <v>244</v>
      </c>
      <c r="H58" s="5"/>
      <c r="I58" s="18"/>
      <c r="J58" s="18"/>
      <c r="K58" s="18"/>
      <c r="L58" s="18"/>
    </row>
    <row r="59" spans="1:12" s="12" customFormat="1" ht="13.5" thickBot="1">
      <c r="A59" s="29" t="s">
        <v>34</v>
      </c>
      <c r="B59" s="73">
        <f>790.08+790.21+183.61</f>
        <v>1763.9</v>
      </c>
      <c r="C59" s="73">
        <f>195.45+744.37+147.63</f>
        <v>1087.4499999999998</v>
      </c>
      <c r="D59" s="74">
        <f t="shared" si="8"/>
        <v>676.45000000000027</v>
      </c>
      <c r="E59" s="48">
        <f>D59/$J$4</f>
        <v>442.35547998953723</v>
      </c>
      <c r="F59" s="74">
        <v>274.02999999999997</v>
      </c>
      <c r="G59" s="48">
        <f>F59/$J$4</f>
        <v>179.19827360711483</v>
      </c>
      <c r="H59" s="18"/>
      <c r="I59" s="18"/>
      <c r="J59" s="18"/>
      <c r="K59" s="18"/>
      <c r="L59" s="18"/>
    </row>
    <row r="60" spans="1:12" s="12" customFormat="1" ht="13.5" thickBot="1">
      <c r="A60" s="67" t="s">
        <v>91</v>
      </c>
      <c r="B60" s="68">
        <f>SUM(B52:B53,B55,B57,B58)+(B54/$J$3)+(B56/$J$5)+(B59/$J$4)</f>
        <v>7036.1471906058014</v>
      </c>
      <c r="C60" s="68">
        <f>SUM(C52:C53,C55,C57,C58)+(C54/$J$3)+(C56/$J$5)+(C59/$J$4)</f>
        <v>3765.553463248757</v>
      </c>
      <c r="D60" s="68">
        <f>SUM(D52:D53,D55,D57,D58)+(D54/$J$3)+(D56/$J$5)+(D59/$J$4)</f>
        <v>3270.593727357043</v>
      </c>
      <c r="E60" s="69">
        <f>SUM(E52:E59)</f>
        <v>3270.593727357043</v>
      </c>
      <c r="F60" s="68"/>
      <c r="G60" s="69">
        <f>SUM(G52:G59)</f>
        <v>1380.2782736071147</v>
      </c>
      <c r="H60" s="18"/>
      <c r="I60" s="18"/>
      <c r="J60" s="18"/>
      <c r="K60" s="18"/>
      <c r="L60" s="18"/>
    </row>
    <row r="61" spans="1:12" s="12" customFormat="1" ht="13.5" thickBot="1">
      <c r="A61" s="77"/>
      <c r="B61" s="78"/>
      <c r="C61" s="78"/>
      <c r="D61" s="78"/>
      <c r="E61" s="78"/>
      <c r="F61" s="78"/>
      <c r="G61" s="78"/>
      <c r="H61" s="18"/>
      <c r="I61" s="18"/>
      <c r="J61" s="18"/>
      <c r="K61" s="18"/>
      <c r="L61" s="18"/>
    </row>
    <row r="62" spans="1:12" ht="34.5" customHeight="1" thickBot="1">
      <c r="A62" s="8" t="s">
        <v>42</v>
      </c>
      <c r="B62" s="31" t="s">
        <v>1</v>
      </c>
      <c r="C62" s="34" t="s">
        <v>2</v>
      </c>
      <c r="D62" s="34" t="s">
        <v>80</v>
      </c>
      <c r="E62" s="38" t="s">
        <v>81</v>
      </c>
      <c r="F62" s="34" t="s">
        <v>82</v>
      </c>
      <c r="G62" s="38" t="s">
        <v>83</v>
      </c>
      <c r="H62" s="18"/>
      <c r="I62" s="18"/>
      <c r="J62" s="18"/>
      <c r="K62" s="18"/>
      <c r="L62" s="18"/>
    </row>
    <row r="63" spans="1:12" ht="19.5" customHeight="1" thickBot="1">
      <c r="A63" s="29" t="s">
        <v>121</v>
      </c>
      <c r="B63" s="70">
        <f>102.64+164.04</f>
        <v>266.68</v>
      </c>
      <c r="C63" s="71">
        <v>0</v>
      </c>
      <c r="D63" s="83">
        <f>B63-C63</f>
        <v>266.68</v>
      </c>
      <c r="E63" s="48">
        <f>D63/$J$5</f>
        <v>235.89562140645731</v>
      </c>
      <c r="F63" s="70"/>
      <c r="G63" s="93"/>
    </row>
    <row r="64" spans="1:12" s="12" customFormat="1" ht="13.5" thickBot="1">
      <c r="A64" s="67" t="s">
        <v>91</v>
      </c>
      <c r="B64" s="68">
        <f>B63/J5</f>
        <v>235.89562140645731</v>
      </c>
      <c r="C64" s="68">
        <f>C63</f>
        <v>0</v>
      </c>
      <c r="D64" s="68"/>
      <c r="E64" s="69">
        <f>E63</f>
        <v>235.89562140645731</v>
      </c>
      <c r="F64" s="68"/>
      <c r="G64" s="69">
        <f>G63</f>
        <v>0</v>
      </c>
      <c r="H64" s="18"/>
      <c r="I64" s="18"/>
      <c r="J64" s="18"/>
      <c r="K64" s="18"/>
      <c r="L64" s="18"/>
    </row>
    <row r="65" spans="1:12" ht="19.5" customHeight="1" thickBot="1">
      <c r="A65" s="12"/>
      <c r="B65" s="7"/>
      <c r="C65" s="24"/>
      <c r="D65" s="7"/>
      <c r="E65" s="7"/>
      <c r="F65" s="7"/>
      <c r="G65" s="6"/>
    </row>
    <row r="66" spans="1:12" ht="19.5" customHeight="1" thickBot="1">
      <c r="A66" s="8" t="s">
        <v>100</v>
      </c>
      <c r="B66" s="8" t="s">
        <v>43</v>
      </c>
      <c r="C66" s="6"/>
      <c r="D66" s="6"/>
      <c r="E66" s="6"/>
      <c r="F66" s="6"/>
      <c r="G66" s="6"/>
      <c r="H66" s="18"/>
      <c r="I66" s="18"/>
      <c r="J66" s="18"/>
      <c r="K66" s="18"/>
      <c r="L66" s="18"/>
    </row>
    <row r="67" spans="1:12" ht="30" customHeight="1">
      <c r="A67" s="56" t="s">
        <v>44</v>
      </c>
      <c r="B67" s="57">
        <v>0</v>
      </c>
      <c r="C67" s="6"/>
      <c r="D67" s="6"/>
      <c r="E67" s="6"/>
      <c r="F67" s="6"/>
      <c r="G67" s="6"/>
    </row>
    <row r="68" spans="1:12" ht="15.75">
      <c r="A68" s="56" t="s">
        <v>101</v>
      </c>
      <c r="B68" s="57">
        <v>0.2</v>
      </c>
      <c r="C68" s="6"/>
      <c r="D68" s="6"/>
      <c r="E68" s="6"/>
      <c r="F68" s="6"/>
      <c r="G68" s="6"/>
    </row>
    <row r="69" spans="1:12" ht="15.75">
      <c r="A69" s="56" t="s">
        <v>103</v>
      </c>
      <c r="B69" s="57"/>
      <c r="C69" s="6"/>
      <c r="D69" s="6"/>
      <c r="E69" s="6"/>
      <c r="F69" s="6"/>
      <c r="G69" s="6"/>
    </row>
    <row r="70" spans="1:12" ht="15.75">
      <c r="A70" s="56" t="s">
        <v>102</v>
      </c>
      <c r="B70" s="57">
        <v>1.1100000000000001</v>
      </c>
      <c r="C70" s="6"/>
      <c r="D70" s="6"/>
      <c r="E70" s="6"/>
      <c r="F70" s="6"/>
      <c r="G70" s="6"/>
    </row>
    <row r="71" spans="1:12" ht="15.75">
      <c r="A71" s="29" t="s">
        <v>111</v>
      </c>
      <c r="B71" s="57">
        <v>0</v>
      </c>
      <c r="C71" s="6"/>
      <c r="D71" s="6"/>
      <c r="E71" s="6"/>
      <c r="F71" s="6"/>
      <c r="G71" s="6"/>
    </row>
    <row r="72" spans="1:12" ht="15.75">
      <c r="A72" s="29" t="s">
        <v>112</v>
      </c>
      <c r="B72" s="57">
        <v>0</v>
      </c>
      <c r="C72" s="6"/>
      <c r="D72" s="6"/>
      <c r="E72" s="6"/>
      <c r="F72" s="6"/>
      <c r="G72" s="6"/>
    </row>
    <row r="73" spans="1:12" ht="15.75">
      <c r="A73" s="29" t="s">
        <v>113</v>
      </c>
      <c r="B73" s="57">
        <v>168.66</v>
      </c>
      <c r="C73" s="6"/>
      <c r="D73" s="6"/>
      <c r="E73" s="6"/>
      <c r="F73" s="6"/>
      <c r="G73" s="6"/>
    </row>
    <row r="74" spans="1:12" ht="15.75">
      <c r="A74" s="29" t="s">
        <v>114</v>
      </c>
      <c r="B74" s="57"/>
      <c r="C74" s="6"/>
      <c r="D74" s="6"/>
      <c r="E74" s="6"/>
      <c r="F74" s="6"/>
      <c r="G74" s="6"/>
    </row>
    <row r="75" spans="1:12" ht="15.75">
      <c r="A75" s="94" t="s">
        <v>45</v>
      </c>
      <c r="B75" s="57">
        <v>0</v>
      </c>
      <c r="C75" s="6"/>
      <c r="D75" s="6"/>
      <c r="E75" s="6"/>
      <c r="F75" s="6"/>
      <c r="G75" s="6"/>
    </row>
    <row r="76" spans="1:12" ht="15.75">
      <c r="A76" s="94" t="s">
        <v>46</v>
      </c>
      <c r="B76" s="57">
        <v>0.79</v>
      </c>
      <c r="C76" s="6"/>
      <c r="D76" s="6"/>
      <c r="E76" s="6"/>
      <c r="F76" s="6"/>
      <c r="G76" s="6"/>
    </row>
    <row r="77" spans="1:12" ht="15.75">
      <c r="A77" s="56" t="s">
        <v>104</v>
      </c>
      <c r="B77" s="57"/>
      <c r="C77" s="9" t="s">
        <v>105</v>
      </c>
      <c r="D77" s="6"/>
      <c r="E77" s="6"/>
      <c r="F77" s="6"/>
      <c r="G77" s="6"/>
    </row>
    <row r="78" spans="1:12" ht="33" customHeight="1">
      <c r="A78" s="56" t="s">
        <v>47</v>
      </c>
      <c r="B78" s="57"/>
      <c r="C78" s="6"/>
      <c r="D78" s="6"/>
      <c r="E78" s="6"/>
      <c r="F78" s="6"/>
      <c r="G78" s="6"/>
      <c r="J78" s="18"/>
      <c r="K78" s="18"/>
      <c r="L78" s="18"/>
    </row>
    <row r="79" spans="1:12" ht="32.25" customHeight="1">
      <c r="A79" s="56" t="s">
        <v>48</v>
      </c>
      <c r="B79" s="57"/>
      <c r="C79" s="6"/>
      <c r="D79" s="6"/>
      <c r="E79" s="6"/>
      <c r="F79" s="6"/>
      <c r="G79" s="6"/>
    </row>
    <row r="80" spans="1:12" ht="31.5" customHeight="1">
      <c r="A80" s="56" t="s">
        <v>49</v>
      </c>
      <c r="B80" s="57"/>
      <c r="C80" s="6"/>
      <c r="D80" s="6"/>
      <c r="E80" s="6"/>
      <c r="F80" s="6"/>
      <c r="G80" s="6"/>
    </row>
    <row r="81" spans="1:12" s="12" customFormat="1" ht="15.75">
      <c r="A81" s="56" t="s">
        <v>106</v>
      </c>
      <c r="B81" s="57"/>
      <c r="C81" s="9" t="s">
        <v>105</v>
      </c>
      <c r="D81" s="6"/>
      <c r="E81" s="6"/>
      <c r="F81" s="6"/>
      <c r="G81" s="6"/>
      <c r="H81" s="15"/>
      <c r="I81" s="15"/>
      <c r="J81" s="18"/>
      <c r="K81" s="18"/>
      <c r="L81" s="18"/>
    </row>
    <row r="82" spans="1:12" s="12" customFormat="1" ht="15.75">
      <c r="A82" s="56" t="s">
        <v>107</v>
      </c>
      <c r="B82" s="57"/>
      <c r="C82" s="6"/>
      <c r="D82" s="6"/>
      <c r="E82" s="6"/>
      <c r="F82" s="6"/>
      <c r="G82" s="6"/>
      <c r="H82" s="15"/>
      <c r="I82" s="15"/>
      <c r="J82" s="18"/>
      <c r="K82" s="18"/>
      <c r="L82" s="18"/>
    </row>
    <row r="83" spans="1:12" s="12" customFormat="1" ht="15.75">
      <c r="A83" s="94" t="s">
        <v>50</v>
      </c>
      <c r="B83" s="57"/>
      <c r="C83" s="6"/>
      <c r="D83" s="6"/>
      <c r="E83" s="6"/>
      <c r="F83" s="6"/>
      <c r="G83" s="6"/>
      <c r="H83" s="15"/>
      <c r="I83" s="15"/>
      <c r="J83" s="18"/>
      <c r="K83" s="18"/>
      <c r="L83" s="18"/>
    </row>
    <row r="84" spans="1:12" ht="15.75">
      <c r="A84" s="29" t="s">
        <v>51</v>
      </c>
      <c r="B84" s="57"/>
      <c r="C84" s="6"/>
      <c r="D84" s="6"/>
      <c r="E84" s="6"/>
      <c r="F84" s="6"/>
      <c r="G84" s="6"/>
    </row>
    <row r="85" spans="1:12" ht="15.75">
      <c r="A85" s="94" t="s">
        <v>52</v>
      </c>
      <c r="B85" s="57">
        <v>0</v>
      </c>
      <c r="C85" s="6"/>
      <c r="D85" s="6"/>
      <c r="E85" s="6"/>
      <c r="F85" s="6"/>
      <c r="G85" s="6"/>
    </row>
    <row r="86" spans="1:12" ht="15.75">
      <c r="A86" s="94" t="s">
        <v>53</v>
      </c>
      <c r="B86" s="57">
        <v>0</v>
      </c>
      <c r="C86" s="6"/>
      <c r="D86" s="6"/>
      <c r="E86" s="6"/>
      <c r="F86" s="6"/>
      <c r="G86" s="6"/>
    </row>
    <row r="87" spans="1:12" s="12" customFormat="1" ht="15.75">
      <c r="A87" s="94" t="s">
        <v>54</v>
      </c>
      <c r="B87" s="57">
        <v>0</v>
      </c>
      <c r="C87" s="6"/>
      <c r="D87" s="6"/>
      <c r="E87" s="6"/>
      <c r="F87" s="6"/>
      <c r="G87" s="6"/>
      <c r="H87" s="18"/>
      <c r="I87" s="18"/>
      <c r="J87" s="15"/>
      <c r="K87" s="15"/>
      <c r="L87" s="15"/>
    </row>
    <row r="88" spans="1:12" ht="15.75">
      <c r="A88" s="94" t="s">
        <v>55</v>
      </c>
      <c r="B88" s="57">
        <v>0</v>
      </c>
      <c r="C88" s="6"/>
      <c r="D88" s="6"/>
      <c r="E88" s="6"/>
      <c r="F88" s="6"/>
      <c r="G88" s="6"/>
      <c r="H88" s="18"/>
      <c r="I88" s="18"/>
    </row>
    <row r="89" spans="1:12" ht="15.75">
      <c r="A89" s="94" t="s">
        <v>56</v>
      </c>
      <c r="B89" s="57">
        <v>15</v>
      </c>
      <c r="C89" s="6"/>
      <c r="D89" s="6"/>
      <c r="E89" s="6"/>
      <c r="F89" s="6"/>
      <c r="G89" s="6"/>
    </row>
    <row r="90" spans="1:12" ht="15.75">
      <c r="A90" s="94" t="s">
        <v>57</v>
      </c>
      <c r="B90" s="57">
        <v>14.46</v>
      </c>
      <c r="C90" s="6"/>
      <c r="D90" s="6"/>
      <c r="E90" s="6"/>
      <c r="F90" s="6"/>
      <c r="G90" s="6"/>
    </row>
    <row r="91" spans="1:12" ht="15.75">
      <c r="A91" s="94" t="s">
        <v>58</v>
      </c>
      <c r="B91" s="57">
        <v>17.5</v>
      </c>
      <c r="C91" s="6"/>
      <c r="D91" s="6"/>
      <c r="E91" s="6"/>
      <c r="F91" s="6"/>
      <c r="G91" s="6"/>
    </row>
    <row r="92" spans="1:12">
      <c r="A92" s="94" t="s">
        <v>59</v>
      </c>
      <c r="B92" s="57">
        <v>0</v>
      </c>
      <c r="C92" s="25"/>
      <c r="D92" s="26"/>
      <c r="E92" s="26"/>
      <c r="F92" s="26"/>
    </row>
    <row r="93" spans="1:12">
      <c r="A93" s="94" t="s">
        <v>60</v>
      </c>
      <c r="B93" s="57">
        <v>0</v>
      </c>
      <c r="C93" s="25"/>
      <c r="D93" s="26"/>
      <c r="E93" s="26"/>
      <c r="F93" s="26"/>
    </row>
    <row r="94" spans="1:12">
      <c r="A94" s="94" t="s">
        <v>61</v>
      </c>
      <c r="B94" s="57">
        <v>0</v>
      </c>
      <c r="C94" s="25"/>
      <c r="D94" s="26"/>
      <c r="E94" s="26"/>
      <c r="F94" s="26"/>
    </row>
    <row r="95" spans="1:12">
      <c r="A95" s="94" t="s">
        <v>62</v>
      </c>
      <c r="B95" s="57"/>
      <c r="C95" s="25"/>
      <c r="D95" s="26"/>
      <c r="E95" s="26"/>
      <c r="F95" s="26"/>
    </row>
    <row r="96" spans="1:12">
      <c r="A96" s="94" t="s">
        <v>63</v>
      </c>
      <c r="B96" s="57"/>
      <c r="C96" s="25"/>
      <c r="D96" s="26"/>
      <c r="E96" s="26"/>
      <c r="F96" s="26"/>
    </row>
    <row r="97" spans="1:6">
      <c r="A97" s="94" t="s">
        <v>64</v>
      </c>
      <c r="B97" s="57"/>
      <c r="C97" s="25"/>
      <c r="D97" s="26"/>
      <c r="E97" s="26"/>
      <c r="F97" s="26"/>
    </row>
    <row r="98" spans="1:6">
      <c r="A98" s="94" t="s">
        <v>118</v>
      </c>
      <c r="B98" s="57"/>
      <c r="C98" s="25"/>
      <c r="D98" s="26"/>
      <c r="E98" s="26"/>
      <c r="F98" s="26"/>
    </row>
    <row r="99" spans="1:6">
      <c r="A99" s="94" t="s">
        <v>119</v>
      </c>
      <c r="B99" s="57">
        <v>0</v>
      </c>
      <c r="C99" s="25"/>
      <c r="D99" s="26"/>
      <c r="E99" s="26"/>
      <c r="F99" s="26"/>
    </row>
    <row r="100" spans="1:6">
      <c r="A100" s="94" t="s">
        <v>65</v>
      </c>
      <c r="B100" s="57"/>
      <c r="C100" s="25"/>
      <c r="D100" s="26"/>
      <c r="E100" s="26"/>
      <c r="F100" s="26"/>
    </row>
    <row r="101" spans="1:6">
      <c r="A101" s="94" t="s">
        <v>66</v>
      </c>
      <c r="B101" s="57"/>
      <c r="C101" s="25"/>
      <c r="D101" s="26"/>
      <c r="E101" s="26"/>
      <c r="F101" s="26"/>
    </row>
    <row r="102" spans="1:6">
      <c r="A102" s="94" t="s">
        <v>108</v>
      </c>
      <c r="B102" s="57"/>
      <c r="C102" s="25"/>
      <c r="D102" s="26"/>
      <c r="E102" s="26"/>
      <c r="F102" s="26"/>
    </row>
    <row r="103" spans="1:6">
      <c r="A103" s="94" t="s">
        <v>67</v>
      </c>
      <c r="B103" s="57"/>
      <c r="C103" s="25"/>
      <c r="D103" s="26"/>
      <c r="E103" s="26"/>
      <c r="F103" s="26"/>
    </row>
    <row r="104" spans="1:6">
      <c r="A104" s="94" t="s">
        <v>68</v>
      </c>
      <c r="B104" s="57"/>
      <c r="C104" s="25"/>
      <c r="D104" s="26"/>
      <c r="E104" s="26"/>
      <c r="F104" s="26"/>
    </row>
    <row r="105" spans="1:6">
      <c r="A105" s="94" t="s">
        <v>109</v>
      </c>
      <c r="B105" s="57">
        <v>0</v>
      </c>
      <c r="C105" s="25"/>
      <c r="D105" s="26"/>
      <c r="E105" s="26"/>
      <c r="F105" s="26"/>
    </row>
    <row r="106" spans="1:6">
      <c r="A106" s="94" t="s">
        <v>110</v>
      </c>
      <c r="B106" s="57">
        <v>17.5</v>
      </c>
      <c r="C106" s="25"/>
      <c r="D106" s="26"/>
      <c r="E106" s="26"/>
      <c r="F106" s="26"/>
    </row>
    <row r="107" spans="1:6">
      <c r="A107" s="94" t="s">
        <v>69</v>
      </c>
      <c r="B107" s="57">
        <v>6.61</v>
      </c>
      <c r="C107" s="25"/>
      <c r="D107" s="26"/>
      <c r="E107" s="26"/>
      <c r="F107" s="26"/>
    </row>
    <row r="108" spans="1:6">
      <c r="A108" s="94" t="s">
        <v>117</v>
      </c>
      <c r="B108" s="57">
        <v>0</v>
      </c>
      <c r="C108" s="25"/>
      <c r="D108" s="26"/>
      <c r="E108" s="26"/>
      <c r="F108" s="26"/>
    </row>
    <row r="109" spans="1:6" ht="25.5">
      <c r="A109" s="94" t="s">
        <v>115</v>
      </c>
      <c r="B109" s="57"/>
      <c r="C109" s="25"/>
      <c r="D109" s="26"/>
      <c r="E109" s="26"/>
      <c r="F109" s="26"/>
    </row>
    <row r="110" spans="1:6" ht="25.5">
      <c r="A110" s="94" t="s">
        <v>116</v>
      </c>
      <c r="B110" s="57"/>
      <c r="C110" s="25"/>
      <c r="D110" s="26"/>
      <c r="E110" s="26"/>
      <c r="F110" s="26"/>
    </row>
    <row r="111" spans="1:6">
      <c r="A111" s="95" t="s">
        <v>70</v>
      </c>
      <c r="B111" s="57"/>
      <c r="C111" s="25"/>
      <c r="D111" s="26"/>
      <c r="E111" s="26"/>
      <c r="F111" s="26"/>
    </row>
    <row r="112" spans="1:6">
      <c r="A112" s="95" t="s">
        <v>71</v>
      </c>
      <c r="B112" s="57"/>
      <c r="C112" s="25"/>
      <c r="D112" s="26"/>
      <c r="E112" s="26"/>
      <c r="F112" s="26"/>
    </row>
    <row r="113" spans="1:12">
      <c r="A113" s="95" t="s">
        <v>72</v>
      </c>
      <c r="B113" s="57"/>
      <c r="C113" s="25"/>
      <c r="D113" s="26"/>
      <c r="E113" s="26"/>
      <c r="F113" s="26"/>
    </row>
    <row r="114" spans="1:12">
      <c r="A114" s="95" t="s">
        <v>73</v>
      </c>
      <c r="B114" s="57">
        <v>0</v>
      </c>
      <c r="C114" s="25"/>
      <c r="D114" s="26"/>
      <c r="E114" s="26"/>
      <c r="F114" s="26"/>
    </row>
    <row r="115" spans="1:12">
      <c r="A115" s="95" t="s">
        <v>74</v>
      </c>
      <c r="B115" s="57"/>
      <c r="C115" s="25"/>
      <c r="D115" s="26"/>
      <c r="E115" s="26"/>
      <c r="F115" s="26"/>
    </row>
    <row r="116" spans="1:12">
      <c r="A116" s="95" t="s">
        <v>75</v>
      </c>
      <c r="B116" s="57">
        <v>17.23</v>
      </c>
      <c r="C116" s="25"/>
      <c r="D116" s="26"/>
      <c r="E116" s="26"/>
      <c r="F116" s="26"/>
    </row>
    <row r="117" spans="1:12">
      <c r="A117" s="95" t="s">
        <v>76</v>
      </c>
      <c r="B117" s="57">
        <v>3.13</v>
      </c>
      <c r="C117" s="25"/>
      <c r="D117" s="26"/>
      <c r="E117" s="26"/>
      <c r="F117" s="26"/>
    </row>
    <row r="118" spans="1:12" ht="13.5" thickBot="1">
      <c r="A118" s="96" t="s">
        <v>77</v>
      </c>
      <c r="B118" s="33">
        <v>9.6199999999999992</v>
      </c>
      <c r="C118" s="25"/>
      <c r="D118" s="26"/>
      <c r="E118" s="26"/>
      <c r="F118" s="26"/>
    </row>
    <row r="119" spans="1:12" s="12" customFormat="1" ht="16.5" thickBot="1">
      <c r="A119" s="67" t="s">
        <v>120</v>
      </c>
      <c r="B119" s="68">
        <f>SUM(B67:B118)</f>
        <v>271.81</v>
      </c>
      <c r="C119" s="10"/>
      <c r="D119" s="11"/>
      <c r="E119" s="11"/>
      <c r="F119" s="11"/>
      <c r="G119" s="11"/>
      <c r="H119" s="18"/>
      <c r="I119" s="18"/>
      <c r="J119" s="18"/>
      <c r="K119" s="18"/>
      <c r="L119" s="18"/>
    </row>
    <row r="120" spans="1:12" s="12" customFormat="1" ht="15.75">
      <c r="A120" s="77"/>
      <c r="B120" s="78"/>
      <c r="C120" s="10"/>
      <c r="D120" s="11"/>
      <c r="E120" s="11"/>
      <c r="F120" s="11"/>
      <c r="G120" s="11"/>
      <c r="H120" s="18"/>
      <c r="I120" s="18"/>
      <c r="J120" s="18"/>
      <c r="K120" s="18"/>
      <c r="L120" s="18"/>
    </row>
    <row r="121" spans="1:12" s="12" customFormat="1" ht="16.5" thickBot="1">
      <c r="A121" s="77"/>
      <c r="B121" s="78"/>
      <c r="C121" s="10"/>
      <c r="D121" s="11"/>
      <c r="E121" s="11"/>
      <c r="F121" s="11"/>
      <c r="G121" s="11"/>
      <c r="H121" s="18"/>
      <c r="I121" s="18"/>
      <c r="J121" s="18"/>
      <c r="K121" s="18"/>
      <c r="L121" s="18"/>
    </row>
    <row r="122" spans="1:12" s="12" customFormat="1" ht="15.75">
      <c r="A122" s="97" t="s">
        <v>78</v>
      </c>
      <c r="B122" s="100">
        <f>SUM(B5,B11,B16,B40,B49,B60,B64)</f>
        <v>12803.947394800643</v>
      </c>
      <c r="C122" s="11"/>
      <c r="D122" s="11"/>
      <c r="E122" s="11"/>
      <c r="F122" s="11"/>
      <c r="H122" s="18"/>
      <c r="I122" s="18"/>
      <c r="J122" s="18"/>
      <c r="K122" s="18"/>
      <c r="L122" s="18"/>
    </row>
    <row r="123" spans="1:12" ht="15.75">
      <c r="A123" s="98" t="s">
        <v>79</v>
      </c>
      <c r="B123" s="101">
        <f>SUM(G5,G11,G16,G40,G49,G60,G64)</f>
        <v>2884.346450431598</v>
      </c>
      <c r="C123" s="25"/>
      <c r="D123" s="26"/>
      <c r="E123" s="26"/>
      <c r="F123" s="26"/>
    </row>
    <row r="124" spans="1:12" ht="15.75">
      <c r="A124" s="98" t="s">
        <v>94</v>
      </c>
      <c r="B124" s="102">
        <f>B119</f>
        <v>271.81</v>
      </c>
      <c r="C124" s="25"/>
      <c r="D124" s="26"/>
      <c r="E124" s="26"/>
      <c r="F124" s="26"/>
    </row>
    <row r="125" spans="1:12" ht="16.5" thickBot="1">
      <c r="A125" s="99" t="s">
        <v>95</v>
      </c>
      <c r="B125" s="103">
        <f>SUM(B122:B124)</f>
        <v>15960.103845232241</v>
      </c>
      <c r="C125" s="25"/>
      <c r="D125" s="26"/>
      <c r="E125" s="26"/>
      <c r="F125" s="26"/>
    </row>
    <row r="126" spans="1:12">
      <c r="B126" s="25"/>
      <c r="C126" s="25"/>
      <c r="D126" s="26"/>
      <c r="E126" s="26"/>
      <c r="F126" s="26"/>
    </row>
    <row r="127" spans="1:12">
      <c r="B127" s="25"/>
      <c r="C127" s="25"/>
      <c r="D127" s="25"/>
      <c r="E127" s="25"/>
      <c r="F127" s="25"/>
    </row>
    <row r="128" spans="1:12">
      <c r="B128" s="25"/>
      <c r="C128" s="25"/>
      <c r="D128" s="25"/>
      <c r="E128" s="25"/>
      <c r="F128" s="25"/>
    </row>
    <row r="129" spans="1:12">
      <c r="B129" s="25"/>
      <c r="C129" s="25"/>
      <c r="D129" s="25"/>
      <c r="E129" s="25"/>
      <c r="F129" s="25"/>
    </row>
    <row r="130" spans="1:12">
      <c r="B130" s="25"/>
      <c r="C130" s="25"/>
      <c r="D130" s="25"/>
      <c r="E130" s="25"/>
      <c r="F130" s="25"/>
    </row>
    <row r="131" spans="1:12" s="25" customFormat="1">
      <c r="A131" s="15"/>
      <c r="G131" s="16"/>
      <c r="H131" s="15"/>
      <c r="I131" s="15"/>
      <c r="J131" s="15"/>
      <c r="K131" s="15"/>
      <c r="L131" s="15"/>
    </row>
    <row r="132" spans="1:12" s="25" customFormat="1">
      <c r="A132" s="15"/>
      <c r="G132" s="16"/>
      <c r="H132" s="15"/>
      <c r="I132" s="15"/>
      <c r="J132" s="15"/>
      <c r="K132" s="15"/>
      <c r="L132" s="15"/>
    </row>
    <row r="133" spans="1:12">
      <c r="B133" s="2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5"/>
  <sheetViews>
    <sheetView showGridLines="0" topLeftCell="A31" workbookViewId="0">
      <selection activeCell="D43" sqref="D43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122</v>
      </c>
      <c r="J1" s="122"/>
    </row>
    <row r="2" spans="1:12">
      <c r="A2" s="28" t="s">
        <v>3</v>
      </c>
      <c r="B2" s="37">
        <f>9.12+1845.38+55.26</f>
        <v>1909.76</v>
      </c>
      <c r="C2" s="37">
        <f>9.12+1581.78+55.26</f>
        <v>1646.1599999999999</v>
      </c>
      <c r="D2" s="50"/>
      <c r="E2" s="47">
        <f>B2-C2</f>
        <v>263.60000000000014</v>
      </c>
      <c r="F2" s="41"/>
      <c r="G2" s="39">
        <v>38.43</v>
      </c>
      <c r="I2" s="84"/>
      <c r="J2" s="85"/>
    </row>
    <row r="3" spans="1:12" s="12" customFormat="1">
      <c r="A3" s="29" t="s">
        <v>36</v>
      </c>
      <c r="B3" s="32">
        <f>242</f>
        <v>242</v>
      </c>
      <c r="C3" s="32">
        <v>221</v>
      </c>
      <c r="D3" s="29"/>
      <c r="E3" s="48">
        <f>B3-C3</f>
        <v>21</v>
      </c>
      <c r="F3" s="42"/>
      <c r="G3" s="43">
        <v>63.63</v>
      </c>
      <c r="H3" s="18"/>
      <c r="I3" s="86" t="s">
        <v>97</v>
      </c>
      <c r="J3" s="87">
        <v>16.872299999999999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6">
        <v>176.6</v>
      </c>
      <c r="H4" s="18"/>
      <c r="I4" s="88" t="s">
        <v>98</v>
      </c>
      <c r="J4" s="89">
        <v>1.5288999999999999</v>
      </c>
      <c r="K4" s="18"/>
      <c r="L4" s="18"/>
    </row>
    <row r="5" spans="1:12" s="12" customFormat="1" ht="13.5" thickBot="1">
      <c r="A5" s="67" t="s">
        <v>91</v>
      </c>
      <c r="B5" s="68">
        <f>SUM(B2:B4)</f>
        <v>2151.7600000000002</v>
      </c>
      <c r="C5" s="68">
        <f t="shared" ref="C5:G5" si="0">SUM(C2:C4)</f>
        <v>1867.1599999999999</v>
      </c>
      <c r="D5" s="68"/>
      <c r="E5" s="69">
        <f t="shared" si="0"/>
        <v>284.60000000000014</v>
      </c>
      <c r="F5" s="68"/>
      <c r="G5" s="69">
        <f t="shared" si="0"/>
        <v>278.65999999999997</v>
      </c>
      <c r="H5" s="18"/>
      <c r="I5" s="90" t="s">
        <v>99</v>
      </c>
      <c r="J5" s="91">
        <v>1.1240000000000001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>
        <v>56.44</v>
      </c>
    </row>
    <row r="9" spans="1:12" s="12" customFormat="1">
      <c r="A9" s="29" t="s">
        <v>12</v>
      </c>
      <c r="B9" s="32"/>
      <c r="C9" s="32"/>
      <c r="D9" s="29"/>
      <c r="E9" s="48">
        <f>B9-C9</f>
        <v>0</v>
      </c>
      <c r="F9" s="42"/>
      <c r="G9" s="43">
        <v>39.26</v>
      </c>
      <c r="H9" s="18"/>
      <c r="I9" s="18"/>
      <c r="J9" s="18"/>
      <c r="K9" s="18"/>
      <c r="L9" s="18"/>
    </row>
    <row r="10" spans="1:12" s="12" customFormat="1" ht="13.5" thickBot="1">
      <c r="A10" s="30" t="s">
        <v>85</v>
      </c>
      <c r="B10" s="44"/>
      <c r="C10" s="44"/>
      <c r="D10" s="51"/>
      <c r="E10" s="49">
        <f>B10-C10</f>
        <v>0</v>
      </c>
      <c r="F10" s="45"/>
      <c r="G10" s="46">
        <v>40</v>
      </c>
      <c r="H10" s="18"/>
      <c r="I10" s="18"/>
      <c r="J10" s="18"/>
      <c r="K10" s="18"/>
      <c r="L10" s="18"/>
    </row>
    <row r="11" spans="1:12" s="12" customFormat="1" ht="13.5" thickBot="1">
      <c r="A11" s="67" t="s">
        <v>91</v>
      </c>
      <c r="B11" s="68">
        <f>SUM(B8:B10)</f>
        <v>0</v>
      </c>
      <c r="C11" s="68">
        <f>SUM(C8:C10)</f>
        <v>0</v>
      </c>
      <c r="D11" s="68"/>
      <c r="E11" s="69">
        <f t="shared" ref="E11" si="1">SUM(E8:E10)</f>
        <v>0</v>
      </c>
      <c r="F11" s="68"/>
      <c r="G11" s="69">
        <f t="shared" ref="G11" si="2">SUM(G8:G10)</f>
        <v>135.69999999999999</v>
      </c>
      <c r="H11" s="18"/>
      <c r="I11" s="18"/>
      <c r="J11" s="18"/>
      <c r="K11" s="18"/>
      <c r="L11" s="18"/>
    </row>
    <row r="12" spans="1:12" s="12" customFormat="1" ht="16.5" thickBot="1">
      <c r="A12" s="21"/>
      <c r="B12" s="13"/>
      <c r="C12" s="3"/>
      <c r="D12" s="3"/>
      <c r="E12" s="3"/>
      <c r="F12" s="3"/>
      <c r="G12" s="14"/>
      <c r="H12" s="2"/>
    </row>
    <row r="13" spans="1:12" ht="32.25" thickBot="1">
      <c r="A13" s="27" t="s">
        <v>86</v>
      </c>
      <c r="B13" s="31" t="s">
        <v>1</v>
      </c>
      <c r="C13" s="34" t="s">
        <v>2</v>
      </c>
      <c r="D13" s="34" t="s">
        <v>80</v>
      </c>
      <c r="E13" s="38" t="s">
        <v>81</v>
      </c>
      <c r="F13" s="34" t="s">
        <v>82</v>
      </c>
      <c r="G13" s="38" t="s">
        <v>83</v>
      </c>
      <c r="H13" s="1"/>
    </row>
    <row r="14" spans="1:12" s="12" customFormat="1">
      <c r="A14" s="28" t="s">
        <v>27</v>
      </c>
      <c r="B14" s="37"/>
      <c r="C14" s="37"/>
      <c r="D14" s="50"/>
      <c r="E14" s="47">
        <f>B14-C14</f>
        <v>0</v>
      </c>
      <c r="F14" s="41"/>
      <c r="G14" s="39">
        <v>10.54</v>
      </c>
      <c r="H14" s="18"/>
      <c r="I14" s="18"/>
      <c r="J14" s="18"/>
      <c r="K14" s="18"/>
      <c r="L14" s="18"/>
    </row>
    <row r="15" spans="1:12" s="12" customFormat="1" ht="13.5" thickBot="1">
      <c r="A15" s="51" t="s">
        <v>29</v>
      </c>
      <c r="B15" s="52"/>
      <c r="C15" s="52"/>
      <c r="D15" s="51"/>
      <c r="E15" s="49">
        <f>B15-C15</f>
        <v>0</v>
      </c>
      <c r="F15" s="45"/>
      <c r="G15" s="53">
        <v>3.17</v>
      </c>
      <c r="H15" s="18"/>
      <c r="I15" s="18"/>
      <c r="J15" s="18"/>
      <c r="K15" s="18"/>
      <c r="L15" s="18"/>
    </row>
    <row r="16" spans="1:12" s="12" customFormat="1" ht="13.5" thickBot="1">
      <c r="A16" s="67" t="s">
        <v>91</v>
      </c>
      <c r="B16" s="68">
        <f>SUM(B14:B15)</f>
        <v>0</v>
      </c>
      <c r="C16" s="68">
        <f>SUM(C14:C15)</f>
        <v>0</v>
      </c>
      <c r="D16" s="68"/>
      <c r="E16" s="69">
        <f>SUM(E14:E15)</f>
        <v>0</v>
      </c>
      <c r="F16" s="68"/>
      <c r="G16" s="69">
        <f>SUM(G14:G15)</f>
        <v>13.709999999999999</v>
      </c>
      <c r="H16" s="18"/>
      <c r="I16" s="18"/>
      <c r="J16" s="18"/>
      <c r="K16" s="18"/>
      <c r="L16" s="18"/>
    </row>
    <row r="17" spans="1:12" s="12" customFormat="1" ht="13.5" thickBot="1">
      <c r="A17" s="19"/>
      <c r="B17" s="4"/>
      <c r="C17" s="4"/>
      <c r="D17" s="17"/>
      <c r="E17" s="17"/>
      <c r="F17" s="17"/>
      <c r="G17" s="20"/>
      <c r="H17" s="18"/>
      <c r="I17" s="18"/>
      <c r="J17" s="18"/>
      <c r="K17" s="18"/>
      <c r="L17" s="18"/>
    </row>
    <row r="18" spans="1:12" ht="32.25" thickBot="1">
      <c r="A18" s="54" t="s">
        <v>87</v>
      </c>
      <c r="B18" s="31" t="s">
        <v>1</v>
      </c>
      <c r="C18" s="34" t="s">
        <v>2</v>
      </c>
      <c r="D18" s="34" t="s">
        <v>80</v>
      </c>
      <c r="E18" s="38" t="s">
        <v>81</v>
      </c>
      <c r="F18" s="34" t="s">
        <v>82</v>
      </c>
      <c r="G18" s="38" t="s">
        <v>83</v>
      </c>
      <c r="H18" s="22"/>
    </row>
    <row r="19" spans="1:12" s="12" customFormat="1">
      <c r="A19" s="55" t="s">
        <v>88</v>
      </c>
      <c r="B19" s="57"/>
      <c r="C19" s="35"/>
      <c r="D19" s="35">
        <f>B19-C19</f>
        <v>0</v>
      </c>
      <c r="E19" s="48">
        <f>B19-C19</f>
        <v>0</v>
      </c>
      <c r="F19" s="35"/>
      <c r="G19" s="62"/>
      <c r="H19" s="18"/>
      <c r="I19" s="18"/>
      <c r="J19" s="18"/>
      <c r="K19" s="18"/>
      <c r="L19" s="18"/>
    </row>
    <row r="20" spans="1:12" s="12" customFormat="1">
      <c r="A20" s="56" t="s">
        <v>5</v>
      </c>
      <c r="B20" s="57"/>
      <c r="C20" s="35"/>
      <c r="D20" s="35">
        <f t="shared" ref="D20:D39" si="3">B20-C20</f>
        <v>0</v>
      </c>
      <c r="E20" s="60">
        <f>B20-C20</f>
        <v>0</v>
      </c>
      <c r="F20" s="35"/>
      <c r="G20" s="62">
        <v>13.33</v>
      </c>
      <c r="H20" s="18"/>
      <c r="I20" s="18"/>
      <c r="J20" s="18"/>
      <c r="K20" s="18"/>
      <c r="L20" s="18"/>
    </row>
    <row r="21" spans="1:12" s="12" customFormat="1" ht="13.5" customHeight="1">
      <c r="A21" s="29" t="s">
        <v>6</v>
      </c>
      <c r="B21" s="58"/>
      <c r="C21" s="35"/>
      <c r="D21" s="35">
        <f t="shared" si="3"/>
        <v>0</v>
      </c>
      <c r="E21" s="60">
        <f t="shared" ref="E21:E39" si="4">B21-C21</f>
        <v>0</v>
      </c>
      <c r="F21" s="35"/>
      <c r="G21" s="40">
        <v>10.07</v>
      </c>
      <c r="H21" s="18"/>
      <c r="I21" s="18"/>
      <c r="J21" s="18"/>
      <c r="K21" s="18"/>
      <c r="L21" s="18"/>
    </row>
    <row r="22" spans="1:12" s="12" customFormat="1">
      <c r="A22" s="29" t="s">
        <v>7</v>
      </c>
      <c r="B22" s="58"/>
      <c r="C22" s="35"/>
      <c r="D22" s="35">
        <f t="shared" si="3"/>
        <v>0</v>
      </c>
      <c r="E22" s="60">
        <f t="shared" si="4"/>
        <v>0</v>
      </c>
      <c r="F22" s="35"/>
      <c r="G22" s="40">
        <v>1</v>
      </c>
      <c r="H22" s="18"/>
      <c r="I22" s="18"/>
      <c r="J22" s="18"/>
      <c r="K22" s="18"/>
      <c r="L22" s="18"/>
    </row>
    <row r="23" spans="1:12" s="12" customFormat="1">
      <c r="A23" s="29" t="s">
        <v>8</v>
      </c>
      <c r="B23" s="58"/>
      <c r="C23" s="35"/>
      <c r="D23" s="35">
        <f>B23-C23</f>
        <v>0</v>
      </c>
      <c r="E23" s="60">
        <f t="shared" si="4"/>
        <v>0</v>
      </c>
      <c r="F23" s="35"/>
      <c r="G23" s="40">
        <v>2.5099999999999998</v>
      </c>
      <c r="H23" s="18"/>
      <c r="I23" s="18"/>
      <c r="J23" s="18"/>
      <c r="K23" s="18"/>
      <c r="L23" s="18"/>
    </row>
    <row r="24" spans="1:12" s="12" customFormat="1">
      <c r="A24" s="29" t="s">
        <v>9</v>
      </c>
      <c r="B24" s="58"/>
      <c r="C24" s="35"/>
      <c r="D24" s="35">
        <f t="shared" si="3"/>
        <v>0</v>
      </c>
      <c r="E24" s="60">
        <f t="shared" si="4"/>
        <v>0</v>
      </c>
      <c r="F24" s="35"/>
      <c r="G24" s="40">
        <v>0.13</v>
      </c>
      <c r="H24" s="18"/>
      <c r="I24" s="18"/>
      <c r="J24" s="18"/>
      <c r="K24" s="18"/>
      <c r="L24" s="18"/>
    </row>
    <row r="25" spans="1:12" s="12" customFormat="1">
      <c r="A25" s="29" t="s">
        <v>10</v>
      </c>
      <c r="B25" s="58"/>
      <c r="C25" s="35"/>
      <c r="D25" s="35">
        <f t="shared" si="3"/>
        <v>0</v>
      </c>
      <c r="E25" s="60">
        <f t="shared" si="4"/>
        <v>0</v>
      </c>
      <c r="F25" s="35"/>
      <c r="G25" s="40"/>
      <c r="H25" s="18"/>
      <c r="I25" s="18"/>
      <c r="J25" s="18"/>
      <c r="K25" s="18"/>
      <c r="L25" s="18"/>
    </row>
    <row r="26" spans="1:12" s="12" customFormat="1">
      <c r="A26" s="29" t="s">
        <v>13</v>
      </c>
      <c r="B26" s="58"/>
      <c r="C26" s="35"/>
      <c r="D26" s="35">
        <f t="shared" si="3"/>
        <v>0</v>
      </c>
      <c r="E26" s="60">
        <f t="shared" si="4"/>
        <v>0</v>
      </c>
      <c r="F26" s="35"/>
      <c r="G26" s="40">
        <v>0.02</v>
      </c>
      <c r="H26" s="18"/>
      <c r="I26" s="18"/>
      <c r="J26" s="18"/>
      <c r="K26" s="18"/>
      <c r="L26" s="18"/>
    </row>
    <row r="27" spans="1:12" s="12" customFormat="1">
      <c r="A27" s="29" t="s">
        <v>14</v>
      </c>
      <c r="B27" s="58"/>
      <c r="C27" s="35"/>
      <c r="D27" s="35">
        <f t="shared" si="3"/>
        <v>0</v>
      </c>
      <c r="E27" s="60">
        <f t="shared" si="4"/>
        <v>0</v>
      </c>
      <c r="F27" s="35"/>
      <c r="G27" s="40">
        <v>0</v>
      </c>
      <c r="H27" s="18"/>
      <c r="I27" s="18"/>
      <c r="J27" s="18"/>
      <c r="K27" s="18"/>
      <c r="L27" s="18"/>
    </row>
    <row r="28" spans="1:12" s="12" customFormat="1">
      <c r="A28" s="29" t="s">
        <v>16</v>
      </c>
      <c r="B28" s="58"/>
      <c r="C28" s="35"/>
      <c r="D28" s="35">
        <f t="shared" si="3"/>
        <v>0</v>
      </c>
      <c r="E28" s="60">
        <f t="shared" si="4"/>
        <v>0</v>
      </c>
      <c r="F28" s="35"/>
      <c r="G28" s="40">
        <v>4.45</v>
      </c>
      <c r="H28" s="18"/>
      <c r="I28" s="18"/>
      <c r="J28" s="18"/>
      <c r="K28" s="18"/>
      <c r="L28" s="18"/>
    </row>
    <row r="29" spans="1:12" s="12" customFormat="1">
      <c r="A29" s="29" t="s">
        <v>17</v>
      </c>
      <c r="B29" s="58"/>
      <c r="C29" s="35"/>
      <c r="D29" s="35">
        <f t="shared" si="3"/>
        <v>0</v>
      </c>
      <c r="E29" s="60">
        <f t="shared" si="4"/>
        <v>0</v>
      </c>
      <c r="F29" s="35"/>
      <c r="G29" s="40">
        <v>47.08</v>
      </c>
      <c r="H29" s="18"/>
      <c r="I29" s="18"/>
      <c r="J29" s="18"/>
      <c r="K29" s="18"/>
      <c r="L29" s="18"/>
    </row>
    <row r="30" spans="1:12" s="12" customFormat="1">
      <c r="A30" s="56" t="s">
        <v>19</v>
      </c>
      <c r="B30" s="57"/>
      <c r="C30" s="35"/>
      <c r="D30" s="35">
        <f t="shared" si="3"/>
        <v>0</v>
      </c>
      <c r="E30" s="60">
        <f t="shared" si="4"/>
        <v>0</v>
      </c>
      <c r="F30" s="35"/>
      <c r="G30" s="60">
        <v>1.98</v>
      </c>
      <c r="H30" s="18"/>
      <c r="I30" s="18"/>
      <c r="J30" s="18"/>
      <c r="K30" s="18"/>
      <c r="L30" s="18"/>
    </row>
    <row r="31" spans="1:12" s="12" customFormat="1">
      <c r="A31" s="56" t="s">
        <v>21</v>
      </c>
      <c r="B31" s="57"/>
      <c r="C31" s="35"/>
      <c r="D31" s="35">
        <f t="shared" si="3"/>
        <v>0</v>
      </c>
      <c r="E31" s="60">
        <f t="shared" si="4"/>
        <v>0</v>
      </c>
      <c r="F31" s="35"/>
      <c r="G31" s="60">
        <v>0</v>
      </c>
      <c r="H31" s="18"/>
      <c r="I31" s="18"/>
      <c r="J31" s="18"/>
      <c r="K31" s="18"/>
      <c r="L31" s="18"/>
    </row>
    <row r="32" spans="1:12" s="12" customFormat="1">
      <c r="A32" s="56" t="s">
        <v>22</v>
      </c>
      <c r="B32" s="57"/>
      <c r="C32" s="35"/>
      <c r="D32" s="35">
        <f t="shared" si="3"/>
        <v>0</v>
      </c>
      <c r="E32" s="60">
        <f t="shared" si="4"/>
        <v>0</v>
      </c>
      <c r="F32" s="35"/>
      <c r="G32" s="60">
        <v>2.52</v>
      </c>
      <c r="H32" s="18"/>
      <c r="I32" s="18"/>
      <c r="J32" s="18"/>
      <c r="K32" s="18"/>
      <c r="L32" s="18"/>
    </row>
    <row r="33" spans="1:12" s="12" customFormat="1">
      <c r="A33" s="56" t="s">
        <v>23</v>
      </c>
      <c r="B33" s="57"/>
      <c r="C33" s="35"/>
      <c r="D33" s="35">
        <f t="shared" si="3"/>
        <v>0</v>
      </c>
      <c r="E33" s="60">
        <f t="shared" si="4"/>
        <v>0</v>
      </c>
      <c r="F33" s="35"/>
      <c r="G33" s="60"/>
      <c r="H33" s="18"/>
      <c r="I33" s="18"/>
      <c r="J33" s="18"/>
      <c r="K33" s="18"/>
      <c r="L33" s="18"/>
    </row>
    <row r="34" spans="1:12" s="12" customFormat="1">
      <c r="A34" s="56" t="s">
        <v>24</v>
      </c>
      <c r="B34" s="57"/>
      <c r="C34" s="35"/>
      <c r="D34" s="35">
        <f t="shared" si="3"/>
        <v>0</v>
      </c>
      <c r="E34" s="60">
        <f t="shared" si="4"/>
        <v>0</v>
      </c>
      <c r="F34" s="35"/>
      <c r="G34" s="62">
        <v>2.35</v>
      </c>
      <c r="H34" s="18"/>
      <c r="I34" s="18"/>
      <c r="J34" s="18"/>
      <c r="K34" s="18"/>
      <c r="L34" s="18"/>
    </row>
    <row r="35" spans="1:12" s="12" customFormat="1">
      <c r="A35" s="56" t="s">
        <v>26</v>
      </c>
      <c r="B35" s="58"/>
      <c r="C35" s="35"/>
      <c r="D35" s="35">
        <f t="shared" si="3"/>
        <v>0</v>
      </c>
      <c r="E35" s="60">
        <f t="shared" si="4"/>
        <v>0</v>
      </c>
      <c r="F35" s="35"/>
      <c r="G35" s="62">
        <v>0.23</v>
      </c>
      <c r="H35" s="18"/>
      <c r="I35" s="18"/>
      <c r="J35" s="18"/>
      <c r="K35" s="18"/>
      <c r="L35" s="18"/>
    </row>
    <row r="36" spans="1:12" s="12" customFormat="1" ht="12.75" customHeight="1">
      <c r="A36" s="29" t="s">
        <v>31</v>
      </c>
      <c r="B36" s="58"/>
      <c r="C36" s="35"/>
      <c r="D36" s="35">
        <f t="shared" si="3"/>
        <v>0</v>
      </c>
      <c r="E36" s="60">
        <f t="shared" si="4"/>
        <v>0</v>
      </c>
      <c r="F36" s="35"/>
      <c r="G36" s="40">
        <v>8.5500000000000007</v>
      </c>
      <c r="H36" s="5"/>
      <c r="I36" s="18"/>
      <c r="J36" s="18"/>
      <c r="K36" s="18"/>
      <c r="L36" s="18"/>
    </row>
    <row r="37" spans="1:12" s="12" customFormat="1" ht="12.75" customHeight="1">
      <c r="A37" s="29" t="s">
        <v>32</v>
      </c>
      <c r="B37" s="58"/>
      <c r="C37" s="35"/>
      <c r="D37" s="35">
        <f t="shared" si="3"/>
        <v>0</v>
      </c>
      <c r="E37" s="60">
        <f t="shared" si="4"/>
        <v>0</v>
      </c>
      <c r="F37" s="35"/>
      <c r="G37" s="40">
        <v>54.19</v>
      </c>
      <c r="H37" s="5"/>
      <c r="I37" s="18"/>
      <c r="J37" s="18"/>
      <c r="K37" s="18"/>
      <c r="L37" s="18"/>
    </row>
    <row r="38" spans="1:12" s="12" customFormat="1" ht="12.75" customHeight="1">
      <c r="A38" s="29" t="s">
        <v>33</v>
      </c>
      <c r="B38" s="58"/>
      <c r="C38" s="35"/>
      <c r="D38" s="35">
        <f t="shared" si="3"/>
        <v>0</v>
      </c>
      <c r="E38" s="60">
        <f t="shared" si="4"/>
        <v>0</v>
      </c>
      <c r="F38" s="35"/>
      <c r="G38" s="40">
        <v>1.18</v>
      </c>
      <c r="H38" s="5"/>
      <c r="I38" s="18"/>
      <c r="J38" s="18"/>
      <c r="K38" s="18"/>
      <c r="L38" s="18"/>
    </row>
    <row r="39" spans="1:12" s="12" customFormat="1" ht="12.75" customHeight="1" thickBot="1">
      <c r="A39" s="51" t="s">
        <v>90</v>
      </c>
      <c r="B39" s="59"/>
      <c r="C39" s="36"/>
      <c r="D39" s="36">
        <f t="shared" si="3"/>
        <v>0</v>
      </c>
      <c r="E39" s="61">
        <f t="shared" si="4"/>
        <v>0</v>
      </c>
      <c r="F39" s="36"/>
      <c r="G39" s="64">
        <v>0.02</v>
      </c>
      <c r="H39" s="5"/>
      <c r="I39" s="18"/>
      <c r="J39" s="18"/>
      <c r="K39" s="18"/>
      <c r="L39" s="18"/>
    </row>
    <row r="40" spans="1:12" s="12" customFormat="1" ht="13.5" thickBot="1">
      <c r="A40" s="67" t="s">
        <v>91</v>
      </c>
      <c r="B40" s="68">
        <f>SUM(B19:B39)</f>
        <v>0</v>
      </c>
      <c r="C40" s="68">
        <f>SUM(C19:C39)</f>
        <v>0</v>
      </c>
      <c r="D40" s="68"/>
      <c r="E40" s="69">
        <f>SUM(E19:E39)</f>
        <v>0</v>
      </c>
      <c r="F40" s="68"/>
      <c r="G40" s="69">
        <f>SUM(G19:G39)</f>
        <v>149.60999999999999</v>
      </c>
      <c r="H40" s="18"/>
      <c r="I40" s="18"/>
      <c r="J40" s="18"/>
      <c r="K40" s="18"/>
      <c r="L40" s="18"/>
    </row>
    <row r="41" spans="1:12" s="12" customFormat="1" ht="12.75" customHeight="1" thickBot="1">
      <c r="B41" s="16"/>
      <c r="C41" s="17"/>
      <c r="D41" s="17"/>
      <c r="E41" s="65"/>
      <c r="F41" s="17"/>
      <c r="G41" s="66"/>
      <c r="H41" s="5"/>
      <c r="I41" s="18"/>
      <c r="J41" s="18"/>
      <c r="K41" s="18"/>
      <c r="L41" s="18"/>
    </row>
    <row r="42" spans="1:12" s="12" customFormat="1" ht="32.25" thickBot="1">
      <c r="A42" s="8" t="s">
        <v>93</v>
      </c>
      <c r="B42" s="31" t="s">
        <v>1</v>
      </c>
      <c r="C42" s="34" t="s">
        <v>2</v>
      </c>
      <c r="D42" s="34" t="s">
        <v>80</v>
      </c>
      <c r="E42" s="38" t="s">
        <v>81</v>
      </c>
      <c r="F42" s="34" t="s">
        <v>82</v>
      </c>
      <c r="G42" s="38" t="s">
        <v>83</v>
      </c>
      <c r="H42" s="2"/>
    </row>
    <row r="43" spans="1:12" s="12" customFormat="1">
      <c r="A43" s="29" t="s">
        <v>37</v>
      </c>
      <c r="B43" s="58">
        <f>143.6+164.55+698.82</f>
        <v>1006.97</v>
      </c>
      <c r="C43" s="58">
        <f>44+10.31+154.24+771.65</f>
        <v>980.2</v>
      </c>
      <c r="D43" s="35">
        <f>B43-C43</f>
        <v>26.769999999999982</v>
      </c>
      <c r="E43" s="60">
        <f>B43-C43</f>
        <v>26.769999999999982</v>
      </c>
      <c r="F43" s="35"/>
      <c r="G43" s="40">
        <v>429.37</v>
      </c>
      <c r="H43" s="18"/>
      <c r="I43" s="18"/>
      <c r="J43" s="18"/>
      <c r="K43" s="18"/>
      <c r="L43" s="18"/>
    </row>
    <row r="44" spans="1:12" s="12" customFormat="1">
      <c r="A44" s="29" t="s">
        <v>92</v>
      </c>
      <c r="B44" s="58"/>
      <c r="C44" s="58"/>
      <c r="D44" s="35"/>
      <c r="E44" s="60">
        <f>B44-C44</f>
        <v>0</v>
      </c>
      <c r="F44" s="35"/>
      <c r="G44" s="40"/>
      <c r="H44" s="18"/>
      <c r="I44" s="18"/>
      <c r="J44" s="18"/>
      <c r="K44" s="18"/>
      <c r="L44" s="18"/>
    </row>
    <row r="45" spans="1:12" s="12" customFormat="1" ht="17.25" customHeight="1">
      <c r="A45" s="29" t="s">
        <v>38</v>
      </c>
      <c r="B45" s="58">
        <f>367.16+103.79+140.98</f>
        <v>611.93000000000006</v>
      </c>
      <c r="C45" s="58">
        <f>363.06+103.79+140.98</f>
        <v>607.83000000000004</v>
      </c>
      <c r="D45" s="35">
        <f>B45-C45</f>
        <v>4.1000000000000227</v>
      </c>
      <c r="E45" s="60">
        <f t="shared" ref="E45:E49" si="5">B45-C45</f>
        <v>4.1000000000000227</v>
      </c>
      <c r="F45" s="35"/>
      <c r="G45" s="40">
        <v>14.07</v>
      </c>
      <c r="H45" s="18"/>
      <c r="I45" s="18"/>
      <c r="J45" s="18"/>
      <c r="K45" s="18"/>
      <c r="L45" s="18"/>
    </row>
    <row r="46" spans="1:12" s="12" customFormat="1">
      <c r="A46" s="29" t="s">
        <v>39</v>
      </c>
      <c r="B46" s="73">
        <f>293.57+316.2</f>
        <v>609.77</v>
      </c>
      <c r="C46" s="73">
        <f>293.57+382.2</f>
        <v>675.77</v>
      </c>
      <c r="D46" s="74">
        <f>B46-C46</f>
        <v>-66</v>
      </c>
      <c r="E46" s="60">
        <f>D46/$J$4</f>
        <v>-43.16829092811826</v>
      </c>
      <c r="F46" s="74">
        <v>550.66</v>
      </c>
      <c r="G46" s="60">
        <f>F46/$J$4</f>
        <v>360.16744064359995</v>
      </c>
      <c r="K46" s="18"/>
      <c r="L46" s="18"/>
    </row>
    <row r="47" spans="1:12" s="12" customFormat="1">
      <c r="A47" s="29" t="s">
        <v>40</v>
      </c>
      <c r="B47" s="58">
        <f>1447.7+108.5</f>
        <v>1556.2</v>
      </c>
      <c r="C47" s="35">
        <f>7.06+1490.73+300</f>
        <v>1797.79</v>
      </c>
      <c r="D47" s="35">
        <f>B47-C47</f>
        <v>-241.58999999999992</v>
      </c>
      <c r="E47" s="60">
        <f t="shared" si="5"/>
        <v>-241.58999999999992</v>
      </c>
      <c r="F47" s="35"/>
      <c r="G47" s="104">
        <v>639.71</v>
      </c>
      <c r="K47" s="18"/>
      <c r="L47" s="18"/>
    </row>
    <row r="48" spans="1:12" s="12" customFormat="1">
      <c r="A48" s="29" t="s">
        <v>41</v>
      </c>
      <c r="B48" s="58"/>
      <c r="C48" s="35"/>
      <c r="D48" s="35"/>
      <c r="E48" s="92">
        <f>D48/$J$5</f>
        <v>0</v>
      </c>
      <c r="F48" s="35"/>
      <c r="G48" s="60"/>
      <c r="K48" s="18"/>
      <c r="L48" s="18"/>
    </row>
    <row r="49" spans="1:12" s="12" customFormat="1" ht="13.5" thickBot="1">
      <c r="A49" s="29" t="s">
        <v>124</v>
      </c>
      <c r="B49" s="75"/>
      <c r="C49" s="76"/>
      <c r="D49" s="75"/>
      <c r="E49" s="60">
        <f t="shared" si="5"/>
        <v>0</v>
      </c>
      <c r="F49" s="70"/>
      <c r="G49" s="60">
        <v>0.04</v>
      </c>
      <c r="K49" s="18"/>
      <c r="L49" s="18"/>
    </row>
    <row r="50" spans="1:12" s="12" customFormat="1" ht="13.5" thickBot="1">
      <c r="A50" s="67" t="s">
        <v>91</v>
      </c>
      <c r="B50" s="68">
        <f>SUM(B43:B45,B47)+(B46/$J$4)+(B49/$J$5)</f>
        <v>3573.9292236248289</v>
      </c>
      <c r="C50" s="68">
        <f>SUM(C43:C45,C47)+(C46/$J$4)+(C49/$J$5)</f>
        <v>3827.8175145529467</v>
      </c>
      <c r="D50" s="68"/>
      <c r="E50" s="69">
        <f>SUM(E43:E49)</f>
        <v>-253.88829092811818</v>
      </c>
      <c r="F50" s="68"/>
      <c r="G50" s="69">
        <f>SUM(G43:G49)</f>
        <v>1443.3574406436001</v>
      </c>
      <c r="H50" s="18"/>
      <c r="I50" s="18"/>
      <c r="J50" s="18"/>
      <c r="K50" s="18"/>
      <c r="L50" s="18"/>
    </row>
    <row r="51" spans="1:12" s="12" customFormat="1" ht="13.5" thickBot="1">
      <c r="B51" s="7"/>
      <c r="C51" s="24"/>
      <c r="D51" s="7"/>
      <c r="E51" s="7"/>
      <c r="F51" s="7"/>
      <c r="G51" s="23"/>
      <c r="K51" s="18"/>
      <c r="L51" s="18"/>
    </row>
    <row r="52" spans="1:12" s="12" customFormat="1" ht="32.25" thickBot="1">
      <c r="A52" s="8" t="s">
        <v>89</v>
      </c>
      <c r="B52" s="31" t="s">
        <v>1</v>
      </c>
      <c r="C52" s="34" t="s">
        <v>2</v>
      </c>
      <c r="D52" s="34" t="s">
        <v>80</v>
      </c>
      <c r="E52" s="38" t="s">
        <v>81</v>
      </c>
      <c r="F52" s="34" t="s">
        <v>82</v>
      </c>
      <c r="G52" s="38" t="s">
        <v>83</v>
      </c>
      <c r="H52" s="2"/>
    </row>
    <row r="53" spans="1:12" s="12" customFormat="1">
      <c r="A53" s="29" t="s">
        <v>11</v>
      </c>
      <c r="B53" s="58">
        <f>1225.51+16.47+221.66</f>
        <v>1463.64</v>
      </c>
      <c r="C53" s="35">
        <f>1719.05+16.47+221.66</f>
        <v>1957.18</v>
      </c>
      <c r="D53" s="35">
        <f t="shared" ref="D53:D61" si="6">B53-C53</f>
        <v>-493.53999999999996</v>
      </c>
      <c r="E53" s="48">
        <f>D53</f>
        <v>-493.53999999999996</v>
      </c>
      <c r="F53" s="35"/>
      <c r="G53" s="40">
        <v>10.08</v>
      </c>
      <c r="H53" s="18"/>
      <c r="I53" s="18"/>
      <c r="J53" s="18"/>
      <c r="K53" s="18"/>
      <c r="L53" s="18"/>
    </row>
    <row r="54" spans="1:12" s="12" customFormat="1">
      <c r="A54" s="29" t="s">
        <v>123</v>
      </c>
      <c r="B54" s="73">
        <f>3.73+101.78+73.52</f>
        <v>179.03</v>
      </c>
      <c r="C54" s="74">
        <v>0</v>
      </c>
      <c r="D54" s="74">
        <f t="shared" si="6"/>
        <v>179.03</v>
      </c>
      <c r="E54" s="48">
        <f>D54/$J$4</f>
        <v>117.09725946759109</v>
      </c>
      <c r="F54" s="74">
        <v>308.45999999999998</v>
      </c>
      <c r="G54" s="60">
        <f>F54/$J$4</f>
        <v>201.75289423768723</v>
      </c>
      <c r="H54" s="18"/>
      <c r="I54" s="18"/>
      <c r="J54" s="18"/>
      <c r="K54" s="18"/>
      <c r="L54" s="18"/>
    </row>
    <row r="55" spans="1:12" s="12" customFormat="1">
      <c r="A55" s="29" t="s">
        <v>15</v>
      </c>
      <c r="B55" s="58">
        <f>39.84+825.07</f>
        <v>864.91000000000008</v>
      </c>
      <c r="C55" s="35">
        <f>10.2+882.64</f>
        <v>892.84</v>
      </c>
      <c r="D55" s="35">
        <f t="shared" si="6"/>
        <v>-27.92999999999995</v>
      </c>
      <c r="E55" s="48">
        <f>D55</f>
        <v>-27.92999999999995</v>
      </c>
      <c r="F55" s="35"/>
      <c r="G55" s="40">
        <v>19.73</v>
      </c>
      <c r="H55" s="18"/>
      <c r="I55" s="18"/>
      <c r="J55" s="18"/>
      <c r="K55" s="18"/>
      <c r="L55" s="18"/>
    </row>
    <row r="56" spans="1:12" s="12" customFormat="1">
      <c r="A56" s="29" t="s">
        <v>18</v>
      </c>
      <c r="B56" s="79">
        <f>5034.3+13832.11</f>
        <v>18866.41</v>
      </c>
      <c r="C56" s="80">
        <v>0</v>
      </c>
      <c r="D56" s="80">
        <f t="shared" si="6"/>
        <v>18866.41</v>
      </c>
      <c r="E56" s="48">
        <f>D56/$J$3</f>
        <v>1118.1883916241413</v>
      </c>
      <c r="F56" s="80"/>
      <c r="G56" s="40">
        <f>107.16+90.76</f>
        <v>197.92000000000002</v>
      </c>
      <c r="H56" s="18"/>
      <c r="I56" s="18"/>
      <c r="J56" s="18"/>
      <c r="K56" s="18"/>
      <c r="L56" s="18"/>
    </row>
    <row r="57" spans="1:12" s="12" customFormat="1">
      <c r="A57" s="56" t="s">
        <v>20</v>
      </c>
      <c r="B57" s="57">
        <f>350</f>
        <v>350</v>
      </c>
      <c r="C57" s="35">
        <v>329</v>
      </c>
      <c r="D57" s="35">
        <f t="shared" si="6"/>
        <v>21</v>
      </c>
      <c r="E57" s="48">
        <f>D57</f>
        <v>21</v>
      </c>
      <c r="F57" s="35"/>
      <c r="G57" s="48">
        <v>173</v>
      </c>
      <c r="H57" s="18"/>
      <c r="I57" s="18"/>
      <c r="J57" s="18"/>
      <c r="K57" s="18"/>
      <c r="L57" s="18"/>
    </row>
    <row r="58" spans="1:12" s="12" customFormat="1">
      <c r="A58" s="56" t="s">
        <v>25</v>
      </c>
      <c r="B58" s="82">
        <f>454.67+550.46</f>
        <v>1005.1300000000001</v>
      </c>
      <c r="C58" s="83">
        <v>0</v>
      </c>
      <c r="D58" s="83">
        <f t="shared" si="6"/>
        <v>1005.1300000000001</v>
      </c>
      <c r="E58" s="48">
        <f>D58/$J$5</f>
        <v>894.24377224199293</v>
      </c>
      <c r="F58" s="72"/>
      <c r="G58" s="62">
        <v>75.05</v>
      </c>
      <c r="H58" s="18"/>
      <c r="I58" s="18"/>
      <c r="J58" s="18"/>
      <c r="K58" s="18"/>
      <c r="L58" s="18"/>
    </row>
    <row r="59" spans="1:12" s="12" customFormat="1" ht="12.75" customHeight="1">
      <c r="A59" s="29" t="s">
        <v>28</v>
      </c>
      <c r="B59" s="58">
        <v>230</v>
      </c>
      <c r="C59" s="35">
        <v>0</v>
      </c>
      <c r="D59" s="81">
        <f t="shared" si="6"/>
        <v>230</v>
      </c>
      <c r="E59" s="92">
        <f>D59</f>
        <v>230</v>
      </c>
      <c r="F59" s="81"/>
      <c r="G59" s="40">
        <v>231.03</v>
      </c>
      <c r="H59" s="5"/>
      <c r="I59" s="18"/>
      <c r="J59" s="18"/>
      <c r="K59" s="18"/>
      <c r="L59" s="18"/>
    </row>
    <row r="60" spans="1:12" s="12" customFormat="1" ht="12.75" customHeight="1">
      <c r="A60" s="29" t="s">
        <v>30</v>
      </c>
      <c r="B60" s="58">
        <v>0</v>
      </c>
      <c r="C60" s="35">
        <v>0</v>
      </c>
      <c r="D60" s="81">
        <f t="shared" si="6"/>
        <v>0</v>
      </c>
      <c r="E60" s="92">
        <f>D60</f>
        <v>0</v>
      </c>
      <c r="F60" s="81"/>
      <c r="G60" s="40">
        <v>64.62</v>
      </c>
      <c r="H60" s="5"/>
      <c r="I60" s="18"/>
      <c r="J60" s="18"/>
      <c r="K60" s="18"/>
      <c r="L60" s="18"/>
    </row>
    <row r="61" spans="1:12" s="12" customFormat="1" ht="13.5" thickBot="1">
      <c r="A61" s="29" t="s">
        <v>34</v>
      </c>
      <c r="B61" s="73">
        <f>45.75+26.03</f>
        <v>71.78</v>
      </c>
      <c r="C61" s="73">
        <v>0</v>
      </c>
      <c r="D61" s="74">
        <f t="shared" si="6"/>
        <v>71.78</v>
      </c>
      <c r="E61" s="48">
        <f>D61/$J$4</f>
        <v>46.948786709398917</v>
      </c>
      <c r="F61" s="74">
        <v>308.45999999999998</v>
      </c>
      <c r="G61" s="48">
        <f>F61/$J$4</f>
        <v>201.75289423768723</v>
      </c>
      <c r="H61" s="18"/>
      <c r="I61" s="18"/>
      <c r="J61" s="18"/>
      <c r="K61" s="18"/>
      <c r="L61" s="18"/>
    </row>
    <row r="62" spans="1:12" s="12" customFormat="1" ht="13.5" thickBot="1">
      <c r="A62" s="67" t="s">
        <v>91</v>
      </c>
      <c r="B62" s="68">
        <f>SUM(B53,B55,B57,B59,B60)+(B56/$J$3)+(B58/$J$5)+((B54+B61)/$J$4)</f>
        <v>5085.0282100431241</v>
      </c>
      <c r="C62" s="68">
        <f>SUM(C53:C55,C57,C59,C59:C60)+(C56/$J$3)+(C58/$J$5)+(C61/$J$4)</f>
        <v>3179.02</v>
      </c>
      <c r="D62" s="68">
        <f>SUM(D53,D55,D57,D59,D60)+(D56/$J$3)+(D58/$J$5)+((D54+D61)/$J$4)</f>
        <v>1906.0082100431241</v>
      </c>
      <c r="E62" s="69">
        <f>SUM(E53:E61)</f>
        <v>1906.0082100431243</v>
      </c>
      <c r="F62" s="68"/>
      <c r="G62" s="69">
        <f>SUM(G53:G61)</f>
        <v>1174.9357884753745</v>
      </c>
      <c r="H62" s="18"/>
      <c r="I62" s="18"/>
      <c r="J62" s="18"/>
      <c r="K62" s="18"/>
      <c r="L62" s="18"/>
    </row>
    <row r="63" spans="1:12" s="12" customFormat="1" ht="13.5" thickBot="1">
      <c r="A63" s="77"/>
      <c r="B63" s="78"/>
      <c r="C63" s="78"/>
      <c r="D63" s="78"/>
      <c r="E63" s="78"/>
      <c r="F63" s="78"/>
      <c r="G63" s="78"/>
      <c r="H63" s="18"/>
      <c r="I63" s="18"/>
      <c r="J63" s="18"/>
      <c r="K63" s="18"/>
      <c r="L63" s="18"/>
    </row>
    <row r="64" spans="1:12" ht="34.5" customHeight="1" thickBot="1">
      <c r="A64" s="8" t="s">
        <v>42</v>
      </c>
      <c r="B64" s="31" t="s">
        <v>1</v>
      </c>
      <c r="C64" s="34" t="s">
        <v>2</v>
      </c>
      <c r="D64" s="34" t="s">
        <v>80</v>
      </c>
      <c r="E64" s="38" t="s">
        <v>81</v>
      </c>
      <c r="F64" s="34" t="s">
        <v>82</v>
      </c>
      <c r="G64" s="38" t="s">
        <v>83</v>
      </c>
      <c r="H64" s="18"/>
      <c r="I64" s="18"/>
      <c r="J64" s="18"/>
      <c r="K64" s="18"/>
      <c r="L64" s="18"/>
    </row>
    <row r="65" spans="1:12" ht="19.5" customHeight="1" thickBot="1">
      <c r="A65" s="29" t="s">
        <v>121</v>
      </c>
      <c r="B65" s="70"/>
      <c r="C65" s="71"/>
      <c r="D65" s="83">
        <f>B65-C65</f>
        <v>0</v>
      </c>
      <c r="E65" s="48">
        <f>D65/$J$5</f>
        <v>0</v>
      </c>
      <c r="F65" s="70"/>
      <c r="G65" s="93"/>
    </row>
    <row r="66" spans="1:12" s="12" customFormat="1" ht="13.5" thickBot="1">
      <c r="A66" s="67" t="s">
        <v>91</v>
      </c>
      <c r="B66" s="68">
        <f>B65/J5</f>
        <v>0</v>
      </c>
      <c r="C66" s="68">
        <f>C65</f>
        <v>0</v>
      </c>
      <c r="D66" s="68"/>
      <c r="E66" s="69">
        <f>E65</f>
        <v>0</v>
      </c>
      <c r="F66" s="68"/>
      <c r="G66" s="69">
        <f>G65</f>
        <v>0</v>
      </c>
      <c r="H66" s="18"/>
      <c r="I66" s="18"/>
      <c r="J66" s="18"/>
      <c r="K66" s="18"/>
      <c r="L66" s="18"/>
    </row>
    <row r="67" spans="1:12" ht="19.5" customHeight="1" thickBot="1">
      <c r="A67" s="12"/>
      <c r="B67" s="7"/>
      <c r="C67" s="24"/>
      <c r="D67" s="7"/>
      <c r="E67" s="7"/>
      <c r="F67" s="7"/>
      <c r="G67" s="6"/>
    </row>
    <row r="68" spans="1:12" ht="19.5" customHeight="1" thickBot="1">
      <c r="A68" s="8" t="s">
        <v>100</v>
      </c>
      <c r="B68" s="8" t="s">
        <v>43</v>
      </c>
      <c r="C68" s="6"/>
      <c r="D68" s="6"/>
      <c r="E68" s="6"/>
      <c r="F68" s="6"/>
      <c r="G68" s="6"/>
      <c r="H68" s="18"/>
      <c r="I68" s="18"/>
      <c r="J68" s="18"/>
      <c r="K68" s="18"/>
      <c r="L68" s="18"/>
    </row>
    <row r="69" spans="1:12" ht="30" customHeight="1">
      <c r="A69" s="56" t="s">
        <v>44</v>
      </c>
      <c r="B69" s="57">
        <v>0.27</v>
      </c>
      <c r="C69" s="6"/>
      <c r="D69" s="6"/>
      <c r="E69" s="6"/>
      <c r="F69" s="6"/>
      <c r="G69" s="6"/>
    </row>
    <row r="70" spans="1:12" ht="15.75">
      <c r="A70" s="56" t="s">
        <v>101</v>
      </c>
      <c r="B70" s="57">
        <v>0</v>
      </c>
      <c r="C70" s="6"/>
      <c r="D70" s="6"/>
      <c r="E70" s="6"/>
      <c r="F70" s="6"/>
      <c r="G70" s="6"/>
    </row>
    <row r="71" spans="1:12" ht="15.75">
      <c r="A71" s="56" t="s">
        <v>103</v>
      </c>
      <c r="B71" s="57">
        <v>0</v>
      </c>
      <c r="C71" s="6"/>
      <c r="D71" s="6"/>
      <c r="E71" s="6"/>
      <c r="F71" s="6"/>
      <c r="G71" s="6"/>
    </row>
    <row r="72" spans="1:12" ht="15.75">
      <c r="A72" s="56" t="s">
        <v>102</v>
      </c>
      <c r="B72" s="57">
        <v>32.159999999999997</v>
      </c>
      <c r="C72" s="6"/>
      <c r="D72" s="6"/>
      <c r="E72" s="6"/>
      <c r="F72" s="6"/>
      <c r="G72" s="6"/>
    </row>
    <row r="73" spans="1:12" ht="15.75">
      <c r="A73" s="29" t="s">
        <v>111</v>
      </c>
      <c r="B73" s="57">
        <v>0</v>
      </c>
      <c r="C73" s="6"/>
      <c r="D73" s="6"/>
      <c r="E73" s="6"/>
      <c r="F73" s="6"/>
      <c r="G73" s="6"/>
    </row>
    <row r="74" spans="1:12" ht="15.75">
      <c r="A74" s="29" t="s">
        <v>112</v>
      </c>
      <c r="B74" s="57">
        <v>0</v>
      </c>
      <c r="C74" s="6"/>
      <c r="D74" s="6"/>
      <c r="E74" s="6"/>
      <c r="F74" s="6"/>
      <c r="G74" s="6"/>
    </row>
    <row r="75" spans="1:12" ht="15.75">
      <c r="A75" s="29" t="s">
        <v>113</v>
      </c>
      <c r="B75" s="57">
        <v>12.4</v>
      </c>
      <c r="C75" s="6"/>
      <c r="D75" s="6"/>
      <c r="E75" s="6"/>
      <c r="F75" s="6"/>
      <c r="G75" s="6"/>
    </row>
    <row r="76" spans="1:12" ht="15.75">
      <c r="A76" s="29" t="s">
        <v>114</v>
      </c>
      <c r="B76" s="57"/>
      <c r="C76" s="6"/>
      <c r="D76" s="6"/>
      <c r="E76" s="6"/>
      <c r="F76" s="6"/>
      <c r="G76" s="6"/>
    </row>
    <row r="77" spans="1:12" ht="15.75">
      <c r="A77" s="94" t="s">
        <v>45</v>
      </c>
      <c r="B77" s="57"/>
      <c r="C77" s="6"/>
      <c r="D77" s="6"/>
      <c r="E77" s="6"/>
      <c r="F77" s="6"/>
      <c r="G77" s="6"/>
    </row>
    <row r="78" spans="1:12" ht="15.75">
      <c r="A78" s="94" t="s">
        <v>46</v>
      </c>
      <c r="B78" s="57">
        <v>0</v>
      </c>
      <c r="C78" s="6"/>
      <c r="D78" s="6"/>
      <c r="E78" s="6"/>
      <c r="F78" s="6"/>
      <c r="G78" s="6"/>
    </row>
    <row r="79" spans="1:12" ht="15.75">
      <c r="A79" s="56" t="s">
        <v>104</v>
      </c>
      <c r="B79" s="57"/>
      <c r="C79" s="9" t="s">
        <v>105</v>
      </c>
      <c r="D79" s="6"/>
      <c r="E79" s="6"/>
      <c r="F79" s="6"/>
      <c r="G79" s="6"/>
    </row>
    <row r="80" spans="1:12" ht="33" customHeight="1">
      <c r="A80" s="56" t="s">
        <v>47</v>
      </c>
      <c r="B80" s="57">
        <v>0</v>
      </c>
      <c r="C80" s="6"/>
      <c r="D80" s="6"/>
      <c r="E80" s="6"/>
      <c r="F80" s="6"/>
      <c r="G80" s="6"/>
      <c r="J80" s="18"/>
      <c r="K80" s="18"/>
      <c r="L80" s="18"/>
    </row>
    <row r="81" spans="1:12" ht="32.25" customHeight="1">
      <c r="A81" s="56" t="s">
        <v>48</v>
      </c>
      <c r="B81" s="57"/>
      <c r="C81" s="6"/>
      <c r="D81" s="6"/>
      <c r="E81" s="6"/>
      <c r="F81" s="6"/>
      <c r="G81" s="6"/>
    </row>
    <row r="82" spans="1:12" ht="31.5" customHeight="1">
      <c r="A82" s="56" t="s">
        <v>49</v>
      </c>
      <c r="B82" s="57"/>
      <c r="C82" s="6"/>
      <c r="D82" s="6"/>
      <c r="E82" s="6"/>
      <c r="F82" s="6"/>
      <c r="G82" s="6"/>
    </row>
    <row r="83" spans="1:12" s="12" customFormat="1" ht="15.75">
      <c r="A83" s="56" t="s">
        <v>106</v>
      </c>
      <c r="B83" s="57"/>
      <c r="C83" s="9" t="s">
        <v>105</v>
      </c>
      <c r="D83" s="6"/>
      <c r="E83" s="6"/>
      <c r="F83" s="6"/>
      <c r="G83" s="6"/>
      <c r="H83" s="15"/>
      <c r="I83" s="15"/>
      <c r="J83" s="18"/>
      <c r="K83" s="18"/>
      <c r="L83" s="18"/>
    </row>
    <row r="84" spans="1:12" s="12" customFormat="1" ht="15.75">
      <c r="A84" s="56" t="s">
        <v>107</v>
      </c>
      <c r="B84" s="57">
        <v>0</v>
      </c>
      <c r="C84" s="6"/>
      <c r="D84" s="6"/>
      <c r="E84" s="6"/>
      <c r="F84" s="6"/>
      <c r="G84" s="6"/>
      <c r="H84" s="15"/>
      <c r="I84" s="15"/>
      <c r="J84" s="18"/>
      <c r="K84" s="18"/>
      <c r="L84" s="18"/>
    </row>
    <row r="85" spans="1:12" s="12" customFormat="1" ht="15.75">
      <c r="A85" s="94" t="s">
        <v>50</v>
      </c>
      <c r="B85" s="57"/>
      <c r="C85" s="6"/>
      <c r="D85" s="6"/>
      <c r="E85" s="6"/>
      <c r="F85" s="6"/>
      <c r="G85" s="6"/>
      <c r="H85" s="15"/>
      <c r="I85" s="15"/>
      <c r="J85" s="18"/>
      <c r="K85" s="18"/>
      <c r="L85" s="18"/>
    </row>
    <row r="86" spans="1:12" ht="15.75">
      <c r="A86" s="29" t="s">
        <v>51</v>
      </c>
      <c r="B86" s="57"/>
      <c r="C86" s="6"/>
      <c r="D86" s="6"/>
      <c r="E86" s="6"/>
      <c r="F86" s="6"/>
      <c r="G86" s="6"/>
    </row>
    <row r="87" spans="1:12" ht="15.75">
      <c r="A87" s="94" t="s">
        <v>52</v>
      </c>
      <c r="B87" s="57">
        <v>0</v>
      </c>
      <c r="C87" s="6"/>
      <c r="D87" s="6"/>
      <c r="E87" s="6"/>
      <c r="F87" s="6"/>
      <c r="G87" s="6"/>
    </row>
    <row r="88" spans="1:12" ht="15.75">
      <c r="A88" s="94" t="s">
        <v>53</v>
      </c>
      <c r="B88" s="57">
        <v>0</v>
      </c>
      <c r="C88" s="6"/>
      <c r="D88" s="6"/>
      <c r="E88" s="6"/>
      <c r="F88" s="6"/>
      <c r="G88" s="6"/>
    </row>
    <row r="89" spans="1:12" s="12" customFormat="1" ht="15.75">
      <c r="A89" s="94" t="s">
        <v>54</v>
      </c>
      <c r="B89" s="57">
        <v>0</v>
      </c>
      <c r="C89" s="6"/>
      <c r="D89" s="6"/>
      <c r="E89" s="6"/>
      <c r="F89" s="6"/>
      <c r="G89" s="6"/>
      <c r="H89" s="18"/>
      <c r="I89" s="18"/>
      <c r="J89" s="15"/>
      <c r="K89" s="15"/>
      <c r="L89" s="15"/>
    </row>
    <row r="90" spans="1:12" ht="15.75">
      <c r="A90" s="94" t="s">
        <v>55</v>
      </c>
      <c r="B90" s="57">
        <v>0</v>
      </c>
      <c r="C90" s="6"/>
      <c r="D90" s="6"/>
      <c r="E90" s="6"/>
      <c r="F90" s="6"/>
      <c r="G90" s="6"/>
      <c r="H90" s="18"/>
      <c r="I90" s="18"/>
    </row>
    <row r="91" spans="1:12" ht="15.75">
      <c r="A91" s="94" t="s">
        <v>56</v>
      </c>
      <c r="B91" s="57">
        <v>13.33</v>
      </c>
      <c r="C91" s="6"/>
      <c r="D91" s="6"/>
      <c r="E91" s="6"/>
      <c r="F91" s="6"/>
      <c r="G91" s="6"/>
    </row>
    <row r="92" spans="1:12" ht="15.75">
      <c r="A92" s="94" t="s">
        <v>57</v>
      </c>
      <c r="B92" s="57">
        <v>0</v>
      </c>
      <c r="C92" s="6"/>
      <c r="D92" s="6"/>
      <c r="E92" s="6"/>
      <c r="F92" s="6"/>
      <c r="G92" s="6"/>
    </row>
    <row r="93" spans="1:12" ht="15.75">
      <c r="A93" s="94" t="s">
        <v>58</v>
      </c>
      <c r="B93" s="57">
        <v>0</v>
      </c>
      <c r="C93" s="6"/>
      <c r="D93" s="6"/>
      <c r="E93" s="6"/>
      <c r="F93" s="6"/>
      <c r="G93" s="6"/>
    </row>
    <row r="94" spans="1:12">
      <c r="A94" s="94" t="s">
        <v>59</v>
      </c>
      <c r="B94" s="57">
        <v>0</v>
      </c>
      <c r="C94" s="25"/>
      <c r="D94" s="26"/>
      <c r="E94" s="26"/>
      <c r="F94" s="26"/>
    </row>
    <row r="95" spans="1:12">
      <c r="A95" s="94" t="s">
        <v>60</v>
      </c>
      <c r="B95" s="57">
        <v>0</v>
      </c>
      <c r="C95" s="25"/>
      <c r="D95" s="26"/>
      <c r="E95" s="26"/>
      <c r="F95" s="26"/>
    </row>
    <row r="96" spans="1:12">
      <c r="A96" s="94" t="s">
        <v>61</v>
      </c>
      <c r="B96" s="57">
        <v>0</v>
      </c>
      <c r="C96" s="25"/>
      <c r="D96" s="26"/>
      <c r="E96" s="26"/>
      <c r="F96" s="26"/>
    </row>
    <row r="97" spans="1:6">
      <c r="A97" s="94" t="s">
        <v>62</v>
      </c>
      <c r="B97" s="57"/>
      <c r="C97" s="25"/>
      <c r="D97" s="26"/>
      <c r="E97" s="26"/>
      <c r="F97" s="26"/>
    </row>
    <row r="98" spans="1:6">
      <c r="A98" s="94" t="s">
        <v>63</v>
      </c>
      <c r="B98" s="57"/>
      <c r="C98" s="25"/>
      <c r="D98" s="26"/>
      <c r="E98" s="26"/>
      <c r="F98" s="26"/>
    </row>
    <row r="99" spans="1:6">
      <c r="A99" s="94" t="s">
        <v>64</v>
      </c>
      <c r="B99" s="57"/>
      <c r="C99" s="25"/>
      <c r="D99" s="26"/>
      <c r="E99" s="26"/>
      <c r="F99" s="26"/>
    </row>
    <row r="100" spans="1:6">
      <c r="A100" s="94" t="s">
        <v>118</v>
      </c>
      <c r="B100" s="57"/>
      <c r="C100" s="25"/>
      <c r="D100" s="26"/>
      <c r="E100" s="26"/>
      <c r="F100" s="26"/>
    </row>
    <row r="101" spans="1:6">
      <c r="A101" s="94" t="s">
        <v>119</v>
      </c>
      <c r="B101" s="57">
        <v>0</v>
      </c>
      <c r="C101" s="25"/>
      <c r="D101" s="26"/>
      <c r="E101" s="26"/>
      <c r="F101" s="26"/>
    </row>
    <row r="102" spans="1:6">
      <c r="A102" s="94" t="s">
        <v>65</v>
      </c>
      <c r="B102" s="57"/>
      <c r="C102" s="25"/>
      <c r="D102" s="26"/>
      <c r="E102" s="26"/>
      <c r="F102" s="26"/>
    </row>
    <row r="103" spans="1:6">
      <c r="A103" s="94" t="s">
        <v>66</v>
      </c>
      <c r="B103" s="57"/>
      <c r="C103" s="25"/>
      <c r="D103" s="26"/>
      <c r="E103" s="26"/>
      <c r="F103" s="26"/>
    </row>
    <row r="104" spans="1:6">
      <c r="A104" s="94" t="s">
        <v>108</v>
      </c>
      <c r="B104" s="57"/>
      <c r="C104" s="25"/>
      <c r="D104" s="26"/>
      <c r="E104" s="26"/>
      <c r="F104" s="26"/>
    </row>
    <row r="105" spans="1:6">
      <c r="A105" s="94" t="s">
        <v>67</v>
      </c>
      <c r="B105" s="57"/>
      <c r="C105" s="25"/>
      <c r="D105" s="26"/>
      <c r="E105" s="26"/>
      <c r="F105" s="26"/>
    </row>
    <row r="106" spans="1:6">
      <c r="A106" s="94" t="s">
        <v>68</v>
      </c>
      <c r="B106" s="57"/>
      <c r="C106" s="25"/>
      <c r="D106" s="26"/>
      <c r="E106" s="26"/>
      <c r="F106" s="26"/>
    </row>
    <row r="107" spans="1:6">
      <c r="A107" s="94" t="s">
        <v>109</v>
      </c>
      <c r="B107" s="57">
        <v>0</v>
      </c>
      <c r="C107" s="25"/>
      <c r="D107" s="26"/>
      <c r="E107" s="26"/>
      <c r="F107" s="26"/>
    </row>
    <row r="108" spans="1:6">
      <c r="A108" s="94" t="s">
        <v>110</v>
      </c>
      <c r="B108" s="57">
        <v>16.670000000000002</v>
      </c>
      <c r="C108" s="25"/>
      <c r="D108" s="26"/>
      <c r="E108" s="26"/>
      <c r="F108" s="26"/>
    </row>
    <row r="109" spans="1:6">
      <c r="A109" s="94" t="s">
        <v>69</v>
      </c>
      <c r="B109" s="57">
        <v>0</v>
      </c>
      <c r="C109" s="25"/>
      <c r="D109" s="26"/>
      <c r="E109" s="26"/>
      <c r="F109" s="26"/>
    </row>
    <row r="110" spans="1:6">
      <c r="A110" s="94" t="s">
        <v>117</v>
      </c>
      <c r="B110" s="57">
        <v>0</v>
      </c>
      <c r="C110" s="25"/>
      <c r="D110" s="26"/>
      <c r="E110" s="26"/>
      <c r="F110" s="26"/>
    </row>
    <row r="111" spans="1:6" ht="25.5">
      <c r="A111" s="94" t="s">
        <v>115</v>
      </c>
      <c r="B111" s="57"/>
      <c r="C111" s="25"/>
      <c r="D111" s="26"/>
      <c r="E111" s="26"/>
      <c r="F111" s="26"/>
    </row>
    <row r="112" spans="1:6" ht="25.5">
      <c r="A112" s="94" t="s">
        <v>116</v>
      </c>
      <c r="B112" s="57"/>
      <c r="C112" s="25"/>
      <c r="D112" s="26"/>
      <c r="E112" s="26"/>
      <c r="F112" s="26"/>
    </row>
    <row r="113" spans="1:12">
      <c r="A113" s="95" t="s">
        <v>70</v>
      </c>
      <c r="B113" s="57"/>
      <c r="C113" s="25"/>
      <c r="D113" s="26"/>
      <c r="E113" s="26"/>
      <c r="F113" s="26"/>
    </row>
    <row r="114" spans="1:12">
      <c r="A114" s="95" t="s">
        <v>71</v>
      </c>
      <c r="B114" s="57"/>
      <c r="C114" s="25"/>
      <c r="D114" s="26"/>
      <c r="E114" s="26"/>
      <c r="F114" s="26"/>
    </row>
    <row r="115" spans="1:12">
      <c r="A115" s="95" t="s">
        <v>72</v>
      </c>
      <c r="B115" s="57"/>
      <c r="C115" s="25"/>
      <c r="D115" s="26"/>
      <c r="E115" s="26"/>
      <c r="F115" s="26"/>
    </row>
    <row r="116" spans="1:12">
      <c r="A116" s="95" t="s">
        <v>73</v>
      </c>
      <c r="B116" s="57"/>
      <c r="C116" s="25"/>
      <c r="D116" s="26"/>
      <c r="E116" s="26"/>
      <c r="F116" s="26"/>
    </row>
    <row r="117" spans="1:12">
      <c r="A117" s="95" t="s">
        <v>74</v>
      </c>
      <c r="B117" s="57"/>
      <c r="C117" s="25"/>
      <c r="D117" s="26"/>
      <c r="E117" s="26"/>
      <c r="F117" s="26"/>
    </row>
    <row r="118" spans="1:12">
      <c r="A118" s="95" t="s">
        <v>75</v>
      </c>
      <c r="B118" s="57">
        <v>7.0000000000000007E-2</v>
      </c>
      <c r="C118" s="25"/>
      <c r="D118" s="26"/>
      <c r="E118" s="26"/>
      <c r="F118" s="26"/>
    </row>
    <row r="119" spans="1:12">
      <c r="A119" s="95" t="s">
        <v>76</v>
      </c>
      <c r="B119" s="57"/>
      <c r="C119" s="25"/>
      <c r="D119" s="26"/>
      <c r="E119" s="26"/>
      <c r="F119" s="26"/>
    </row>
    <row r="120" spans="1:12" ht="13.5" thickBot="1">
      <c r="A120" s="96" t="s">
        <v>77</v>
      </c>
      <c r="B120" s="33"/>
      <c r="C120" s="25"/>
      <c r="D120" s="26"/>
      <c r="E120" s="26"/>
      <c r="F120" s="26"/>
    </row>
    <row r="121" spans="1:12" s="12" customFormat="1" ht="16.5" thickBot="1">
      <c r="A121" s="67" t="s">
        <v>120</v>
      </c>
      <c r="B121" s="68">
        <f>SUM(B69:B120)</f>
        <v>74.899999999999991</v>
      </c>
      <c r="C121" s="10"/>
      <c r="D121" s="11"/>
      <c r="E121" s="11"/>
      <c r="F121" s="11"/>
      <c r="G121" s="11"/>
      <c r="H121" s="18"/>
      <c r="I121" s="18"/>
      <c r="J121" s="18"/>
      <c r="K121" s="18"/>
      <c r="L121" s="18"/>
    </row>
    <row r="122" spans="1:12" s="12" customFormat="1" ht="15.75">
      <c r="A122" s="77"/>
      <c r="B122" s="78"/>
      <c r="C122" s="10"/>
      <c r="D122" s="11"/>
      <c r="E122" s="11"/>
      <c r="F122" s="11"/>
      <c r="G122" s="11"/>
      <c r="H122" s="18"/>
      <c r="I122" s="18"/>
      <c r="J122" s="18"/>
      <c r="K122" s="18"/>
      <c r="L122" s="18"/>
    </row>
    <row r="123" spans="1:12" s="12" customFormat="1" ht="16.5" thickBot="1">
      <c r="A123" s="77"/>
      <c r="B123" s="78"/>
      <c r="C123" s="10"/>
      <c r="D123" s="11"/>
      <c r="E123" s="11"/>
      <c r="F123" s="11"/>
      <c r="G123" s="11"/>
      <c r="H123" s="18"/>
      <c r="I123" s="18"/>
      <c r="J123" s="18"/>
      <c r="K123" s="18"/>
      <c r="L123" s="18"/>
    </row>
    <row r="124" spans="1:12" s="12" customFormat="1" ht="15.75">
      <c r="A124" s="97" t="s">
        <v>78</v>
      </c>
      <c r="B124" s="106">
        <f>SUM(B5,B11,B16,B40,B50,B62,B66)</f>
        <v>10810.717433667953</v>
      </c>
      <c r="C124" s="11"/>
      <c r="D124" s="11"/>
      <c r="E124" s="11"/>
      <c r="F124" s="11"/>
      <c r="H124" s="18"/>
      <c r="I124" s="18"/>
      <c r="J124" s="18"/>
      <c r="K124" s="18"/>
      <c r="L124" s="18"/>
    </row>
    <row r="125" spans="1:12" ht="15.75">
      <c r="A125" s="98" t="s">
        <v>79</v>
      </c>
      <c r="B125" s="107">
        <f>SUM(G5,G11,G16,G40,G50,G62,G66)</f>
        <v>3195.9732291189744</v>
      </c>
      <c r="C125" s="25"/>
      <c r="D125" s="26"/>
      <c r="E125" s="26"/>
      <c r="F125" s="26"/>
    </row>
    <row r="126" spans="1:12" ht="15.75">
      <c r="A126" s="98" t="s">
        <v>94</v>
      </c>
      <c r="B126" s="108">
        <f>B121</f>
        <v>74.899999999999991</v>
      </c>
      <c r="C126" s="25"/>
      <c r="D126" s="26"/>
      <c r="E126" s="26"/>
      <c r="F126" s="26"/>
    </row>
    <row r="127" spans="1:12" ht="16.5" thickBot="1">
      <c r="A127" s="99" t="s">
        <v>125</v>
      </c>
      <c r="B127" s="109">
        <f>SUM(B124:B126)</f>
        <v>14081.590662786926</v>
      </c>
      <c r="C127" s="25"/>
      <c r="D127" s="26"/>
      <c r="E127" s="26"/>
      <c r="F127" s="26"/>
    </row>
    <row r="128" spans="1:12">
      <c r="B128" s="25"/>
      <c r="C128" s="25"/>
      <c r="D128" s="26"/>
      <c r="E128" s="26"/>
      <c r="F128" s="26"/>
    </row>
    <row r="129" spans="1:12">
      <c r="B129" s="25"/>
      <c r="C129" s="25"/>
      <c r="D129" s="25"/>
      <c r="E129" s="25"/>
      <c r="F129" s="25"/>
    </row>
    <row r="130" spans="1:12">
      <c r="B130" s="25"/>
      <c r="C130" s="25"/>
      <c r="D130" s="25"/>
      <c r="E130" s="25"/>
      <c r="F130" s="25"/>
    </row>
    <row r="131" spans="1:12">
      <c r="B131" s="25"/>
      <c r="C131" s="25"/>
      <c r="D131" s="25"/>
      <c r="E131" s="25"/>
      <c r="F131" s="25"/>
    </row>
    <row r="132" spans="1:12">
      <c r="B132" s="25"/>
      <c r="C132" s="25"/>
      <c r="D132" s="25"/>
      <c r="E132" s="25"/>
      <c r="F132" s="25"/>
    </row>
    <row r="133" spans="1:12" s="25" customFormat="1">
      <c r="A133" s="15"/>
      <c r="G133" s="16"/>
      <c r="H133" s="15"/>
      <c r="I133" s="15"/>
      <c r="J133" s="15"/>
      <c r="K133" s="15"/>
      <c r="L133" s="15"/>
    </row>
    <row r="134" spans="1:12" s="25" customFormat="1">
      <c r="A134" s="15"/>
      <c r="G134" s="16"/>
      <c r="H134" s="15"/>
      <c r="I134" s="15"/>
      <c r="J134" s="15"/>
      <c r="K134" s="15"/>
      <c r="L134" s="15"/>
    </row>
    <row r="135" spans="1:12">
      <c r="B135" s="25"/>
    </row>
  </sheetData>
  <mergeCells count="1"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2"/>
  <sheetViews>
    <sheetView showGridLines="0" topLeftCell="A34" workbookViewId="0">
      <selection activeCell="B139" sqref="B139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126</v>
      </c>
      <c r="J1" s="122"/>
    </row>
    <row r="2" spans="1:12">
      <c r="A2" s="28" t="s">
        <v>3</v>
      </c>
      <c r="B2" s="37">
        <v>1892.9</v>
      </c>
      <c r="C2" s="37">
        <v>1817</v>
      </c>
      <c r="D2" s="50"/>
      <c r="E2" s="47">
        <f>B2-C2</f>
        <v>75.900000000000091</v>
      </c>
      <c r="F2" s="41"/>
      <c r="G2" s="39">
        <v>44.92</v>
      </c>
      <c r="I2" s="84"/>
      <c r="J2" s="85"/>
    </row>
    <row r="3" spans="1:12" s="12" customFormat="1">
      <c r="A3" s="29" t="s">
        <v>36</v>
      </c>
      <c r="B3" s="32">
        <f>562.88+3824.18</f>
        <v>4387.0599999999995</v>
      </c>
      <c r="C3" s="32">
        <f>534.98+3824.18</f>
        <v>4359.16</v>
      </c>
      <c r="D3" s="29"/>
      <c r="E3" s="48">
        <f>B3-C3</f>
        <v>27.899999999999636</v>
      </c>
      <c r="F3" s="42"/>
      <c r="G3" s="111">
        <v>592.70000000000005</v>
      </c>
      <c r="H3" s="18"/>
      <c r="I3" s="86" t="s">
        <v>97</v>
      </c>
      <c r="J3" s="87">
        <v>16.5124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6">
        <v>206.46</v>
      </c>
      <c r="H4" s="18"/>
      <c r="I4" s="88" t="s">
        <v>98</v>
      </c>
      <c r="J4" s="89">
        <v>1.4774</v>
      </c>
      <c r="K4" s="18"/>
      <c r="L4" s="18"/>
    </row>
    <row r="5" spans="1:12" s="12" customFormat="1" ht="13.5" thickBot="1">
      <c r="A5" s="67" t="s">
        <v>91</v>
      </c>
      <c r="B5" s="68">
        <f>SUM(B2:B4)</f>
        <v>6279.9599999999991</v>
      </c>
      <c r="C5" s="68">
        <f t="shared" ref="C5:G5" si="0">SUM(C2:C4)</f>
        <v>6176.16</v>
      </c>
      <c r="D5" s="68"/>
      <c r="E5" s="69">
        <f t="shared" si="0"/>
        <v>103.79999999999973</v>
      </c>
      <c r="F5" s="68"/>
      <c r="G5" s="69">
        <f t="shared" si="0"/>
        <v>844.08</v>
      </c>
      <c r="H5" s="18"/>
      <c r="I5" s="90" t="s">
        <v>99</v>
      </c>
      <c r="J5" s="91">
        <v>1.0759000000000001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>
        <v>56.84</v>
      </c>
    </row>
    <row r="9" spans="1:12" s="12" customFormat="1">
      <c r="A9" s="29" t="s">
        <v>12</v>
      </c>
      <c r="B9" s="32"/>
      <c r="C9" s="32"/>
      <c r="D9" s="29"/>
      <c r="E9" s="48">
        <f>B9-C9</f>
        <v>0</v>
      </c>
      <c r="F9" s="42"/>
      <c r="G9" s="43">
        <v>15.05</v>
      </c>
      <c r="H9" s="18"/>
      <c r="I9" s="18"/>
      <c r="J9" s="18"/>
      <c r="K9" s="18"/>
      <c r="L9" s="18"/>
    </row>
    <row r="10" spans="1:12" s="12" customFormat="1" ht="13.5" thickBot="1">
      <c r="A10" s="30" t="s">
        <v>85</v>
      </c>
      <c r="B10" s="44"/>
      <c r="C10" s="44"/>
      <c r="D10" s="51"/>
      <c r="E10" s="49">
        <f>B10-C10</f>
        <v>0</v>
      </c>
      <c r="F10" s="45"/>
      <c r="G10" s="46">
        <v>36.18</v>
      </c>
      <c r="H10" s="18"/>
      <c r="I10" s="18"/>
      <c r="J10" s="18"/>
      <c r="K10" s="18"/>
      <c r="L10" s="18"/>
    </row>
    <row r="11" spans="1:12" s="12" customFormat="1" ht="13.5" thickBot="1">
      <c r="A11" s="67" t="s">
        <v>91</v>
      </c>
      <c r="B11" s="68">
        <f>SUM(B8:B10)</f>
        <v>0</v>
      </c>
      <c r="C11" s="68">
        <f>SUM(C8:C10)</f>
        <v>0</v>
      </c>
      <c r="D11" s="68"/>
      <c r="E11" s="69">
        <f t="shared" ref="E11" si="1">SUM(E8:E10)</f>
        <v>0</v>
      </c>
      <c r="F11" s="68"/>
      <c r="G11" s="69">
        <f t="shared" ref="G11" si="2">SUM(G8:G10)</f>
        <v>108.07</v>
      </c>
      <c r="H11" s="18"/>
      <c r="I11" s="18"/>
      <c r="J11" s="18"/>
      <c r="K11" s="18"/>
      <c r="L11" s="18"/>
    </row>
    <row r="12" spans="1:12" s="12" customFormat="1" ht="16.5" thickBot="1">
      <c r="A12" s="21"/>
      <c r="B12" s="13"/>
      <c r="C12" s="3"/>
      <c r="D12" s="3"/>
      <c r="E12" s="3"/>
      <c r="F12" s="3"/>
      <c r="G12" s="14"/>
      <c r="H12" s="2"/>
    </row>
    <row r="13" spans="1:12" ht="32.25" thickBot="1">
      <c r="A13" s="27" t="s">
        <v>86</v>
      </c>
      <c r="B13" s="31" t="s">
        <v>1</v>
      </c>
      <c r="C13" s="34" t="s">
        <v>2</v>
      </c>
      <c r="D13" s="34" t="s">
        <v>80</v>
      </c>
      <c r="E13" s="38" t="s">
        <v>81</v>
      </c>
      <c r="F13" s="34" t="s">
        <v>82</v>
      </c>
      <c r="G13" s="38" t="s">
        <v>83</v>
      </c>
      <c r="H13" s="1"/>
    </row>
    <row r="14" spans="1:12" s="12" customFormat="1">
      <c r="A14" s="28" t="s">
        <v>27</v>
      </c>
      <c r="B14" s="37"/>
      <c r="C14" s="37"/>
      <c r="D14" s="50"/>
      <c r="E14" s="47">
        <f>B14-C14</f>
        <v>0</v>
      </c>
      <c r="F14" s="41"/>
      <c r="G14" s="39">
        <v>4.67</v>
      </c>
      <c r="H14" s="18"/>
      <c r="I14" s="18"/>
      <c r="J14" s="18"/>
      <c r="K14" s="18"/>
      <c r="L14" s="18"/>
    </row>
    <row r="15" spans="1:12" s="12" customFormat="1" ht="13.5" thickBot="1">
      <c r="A15" s="51" t="s">
        <v>29</v>
      </c>
      <c r="B15" s="52"/>
      <c r="C15" s="52"/>
      <c r="D15" s="51"/>
      <c r="E15" s="49">
        <f>B15-C15</f>
        <v>0</v>
      </c>
      <c r="F15" s="45"/>
      <c r="G15" s="53">
        <v>9.02</v>
      </c>
      <c r="H15" s="18"/>
      <c r="I15" s="18"/>
      <c r="J15" s="18"/>
      <c r="K15" s="18"/>
      <c r="L15" s="18"/>
    </row>
    <row r="16" spans="1:12" s="12" customFormat="1" ht="13.5" thickBot="1">
      <c r="A16" s="67" t="s">
        <v>91</v>
      </c>
      <c r="B16" s="68">
        <f>SUM(B14:B15)</f>
        <v>0</v>
      </c>
      <c r="C16" s="68">
        <f>SUM(C14:C15)</f>
        <v>0</v>
      </c>
      <c r="D16" s="68"/>
      <c r="E16" s="69">
        <f>SUM(E14:E15)</f>
        <v>0</v>
      </c>
      <c r="F16" s="68"/>
      <c r="G16" s="69">
        <f>SUM(G14:G15)</f>
        <v>13.69</v>
      </c>
      <c r="H16" s="18"/>
      <c r="I16" s="18"/>
      <c r="J16" s="18"/>
      <c r="K16" s="18"/>
      <c r="L16" s="18"/>
    </row>
    <row r="17" spans="1:12" s="12" customFormat="1" ht="13.5" thickBot="1">
      <c r="A17" s="19"/>
      <c r="B17" s="4"/>
      <c r="C17" s="4"/>
      <c r="D17" s="17"/>
      <c r="E17" s="17"/>
      <c r="F17" s="17"/>
      <c r="G17" s="20"/>
      <c r="H17" s="18"/>
      <c r="I17" s="18"/>
      <c r="J17" s="18"/>
      <c r="K17" s="18"/>
      <c r="L17" s="18"/>
    </row>
    <row r="18" spans="1:12" ht="32.25" thickBot="1">
      <c r="A18" s="54" t="s">
        <v>87</v>
      </c>
      <c r="B18" s="31" t="s">
        <v>1</v>
      </c>
      <c r="C18" s="34" t="s">
        <v>2</v>
      </c>
      <c r="D18" s="34" t="s">
        <v>80</v>
      </c>
      <c r="E18" s="38" t="s">
        <v>81</v>
      </c>
      <c r="F18" s="34" t="s">
        <v>82</v>
      </c>
      <c r="G18" s="38" t="s">
        <v>83</v>
      </c>
      <c r="H18" s="22"/>
    </row>
    <row r="19" spans="1:12" s="12" customFormat="1">
      <c r="A19" s="55" t="s">
        <v>88</v>
      </c>
      <c r="B19" s="57"/>
      <c r="C19" s="35"/>
      <c r="D19" s="35">
        <f>B19-C19</f>
        <v>0</v>
      </c>
      <c r="E19" s="48">
        <f>B19-C19</f>
        <v>0</v>
      </c>
      <c r="F19" s="35"/>
      <c r="G19" s="62">
        <v>1.94</v>
      </c>
      <c r="H19" s="18"/>
      <c r="I19" s="18"/>
      <c r="J19" s="18"/>
      <c r="K19" s="18"/>
      <c r="L19" s="18"/>
    </row>
    <row r="20" spans="1:12" s="12" customFormat="1">
      <c r="A20" s="56" t="s">
        <v>5</v>
      </c>
      <c r="B20" s="57"/>
      <c r="C20" s="35"/>
      <c r="D20" s="35">
        <f t="shared" ref="D20:D39" si="3">B20-C20</f>
        <v>0</v>
      </c>
      <c r="E20" s="60">
        <f>B20-C20</f>
        <v>0</v>
      </c>
      <c r="F20" s="35"/>
      <c r="G20" s="62">
        <v>132.63</v>
      </c>
      <c r="H20" s="18"/>
      <c r="I20" s="18"/>
      <c r="J20" s="18"/>
      <c r="K20" s="18"/>
      <c r="L20" s="18"/>
    </row>
    <row r="21" spans="1:12" s="12" customFormat="1" ht="13.5" customHeight="1">
      <c r="A21" s="29" t="s">
        <v>6</v>
      </c>
      <c r="B21" s="58"/>
      <c r="C21" s="35"/>
      <c r="D21" s="35">
        <f t="shared" si="3"/>
        <v>0</v>
      </c>
      <c r="E21" s="60">
        <f t="shared" ref="E21:E39" si="4">B21-C21</f>
        <v>0</v>
      </c>
      <c r="F21" s="35"/>
      <c r="G21" s="40">
        <v>12.22</v>
      </c>
      <c r="H21" s="18"/>
      <c r="I21" s="18"/>
      <c r="J21" s="18"/>
      <c r="K21" s="18"/>
      <c r="L21" s="18"/>
    </row>
    <row r="22" spans="1:12" s="12" customFormat="1">
      <c r="A22" s="29" t="s">
        <v>7</v>
      </c>
      <c r="B22" s="58"/>
      <c r="C22" s="35"/>
      <c r="D22" s="35">
        <f t="shared" si="3"/>
        <v>0</v>
      </c>
      <c r="E22" s="60">
        <f t="shared" si="4"/>
        <v>0</v>
      </c>
      <c r="F22" s="35"/>
      <c r="G22" s="40">
        <v>0</v>
      </c>
      <c r="H22" s="18"/>
      <c r="I22" s="18"/>
      <c r="J22" s="18"/>
      <c r="K22" s="18"/>
      <c r="L22" s="18"/>
    </row>
    <row r="23" spans="1:12" s="12" customFormat="1">
      <c r="A23" s="29" t="s">
        <v>8</v>
      </c>
      <c r="B23" s="58">
        <v>77.81</v>
      </c>
      <c r="C23" s="35">
        <v>0</v>
      </c>
      <c r="D23" s="35">
        <f>B23-C23</f>
        <v>77.81</v>
      </c>
      <c r="E23" s="60">
        <f t="shared" si="4"/>
        <v>77.81</v>
      </c>
      <c r="F23" s="35"/>
      <c r="G23" s="40">
        <v>202.29</v>
      </c>
      <c r="H23" s="18"/>
      <c r="I23" s="18"/>
      <c r="J23" s="18"/>
      <c r="K23" s="18"/>
      <c r="L23" s="18"/>
    </row>
    <row r="24" spans="1:12" s="12" customFormat="1">
      <c r="A24" s="29" t="s">
        <v>9</v>
      </c>
      <c r="B24" s="58"/>
      <c r="C24" s="35"/>
      <c r="D24" s="35">
        <f t="shared" si="3"/>
        <v>0</v>
      </c>
      <c r="E24" s="60">
        <f t="shared" si="4"/>
        <v>0</v>
      </c>
      <c r="F24" s="35"/>
      <c r="G24" s="40">
        <v>1.19</v>
      </c>
      <c r="H24" s="18"/>
      <c r="I24" s="18"/>
      <c r="J24" s="18"/>
      <c r="K24" s="18"/>
      <c r="L24" s="18"/>
    </row>
    <row r="25" spans="1:12" s="12" customFormat="1">
      <c r="A25" s="29" t="s">
        <v>10</v>
      </c>
      <c r="B25" s="58"/>
      <c r="C25" s="35"/>
      <c r="D25" s="35">
        <f t="shared" si="3"/>
        <v>0</v>
      </c>
      <c r="E25" s="60">
        <f t="shared" si="4"/>
        <v>0</v>
      </c>
      <c r="F25" s="35"/>
      <c r="G25" s="40">
        <v>0.13</v>
      </c>
      <c r="H25" s="18"/>
      <c r="I25" s="18"/>
      <c r="J25" s="18"/>
      <c r="K25" s="18"/>
      <c r="L25" s="18"/>
    </row>
    <row r="26" spans="1:12" s="12" customFormat="1">
      <c r="A26" s="29" t="s">
        <v>13</v>
      </c>
      <c r="B26" s="58">
        <v>552.11</v>
      </c>
      <c r="C26" s="35">
        <v>552.11</v>
      </c>
      <c r="D26" s="35">
        <f t="shared" si="3"/>
        <v>0</v>
      </c>
      <c r="E26" s="60">
        <f t="shared" si="4"/>
        <v>0</v>
      </c>
      <c r="F26" s="35"/>
      <c r="G26" s="40">
        <v>74.09</v>
      </c>
      <c r="H26" s="18"/>
      <c r="I26" s="18"/>
      <c r="J26" s="18"/>
      <c r="K26" s="18"/>
      <c r="L26" s="18"/>
    </row>
    <row r="27" spans="1:12" s="12" customFormat="1">
      <c r="A27" s="29" t="s">
        <v>14</v>
      </c>
      <c r="B27" s="58"/>
      <c r="C27" s="35"/>
      <c r="D27" s="35">
        <f t="shared" si="3"/>
        <v>0</v>
      </c>
      <c r="E27" s="60">
        <f t="shared" si="4"/>
        <v>0</v>
      </c>
      <c r="F27" s="35"/>
      <c r="G27" s="40">
        <v>0</v>
      </c>
      <c r="H27" s="18"/>
      <c r="I27" s="18"/>
      <c r="J27" s="18"/>
      <c r="K27" s="18"/>
      <c r="L27" s="18"/>
    </row>
    <row r="28" spans="1:12" s="12" customFormat="1">
      <c r="A28" s="29" t="s">
        <v>16</v>
      </c>
      <c r="B28" s="58"/>
      <c r="C28" s="35"/>
      <c r="D28" s="35">
        <f t="shared" si="3"/>
        <v>0</v>
      </c>
      <c r="E28" s="60">
        <f t="shared" si="4"/>
        <v>0</v>
      </c>
      <c r="F28" s="35"/>
      <c r="G28" s="40">
        <v>0.92</v>
      </c>
      <c r="H28" s="18"/>
      <c r="I28" s="18"/>
      <c r="J28" s="18"/>
      <c r="K28" s="18"/>
      <c r="L28" s="18"/>
    </row>
    <row r="29" spans="1:12" s="12" customFormat="1">
      <c r="A29" s="29" t="s">
        <v>17</v>
      </c>
      <c r="B29" s="58"/>
      <c r="C29" s="35"/>
      <c r="D29" s="35">
        <f t="shared" si="3"/>
        <v>0</v>
      </c>
      <c r="E29" s="60">
        <f t="shared" si="4"/>
        <v>0</v>
      </c>
      <c r="F29" s="35"/>
      <c r="G29" s="40">
        <v>39.99</v>
      </c>
      <c r="H29" s="18"/>
      <c r="I29" s="18"/>
      <c r="J29" s="18"/>
      <c r="K29" s="18"/>
      <c r="L29" s="18"/>
    </row>
    <row r="30" spans="1:12" s="12" customFormat="1">
      <c r="A30" s="56" t="s">
        <v>19</v>
      </c>
      <c r="B30" s="57"/>
      <c r="C30" s="35"/>
      <c r="D30" s="35">
        <f t="shared" si="3"/>
        <v>0</v>
      </c>
      <c r="E30" s="60">
        <f t="shared" si="4"/>
        <v>0</v>
      </c>
      <c r="F30" s="35"/>
      <c r="G30" s="60">
        <v>0.5</v>
      </c>
      <c r="H30" s="18"/>
      <c r="I30" s="18"/>
      <c r="J30" s="18"/>
      <c r="K30" s="18"/>
      <c r="L30" s="18"/>
    </row>
    <row r="31" spans="1:12" s="12" customFormat="1">
      <c r="A31" s="56" t="s">
        <v>21</v>
      </c>
      <c r="B31" s="57"/>
      <c r="C31" s="35"/>
      <c r="D31" s="35">
        <f t="shared" si="3"/>
        <v>0</v>
      </c>
      <c r="E31" s="60">
        <f t="shared" si="4"/>
        <v>0</v>
      </c>
      <c r="F31" s="35"/>
      <c r="G31" s="60">
        <v>1.44</v>
      </c>
      <c r="H31" s="18"/>
      <c r="I31" s="18"/>
      <c r="J31" s="18"/>
      <c r="K31" s="18"/>
      <c r="L31" s="18"/>
    </row>
    <row r="32" spans="1:12" s="12" customFormat="1">
      <c r="A32" s="56" t="s">
        <v>22</v>
      </c>
      <c r="B32" s="57"/>
      <c r="C32" s="35"/>
      <c r="D32" s="35">
        <f t="shared" si="3"/>
        <v>0</v>
      </c>
      <c r="E32" s="60">
        <f t="shared" si="4"/>
        <v>0</v>
      </c>
      <c r="F32" s="35"/>
      <c r="G32" s="60">
        <v>0.98</v>
      </c>
      <c r="H32" s="18"/>
      <c r="I32" s="18"/>
      <c r="J32" s="18"/>
      <c r="K32" s="18"/>
      <c r="L32" s="18"/>
    </row>
    <row r="33" spans="1:12" s="12" customFormat="1">
      <c r="A33" s="56" t="s">
        <v>23</v>
      </c>
      <c r="B33" s="57"/>
      <c r="C33" s="35"/>
      <c r="D33" s="35">
        <f t="shared" si="3"/>
        <v>0</v>
      </c>
      <c r="E33" s="60">
        <f t="shared" si="4"/>
        <v>0</v>
      </c>
      <c r="F33" s="35"/>
      <c r="G33" s="60">
        <v>0</v>
      </c>
      <c r="H33" s="18"/>
      <c r="I33" s="18"/>
      <c r="J33" s="18"/>
      <c r="K33" s="18"/>
      <c r="L33" s="18"/>
    </row>
    <row r="34" spans="1:12" s="12" customFormat="1">
      <c r="A34" s="56" t="s">
        <v>24</v>
      </c>
      <c r="B34" s="57">
        <v>24</v>
      </c>
      <c r="C34" s="35">
        <v>0</v>
      </c>
      <c r="D34" s="35">
        <f t="shared" si="3"/>
        <v>24</v>
      </c>
      <c r="E34" s="60">
        <f t="shared" si="4"/>
        <v>24</v>
      </c>
      <c r="F34" s="35"/>
      <c r="G34" s="62">
        <v>0.86</v>
      </c>
      <c r="H34" s="18"/>
      <c r="I34" s="18"/>
      <c r="J34" s="18"/>
      <c r="K34" s="18"/>
      <c r="L34" s="18"/>
    </row>
    <row r="35" spans="1:12" s="12" customFormat="1">
      <c r="A35" s="56" t="s">
        <v>26</v>
      </c>
      <c r="B35" s="58"/>
      <c r="C35" s="35"/>
      <c r="D35" s="35">
        <f t="shared" si="3"/>
        <v>0</v>
      </c>
      <c r="E35" s="60">
        <f t="shared" si="4"/>
        <v>0</v>
      </c>
      <c r="F35" s="35"/>
      <c r="G35" s="62">
        <v>67.069999999999993</v>
      </c>
      <c r="H35" s="18"/>
      <c r="I35" s="18"/>
      <c r="J35" s="18"/>
      <c r="K35" s="18"/>
      <c r="L35" s="18"/>
    </row>
    <row r="36" spans="1:12" s="12" customFormat="1" ht="12.75" customHeight="1">
      <c r="A36" s="29" t="s">
        <v>31</v>
      </c>
      <c r="B36" s="58"/>
      <c r="C36" s="35"/>
      <c r="D36" s="35">
        <f t="shared" si="3"/>
        <v>0</v>
      </c>
      <c r="E36" s="60">
        <f t="shared" si="4"/>
        <v>0</v>
      </c>
      <c r="F36" s="35"/>
      <c r="G36" s="40">
        <v>3.93</v>
      </c>
      <c r="H36" s="5"/>
      <c r="I36" s="18"/>
      <c r="J36" s="18"/>
      <c r="K36" s="18"/>
      <c r="L36" s="18"/>
    </row>
    <row r="37" spans="1:12" s="12" customFormat="1" ht="12.75" customHeight="1">
      <c r="A37" s="29" t="s">
        <v>32</v>
      </c>
      <c r="B37" s="58">
        <f>568.98+203</f>
        <v>771.98</v>
      </c>
      <c r="C37" s="35">
        <f>568.98+203</f>
        <v>771.98</v>
      </c>
      <c r="D37" s="35">
        <f t="shared" si="3"/>
        <v>0</v>
      </c>
      <c r="E37" s="60">
        <f t="shared" si="4"/>
        <v>0</v>
      </c>
      <c r="F37" s="35"/>
      <c r="G37" s="40">
        <v>362.07</v>
      </c>
      <c r="H37" s="5"/>
      <c r="I37" s="18"/>
      <c r="J37" s="18"/>
      <c r="K37" s="18"/>
      <c r="L37" s="18"/>
    </row>
    <row r="38" spans="1:12" s="12" customFormat="1" ht="12.75" customHeight="1">
      <c r="A38" s="29" t="s">
        <v>33</v>
      </c>
      <c r="B38" s="58"/>
      <c r="C38" s="35"/>
      <c r="D38" s="35">
        <f t="shared" si="3"/>
        <v>0</v>
      </c>
      <c r="E38" s="60">
        <f t="shared" si="4"/>
        <v>0</v>
      </c>
      <c r="F38" s="35"/>
      <c r="G38" s="40">
        <v>4.7</v>
      </c>
      <c r="H38" s="5"/>
      <c r="I38" s="18"/>
      <c r="J38" s="18"/>
      <c r="K38" s="18"/>
      <c r="L38" s="18"/>
    </row>
    <row r="39" spans="1:12" s="12" customFormat="1" ht="12.75" customHeight="1" thickBot="1">
      <c r="A39" s="51" t="s">
        <v>90</v>
      </c>
      <c r="B39" s="59"/>
      <c r="C39" s="36"/>
      <c r="D39" s="36">
        <f t="shared" si="3"/>
        <v>0</v>
      </c>
      <c r="E39" s="61">
        <f t="shared" si="4"/>
        <v>0</v>
      </c>
      <c r="F39" s="36"/>
      <c r="G39" s="64">
        <v>0.25</v>
      </c>
      <c r="H39" s="5"/>
      <c r="I39" s="18"/>
      <c r="J39" s="18"/>
      <c r="K39" s="18"/>
      <c r="L39" s="18"/>
    </row>
    <row r="40" spans="1:12" s="12" customFormat="1" ht="13.5" thickBot="1">
      <c r="A40" s="67" t="s">
        <v>91</v>
      </c>
      <c r="B40" s="68">
        <f>SUM(B19:B39)</f>
        <v>1425.9</v>
      </c>
      <c r="C40" s="68">
        <f>SUM(C19:C39)</f>
        <v>1324.0900000000001</v>
      </c>
      <c r="D40" s="68"/>
      <c r="E40" s="69">
        <f>SUM(E19:E39)</f>
        <v>101.81</v>
      </c>
      <c r="F40" s="68"/>
      <c r="G40" s="69">
        <f>SUM(G19:G39)</f>
        <v>907.2</v>
      </c>
      <c r="H40" s="18"/>
      <c r="I40" s="18"/>
      <c r="J40" s="18"/>
      <c r="K40" s="18"/>
      <c r="L40" s="18"/>
    </row>
    <row r="41" spans="1:12" s="12" customFormat="1" ht="12.75" customHeight="1" thickBot="1">
      <c r="B41" s="16"/>
      <c r="C41" s="17"/>
      <c r="D41" s="17"/>
      <c r="E41" s="65"/>
      <c r="F41" s="17"/>
      <c r="G41" s="66"/>
      <c r="H41" s="5"/>
      <c r="I41" s="18"/>
      <c r="J41" s="18"/>
      <c r="K41" s="18"/>
      <c r="L41" s="18"/>
    </row>
    <row r="42" spans="1:12" s="12" customFormat="1" ht="32.25" thickBot="1">
      <c r="A42" s="8" t="s">
        <v>93</v>
      </c>
      <c r="B42" s="31" t="s">
        <v>1</v>
      </c>
      <c r="C42" s="34" t="s">
        <v>2</v>
      </c>
      <c r="D42" s="34" t="s">
        <v>80</v>
      </c>
      <c r="E42" s="38" t="s">
        <v>81</v>
      </c>
      <c r="F42" s="34" t="s">
        <v>82</v>
      </c>
      <c r="G42" s="38" t="s">
        <v>83</v>
      </c>
      <c r="H42" s="2"/>
    </row>
    <row r="43" spans="1:12" s="12" customFormat="1">
      <c r="A43" s="29" t="s">
        <v>37</v>
      </c>
      <c r="B43" s="58">
        <f>480.87+156.4+1015.51</f>
        <v>1652.78</v>
      </c>
      <c r="C43" s="58">
        <f>448.5+156.4+67.49+946.46</f>
        <v>1618.85</v>
      </c>
      <c r="D43" s="35">
        <f>B43-C43</f>
        <v>33.930000000000064</v>
      </c>
      <c r="E43" s="60">
        <f>B43-C43</f>
        <v>33.930000000000064</v>
      </c>
      <c r="F43" s="35"/>
      <c r="G43" s="40">
        <v>367.75</v>
      </c>
      <c r="H43" s="18"/>
      <c r="I43" s="18"/>
      <c r="J43" s="18"/>
      <c r="K43" s="18"/>
      <c r="L43" s="18"/>
    </row>
    <row r="44" spans="1:12" s="12" customFormat="1">
      <c r="A44" s="29" t="s">
        <v>92</v>
      </c>
      <c r="B44" s="58"/>
      <c r="C44" s="58"/>
      <c r="D44" s="35"/>
      <c r="E44" s="60">
        <f>B44-C44</f>
        <v>0</v>
      </c>
      <c r="F44" s="35"/>
      <c r="G44" s="40">
        <v>0</v>
      </c>
      <c r="H44" s="18"/>
      <c r="I44" s="18"/>
      <c r="J44" s="18"/>
      <c r="K44" s="18"/>
      <c r="L44" s="18"/>
    </row>
    <row r="45" spans="1:12" s="12" customFormat="1" ht="17.25" customHeight="1">
      <c r="A45" s="29" t="s">
        <v>38</v>
      </c>
      <c r="B45" s="58">
        <v>216</v>
      </c>
      <c r="C45" s="58">
        <v>216</v>
      </c>
      <c r="D45" s="35">
        <f>B45-C45</f>
        <v>0</v>
      </c>
      <c r="E45" s="60">
        <f t="shared" ref="E45:E48" si="5">B45-C45</f>
        <v>0</v>
      </c>
      <c r="F45" s="35"/>
      <c r="G45" s="63">
        <v>440.03</v>
      </c>
      <c r="H45" s="18"/>
      <c r="I45" s="18"/>
      <c r="J45" s="18"/>
      <c r="K45" s="18"/>
      <c r="L45" s="18"/>
    </row>
    <row r="46" spans="1:12" s="12" customFormat="1">
      <c r="A46" s="29" t="s">
        <v>39</v>
      </c>
      <c r="B46" s="73">
        <f>589.1+1302.89</f>
        <v>1891.9900000000002</v>
      </c>
      <c r="C46" s="73">
        <f>535.79+1302.89</f>
        <v>1838.68</v>
      </c>
      <c r="D46" s="74">
        <f>B46-C46</f>
        <v>53.310000000000173</v>
      </c>
      <c r="E46" s="60">
        <f>D46/$J$4</f>
        <v>36.083660484635288</v>
      </c>
      <c r="F46" s="74">
        <v>841.01</v>
      </c>
      <c r="G46" s="104">
        <f>F46/$J$4</f>
        <v>569.25003384323804</v>
      </c>
      <c r="K46" s="18"/>
      <c r="L46" s="18"/>
    </row>
    <row r="47" spans="1:12" s="12" customFormat="1">
      <c r="A47" s="29" t="s">
        <v>40</v>
      </c>
      <c r="B47" s="58">
        <f>403.5+835.19+82.55+397.39+36.25+345.34</f>
        <v>2100.2200000000003</v>
      </c>
      <c r="C47" s="35">
        <f>403.5+134.55+700.64+83.77-1.22+397.39+36.25+545.5</f>
        <v>2300.38</v>
      </c>
      <c r="D47" s="35">
        <f>B47-C47</f>
        <v>-200.15999999999985</v>
      </c>
      <c r="E47" s="60">
        <f t="shared" si="5"/>
        <v>-200.15999999999985</v>
      </c>
      <c r="F47" s="35"/>
      <c r="G47" s="104">
        <v>758.57</v>
      </c>
      <c r="K47" s="18"/>
      <c r="L47" s="18"/>
    </row>
    <row r="48" spans="1:12" s="12" customFormat="1" ht="17.25" customHeight="1" thickBot="1">
      <c r="A48" s="29" t="s">
        <v>124</v>
      </c>
      <c r="B48" s="58">
        <f>745.01+133.76+201.72</f>
        <v>1080.49</v>
      </c>
      <c r="C48" s="58">
        <f>456+121.6</f>
        <v>577.6</v>
      </c>
      <c r="D48" s="35"/>
      <c r="E48" s="60">
        <f t="shared" si="5"/>
        <v>502.89</v>
      </c>
      <c r="F48" s="35"/>
      <c r="G48" s="40">
        <v>76.31</v>
      </c>
      <c r="H48" s="18"/>
      <c r="I48" s="18"/>
      <c r="J48" s="18"/>
      <c r="K48" s="18"/>
      <c r="L48" s="18"/>
    </row>
    <row r="49" spans="1:12" s="12" customFormat="1" ht="13.5" thickBot="1">
      <c r="A49" s="67" t="s">
        <v>91</v>
      </c>
      <c r="B49" s="68">
        <f>SUM(B43:B45,B47)+(B46/$J$4)+(B48/$J$5)</f>
        <v>6253.8875575950005</v>
      </c>
      <c r="C49" s="68">
        <f>SUM(C43:C45,C47)+(C46/$J$4)+(C48/$J$5)</f>
        <v>5916.6205687341226</v>
      </c>
      <c r="D49" s="68"/>
      <c r="E49" s="69">
        <f>SUM(E43:E48)</f>
        <v>372.74366048463548</v>
      </c>
      <c r="F49" s="68"/>
      <c r="G49" s="69">
        <f>SUM(G43:G48)</f>
        <v>2211.9100338432381</v>
      </c>
      <c r="H49" s="18"/>
      <c r="I49" s="18"/>
      <c r="J49" s="18"/>
      <c r="K49" s="18"/>
      <c r="L49" s="18"/>
    </row>
    <row r="50" spans="1:12" s="12" customFormat="1" ht="13.5" thickBot="1">
      <c r="B50" s="7"/>
      <c r="C50" s="24"/>
      <c r="D50" s="7"/>
      <c r="E50" s="7"/>
      <c r="F50" s="7"/>
      <c r="G50" s="23"/>
      <c r="K50" s="18"/>
      <c r="L50" s="18"/>
    </row>
    <row r="51" spans="1:12" s="12" customFormat="1" ht="32.25" thickBot="1">
      <c r="A51" s="8" t="s">
        <v>89</v>
      </c>
      <c r="B51" s="31" t="s">
        <v>1</v>
      </c>
      <c r="C51" s="34" t="s">
        <v>2</v>
      </c>
      <c r="D51" s="34" t="s">
        <v>80</v>
      </c>
      <c r="E51" s="38" t="s">
        <v>81</v>
      </c>
      <c r="F51" s="34" t="s">
        <v>82</v>
      </c>
      <c r="G51" s="38" t="s">
        <v>83</v>
      </c>
      <c r="H51" s="2"/>
    </row>
    <row r="52" spans="1:12" s="12" customFormat="1">
      <c r="A52" s="29" t="s">
        <v>11</v>
      </c>
      <c r="B52" s="58">
        <f>176.6+797.82</f>
        <v>974.42000000000007</v>
      </c>
      <c r="C52" s="35">
        <f>134.79+65.58+732.24</f>
        <v>932.61</v>
      </c>
      <c r="D52" s="35">
        <f t="shared" ref="D52:D60" si="6">B52-C52</f>
        <v>41.810000000000059</v>
      </c>
      <c r="E52" s="48">
        <f>D52</f>
        <v>41.810000000000059</v>
      </c>
      <c r="F52" s="35"/>
      <c r="G52" s="40">
        <v>9.18</v>
      </c>
      <c r="H52" s="18"/>
      <c r="I52" s="18"/>
      <c r="J52" s="18"/>
      <c r="K52" s="18"/>
      <c r="L52" s="18"/>
    </row>
    <row r="53" spans="1:12" s="12" customFormat="1">
      <c r="A53" s="29" t="s">
        <v>123</v>
      </c>
      <c r="B53" s="73">
        <f>799.69+45.2+177.97</f>
        <v>1022.8600000000001</v>
      </c>
      <c r="C53" s="74">
        <f>504.1+177.97</f>
        <v>682.07</v>
      </c>
      <c r="D53" s="74">
        <f t="shared" si="6"/>
        <v>340.79000000000008</v>
      </c>
      <c r="E53" s="48">
        <f>D53/$J$4</f>
        <v>230.66874238527146</v>
      </c>
      <c r="F53" s="74">
        <v>588.29</v>
      </c>
      <c r="G53" s="104">
        <f>F53/$J$4</f>
        <v>398.19277108433732</v>
      </c>
      <c r="H53" s="18"/>
      <c r="I53" s="18"/>
      <c r="J53" s="18"/>
      <c r="K53" s="18"/>
      <c r="L53" s="18"/>
    </row>
    <row r="54" spans="1:12" s="12" customFormat="1">
      <c r="A54" s="29" t="s">
        <v>15</v>
      </c>
      <c r="B54" s="58">
        <f>23.88+312.95+120.92+165.06+15.9+148.01</f>
        <v>786.71999999999991</v>
      </c>
      <c r="C54" s="35">
        <f>23.88+312.95+120.92+165.06+15.9+49.79</f>
        <v>688.49999999999989</v>
      </c>
      <c r="D54" s="35">
        <f t="shared" si="6"/>
        <v>98.220000000000027</v>
      </c>
      <c r="E54" s="48">
        <f>D54</f>
        <v>98.220000000000027</v>
      </c>
      <c r="F54" s="35"/>
      <c r="G54" s="40">
        <v>51.62</v>
      </c>
      <c r="H54" s="18"/>
      <c r="I54" s="18"/>
      <c r="J54" s="18"/>
      <c r="K54" s="18"/>
      <c r="L54" s="18"/>
    </row>
    <row r="55" spans="1:12" s="12" customFormat="1">
      <c r="A55" s="29" t="s">
        <v>18</v>
      </c>
      <c r="B55" s="79">
        <f>4571</f>
        <v>4571</v>
      </c>
      <c r="C55" s="80">
        <v>0</v>
      </c>
      <c r="D55" s="80">
        <f t="shared" si="6"/>
        <v>4571</v>
      </c>
      <c r="E55" s="48">
        <f>D55/$J$3</f>
        <v>276.82226690244909</v>
      </c>
      <c r="F55" s="80"/>
      <c r="G55" s="40">
        <f>186.75+56.64</f>
        <v>243.39</v>
      </c>
      <c r="H55" s="18"/>
      <c r="I55" s="18"/>
      <c r="J55" s="18"/>
      <c r="K55" s="18"/>
      <c r="L55" s="18"/>
    </row>
    <row r="56" spans="1:12" s="12" customFormat="1">
      <c r="A56" s="56" t="s">
        <v>20</v>
      </c>
      <c r="B56" s="57">
        <f>70.62+922.48</f>
        <v>993.1</v>
      </c>
      <c r="C56" s="35">
        <f>65+898.26</f>
        <v>963.26</v>
      </c>
      <c r="D56" s="35">
        <f t="shared" si="6"/>
        <v>29.840000000000032</v>
      </c>
      <c r="E56" s="48">
        <f>D56</f>
        <v>29.840000000000032</v>
      </c>
      <c r="F56" s="35"/>
      <c r="G56" s="48">
        <v>114.98</v>
      </c>
      <c r="H56" s="18"/>
      <c r="I56" s="18"/>
      <c r="J56" s="18"/>
      <c r="K56" s="18"/>
      <c r="L56" s="18"/>
    </row>
    <row r="57" spans="1:12" s="12" customFormat="1">
      <c r="A57" s="56" t="s">
        <v>25</v>
      </c>
      <c r="B57" s="82">
        <v>25.24</v>
      </c>
      <c r="C57" s="83">
        <v>0</v>
      </c>
      <c r="D57" s="83">
        <f t="shared" si="6"/>
        <v>25.24</v>
      </c>
      <c r="E57" s="48">
        <f>D57/$J$5</f>
        <v>23.459429314992096</v>
      </c>
      <c r="F57" s="72"/>
      <c r="G57" s="62">
        <v>28.64</v>
      </c>
      <c r="H57" s="18"/>
      <c r="I57" s="18"/>
      <c r="J57" s="18"/>
      <c r="K57" s="18"/>
      <c r="L57" s="18"/>
    </row>
    <row r="58" spans="1:12" s="12" customFormat="1" ht="12.75" customHeight="1">
      <c r="A58" s="29" t="s">
        <v>28</v>
      </c>
      <c r="B58" s="58">
        <f>487.1+118.22</f>
        <v>605.32000000000005</v>
      </c>
      <c r="C58" s="35">
        <v>0</v>
      </c>
      <c r="D58" s="81">
        <f t="shared" si="6"/>
        <v>605.32000000000005</v>
      </c>
      <c r="E58" s="92">
        <f>D58</f>
        <v>605.32000000000005</v>
      </c>
      <c r="F58" s="81"/>
      <c r="G58" s="40">
        <v>188.39</v>
      </c>
      <c r="H58" s="5"/>
      <c r="I58" s="18"/>
      <c r="J58" s="18"/>
      <c r="K58" s="18"/>
      <c r="L58" s="18"/>
    </row>
    <row r="59" spans="1:12" s="12" customFormat="1" ht="12.75" customHeight="1">
      <c r="A59" s="29" t="s">
        <v>127</v>
      </c>
      <c r="B59" s="58">
        <f>18.54+39.43+11.22+267.14</f>
        <v>336.33</v>
      </c>
      <c r="C59" s="35">
        <f>100+11.22+39.43+18.54</f>
        <v>169.19</v>
      </c>
      <c r="D59" s="35">
        <f t="shared" si="6"/>
        <v>167.14</v>
      </c>
      <c r="E59" s="48">
        <f>D59</f>
        <v>167.14</v>
      </c>
      <c r="F59" s="81"/>
      <c r="G59" s="40">
        <v>22.82</v>
      </c>
      <c r="H59" s="5"/>
      <c r="I59" s="18"/>
      <c r="J59" s="18"/>
      <c r="K59" s="18"/>
      <c r="L59" s="18"/>
    </row>
    <row r="60" spans="1:12" s="12" customFormat="1" ht="12.75" customHeight="1" thickBot="1">
      <c r="A60" s="29" t="s">
        <v>30</v>
      </c>
      <c r="B60" s="58">
        <f>295.33+461</f>
        <v>756.32999999999993</v>
      </c>
      <c r="C60" s="35">
        <f>13.1+376.46</f>
        <v>389.56</v>
      </c>
      <c r="D60" s="81">
        <f t="shared" si="6"/>
        <v>366.76999999999992</v>
      </c>
      <c r="E60" s="92">
        <f>D60</f>
        <v>366.76999999999992</v>
      </c>
      <c r="F60" s="81"/>
      <c r="G60" s="40">
        <v>173.94</v>
      </c>
      <c r="H60" s="5"/>
      <c r="I60" s="18"/>
      <c r="J60" s="18"/>
      <c r="K60" s="18"/>
      <c r="L60" s="18"/>
    </row>
    <row r="61" spans="1:12" s="12" customFormat="1" ht="13.5" thickBot="1">
      <c r="A61" s="67" t="s">
        <v>91</v>
      </c>
      <c r="B61" s="68">
        <f>SUM(B52,B54,B56,B58,B60)+(B55/$J$3)+(B57/$J$5)+(B53/$J$4)</f>
        <v>5108.5095871068406</v>
      </c>
      <c r="C61" s="68" t="e">
        <f>SUM(C52:C54,C56,C58,C58:C60)+(C55/$J$3)+(C57/$J$5)+(#REF!/$J$4)</f>
        <v>#REF!</v>
      </c>
      <c r="D61" s="68" t="e">
        <f>SUM(D52,D54,D56,D58,D60)+(D55/$J$3)+(D57/$J$5)+((D53+#REF!)/$J$4)</f>
        <v>#REF!</v>
      </c>
      <c r="E61" s="69">
        <f>SUM(E52:E60)</f>
        <v>1840.0504386027128</v>
      </c>
      <c r="F61" s="68"/>
      <c r="G61" s="69">
        <f>SUM(G52:G60)</f>
        <v>1231.1527710843372</v>
      </c>
      <c r="H61" s="18"/>
      <c r="I61" s="18"/>
      <c r="J61" s="18"/>
      <c r="K61" s="18"/>
      <c r="L61" s="18"/>
    </row>
    <row r="62" spans="1:12" s="12" customFormat="1" ht="13.5" thickBot="1">
      <c r="A62" s="77"/>
      <c r="B62" s="78"/>
      <c r="C62" s="78"/>
      <c r="D62" s="78"/>
      <c r="E62" s="78"/>
      <c r="F62" s="78"/>
      <c r="G62" s="78"/>
      <c r="H62" s="18"/>
      <c r="I62" s="18"/>
      <c r="J62" s="18"/>
      <c r="K62" s="18"/>
      <c r="L62" s="18"/>
    </row>
    <row r="63" spans="1:12" ht="34.5" customHeight="1" thickBot="1">
      <c r="A63" s="8" t="s">
        <v>42</v>
      </c>
      <c r="B63" s="31" t="s">
        <v>1</v>
      </c>
      <c r="C63" s="34" t="s">
        <v>2</v>
      </c>
      <c r="D63" s="34" t="s">
        <v>80</v>
      </c>
      <c r="E63" s="38" t="s">
        <v>81</v>
      </c>
      <c r="F63" s="34" t="s">
        <v>82</v>
      </c>
      <c r="G63" s="38" t="s">
        <v>83</v>
      </c>
      <c r="H63" s="18"/>
      <c r="I63" s="18"/>
      <c r="J63" s="18"/>
      <c r="K63" s="18"/>
      <c r="L63" s="18"/>
    </row>
    <row r="64" spans="1:12" ht="19.5" customHeight="1" thickBot="1">
      <c r="A64" s="29" t="s">
        <v>121</v>
      </c>
      <c r="B64" s="70">
        <v>1773.33</v>
      </c>
      <c r="C64" s="71"/>
      <c r="D64" s="83">
        <f>B64-C64</f>
        <v>1773.33</v>
      </c>
      <c r="E64" s="48">
        <f>D64/$J$5</f>
        <v>1648.2293893484523</v>
      </c>
      <c r="F64" s="70"/>
      <c r="G64" s="48">
        <v>9.6</v>
      </c>
      <c r="H64" s="110" t="s">
        <v>128</v>
      </c>
    </row>
    <row r="65" spans="1:12" s="12" customFormat="1" ht="13.5" thickBot="1">
      <c r="A65" s="67" t="s">
        <v>91</v>
      </c>
      <c r="B65" s="68">
        <f>B64/J5</f>
        <v>1648.2293893484523</v>
      </c>
      <c r="C65" s="68">
        <f>C64</f>
        <v>0</v>
      </c>
      <c r="D65" s="68"/>
      <c r="E65" s="69">
        <f>E64</f>
        <v>1648.2293893484523</v>
      </c>
      <c r="F65" s="68"/>
      <c r="G65" s="69">
        <f>G64</f>
        <v>9.6</v>
      </c>
      <c r="H65" s="18"/>
      <c r="I65" s="18"/>
      <c r="J65" s="18"/>
      <c r="K65" s="18"/>
      <c r="L65" s="18"/>
    </row>
    <row r="66" spans="1:12" ht="19.5" customHeight="1" thickBot="1">
      <c r="A66" s="12"/>
      <c r="B66" s="7"/>
      <c r="C66" s="24"/>
      <c r="D66" s="7"/>
      <c r="E66" s="7"/>
      <c r="F66" s="7"/>
      <c r="G66" s="6"/>
    </row>
    <row r="67" spans="1:12" ht="19.5" customHeight="1" thickBot="1">
      <c r="A67" s="8" t="s">
        <v>100</v>
      </c>
      <c r="B67" s="8" t="s">
        <v>43</v>
      </c>
      <c r="C67" s="6"/>
      <c r="D67" s="6"/>
      <c r="E67" s="6"/>
      <c r="F67" s="6"/>
      <c r="G67" s="6"/>
      <c r="H67" s="18"/>
      <c r="I67" s="18"/>
      <c r="J67" s="18"/>
      <c r="K67" s="18"/>
      <c r="L67" s="18"/>
    </row>
    <row r="68" spans="1:12" ht="30" customHeight="1">
      <c r="A68" s="56" t="s">
        <v>44</v>
      </c>
      <c r="B68" s="57">
        <v>1.45</v>
      </c>
      <c r="C68" s="6"/>
      <c r="D68" s="6"/>
      <c r="E68" s="6"/>
      <c r="F68" s="6"/>
      <c r="G68" s="6"/>
    </row>
    <row r="69" spans="1:12" ht="15.75">
      <c r="A69" s="56" t="s">
        <v>101</v>
      </c>
      <c r="B69" s="57">
        <v>0</v>
      </c>
      <c r="C69" s="6"/>
      <c r="D69" s="6"/>
      <c r="E69" s="6"/>
      <c r="F69" s="6"/>
      <c r="G69" s="6"/>
    </row>
    <row r="70" spans="1:12" ht="15.75">
      <c r="A70" s="56" t="s">
        <v>103</v>
      </c>
      <c r="B70" s="57">
        <v>2.2999999999999998</v>
      </c>
      <c r="C70" s="6"/>
      <c r="D70" s="6"/>
      <c r="E70" s="6"/>
      <c r="F70" s="6"/>
      <c r="G70" s="6"/>
    </row>
    <row r="71" spans="1:12" ht="15.75">
      <c r="A71" s="56" t="s">
        <v>102</v>
      </c>
      <c r="B71" s="57">
        <v>14.88</v>
      </c>
      <c r="C71" s="6"/>
      <c r="D71" s="6"/>
      <c r="E71" s="6"/>
      <c r="F71" s="6"/>
      <c r="G71" s="6"/>
    </row>
    <row r="72" spans="1:12" ht="15.75">
      <c r="A72" s="29" t="s">
        <v>111</v>
      </c>
      <c r="B72" s="57">
        <v>0</v>
      </c>
      <c r="C72" s="6"/>
      <c r="D72" s="6"/>
      <c r="E72" s="6"/>
      <c r="F72" s="6"/>
      <c r="G72" s="6"/>
    </row>
    <row r="73" spans="1:12" ht="15.75">
      <c r="A73" s="29" t="s">
        <v>112</v>
      </c>
      <c r="B73" s="57">
        <v>0</v>
      </c>
      <c r="C73" s="6"/>
      <c r="D73" s="6"/>
      <c r="E73" s="6"/>
      <c r="F73" s="6"/>
      <c r="G73" s="6"/>
    </row>
    <row r="74" spans="1:12" ht="15.75">
      <c r="A74" s="29" t="s">
        <v>113</v>
      </c>
      <c r="B74" s="57">
        <v>18.59</v>
      </c>
      <c r="C74" s="6"/>
      <c r="D74" s="6"/>
      <c r="E74" s="6"/>
      <c r="F74" s="6"/>
      <c r="G74" s="6"/>
    </row>
    <row r="75" spans="1:12" ht="15.75">
      <c r="A75" s="29" t="s">
        <v>114</v>
      </c>
      <c r="B75" s="57">
        <v>0</v>
      </c>
      <c r="C75" s="6"/>
      <c r="D75" s="6"/>
      <c r="E75" s="6"/>
      <c r="F75" s="6"/>
      <c r="G75" s="6"/>
    </row>
    <row r="76" spans="1:12" ht="15.75">
      <c r="A76" s="94" t="s">
        <v>45</v>
      </c>
      <c r="B76" s="57">
        <v>0</v>
      </c>
      <c r="C76" s="6"/>
      <c r="D76" s="6"/>
      <c r="E76" s="6"/>
      <c r="F76" s="6"/>
      <c r="G76" s="6"/>
    </row>
    <row r="77" spans="1:12" ht="15.75">
      <c r="A77" s="94" t="s">
        <v>46</v>
      </c>
      <c r="B77" s="57">
        <v>0</v>
      </c>
      <c r="C77" s="6"/>
      <c r="D77" s="6"/>
      <c r="E77" s="6"/>
      <c r="F77" s="6"/>
      <c r="G77" s="6"/>
    </row>
    <row r="78" spans="1:12" ht="15.75">
      <c r="A78" s="56" t="s">
        <v>47</v>
      </c>
      <c r="B78" s="57">
        <v>0</v>
      </c>
      <c r="C78" s="6"/>
      <c r="D78" s="6"/>
      <c r="E78" s="6"/>
      <c r="F78" s="6"/>
      <c r="G78" s="6"/>
      <c r="J78" s="18"/>
      <c r="K78" s="18"/>
      <c r="L78" s="18"/>
    </row>
    <row r="79" spans="1:12" ht="15.75">
      <c r="A79" s="56" t="s">
        <v>48</v>
      </c>
      <c r="B79" s="57">
        <v>0</v>
      </c>
      <c r="C79" s="6"/>
      <c r="D79" s="6"/>
      <c r="E79" s="6"/>
      <c r="F79" s="6"/>
      <c r="G79" s="6"/>
    </row>
    <row r="80" spans="1:12" ht="15.75">
      <c r="A80" s="56" t="s">
        <v>49</v>
      </c>
      <c r="B80" s="57">
        <v>0</v>
      </c>
      <c r="C80" s="6"/>
      <c r="D80" s="6"/>
      <c r="E80" s="6"/>
      <c r="F80" s="6"/>
      <c r="G80" s="6"/>
    </row>
    <row r="81" spans="1:12" s="12" customFormat="1" ht="15.75">
      <c r="A81" s="56" t="s">
        <v>107</v>
      </c>
      <c r="B81" s="57">
        <v>0</v>
      </c>
      <c r="C81" s="6"/>
      <c r="D81" s="6"/>
      <c r="E81" s="6"/>
      <c r="F81" s="6"/>
      <c r="G81" s="6"/>
      <c r="H81" s="15"/>
      <c r="I81" s="15"/>
      <c r="J81" s="18"/>
      <c r="K81" s="18"/>
      <c r="L81" s="18"/>
    </row>
    <row r="82" spans="1:12" s="12" customFormat="1" ht="15.75">
      <c r="A82" s="94" t="s">
        <v>50</v>
      </c>
      <c r="B82" s="57">
        <v>0</v>
      </c>
      <c r="C82" s="6"/>
      <c r="D82" s="6"/>
      <c r="E82" s="6"/>
      <c r="F82" s="6"/>
      <c r="G82" s="6"/>
      <c r="H82" s="15"/>
      <c r="I82" s="15"/>
      <c r="J82" s="18"/>
      <c r="K82" s="18"/>
      <c r="L82" s="18"/>
    </row>
    <row r="83" spans="1:12" ht="15.75">
      <c r="A83" s="29" t="s">
        <v>51</v>
      </c>
      <c r="B83" s="57">
        <v>0</v>
      </c>
      <c r="C83" s="6"/>
      <c r="D83" s="6"/>
      <c r="E83" s="6"/>
      <c r="F83" s="6"/>
      <c r="G83" s="6"/>
    </row>
    <row r="84" spans="1:12" ht="15.75">
      <c r="A84" s="94" t="s">
        <v>52</v>
      </c>
      <c r="B84" s="57">
        <v>0</v>
      </c>
      <c r="C84" s="6"/>
      <c r="D84" s="6"/>
      <c r="E84" s="6"/>
      <c r="F84" s="6"/>
      <c r="G84" s="6"/>
    </row>
    <row r="85" spans="1:12" ht="15.75">
      <c r="A85" s="94" t="s">
        <v>53</v>
      </c>
      <c r="B85" s="57">
        <v>0</v>
      </c>
      <c r="C85" s="6"/>
      <c r="D85" s="6"/>
      <c r="E85" s="6"/>
      <c r="F85" s="6"/>
      <c r="G85" s="6"/>
    </row>
    <row r="86" spans="1:12" s="12" customFormat="1" ht="15.75">
      <c r="A86" s="94" t="s">
        <v>54</v>
      </c>
      <c r="B86" s="57">
        <v>0</v>
      </c>
      <c r="C86" s="6"/>
      <c r="D86" s="6"/>
      <c r="E86" s="6"/>
      <c r="F86" s="6"/>
      <c r="G86" s="6"/>
      <c r="H86" s="18"/>
      <c r="I86" s="18"/>
      <c r="J86" s="15"/>
      <c r="K86" s="15"/>
      <c r="L86" s="15"/>
    </row>
    <row r="87" spans="1:12" ht="15.75">
      <c r="A87" s="94" t="s">
        <v>55</v>
      </c>
      <c r="B87" s="57">
        <v>0</v>
      </c>
      <c r="C87" s="6"/>
      <c r="D87" s="6"/>
      <c r="E87" s="6"/>
      <c r="F87" s="6"/>
      <c r="G87" s="6"/>
      <c r="H87" s="18"/>
      <c r="I87" s="18"/>
    </row>
    <row r="88" spans="1:12" ht="15.75">
      <c r="A88" s="94" t="s">
        <v>56</v>
      </c>
      <c r="B88" s="57">
        <v>13.33</v>
      </c>
      <c r="C88" s="6"/>
      <c r="D88" s="6"/>
      <c r="E88" s="6"/>
      <c r="F88" s="6"/>
      <c r="G88" s="6"/>
    </row>
    <row r="89" spans="1:12" ht="15.75">
      <c r="A89" s="94" t="s">
        <v>57</v>
      </c>
      <c r="B89" s="57">
        <v>11.57</v>
      </c>
      <c r="C89" s="6"/>
      <c r="D89" s="6"/>
      <c r="E89" s="6"/>
      <c r="F89" s="6"/>
      <c r="G89" s="6"/>
    </row>
    <row r="90" spans="1:12" ht="15.75">
      <c r="A90" s="94" t="s">
        <v>58</v>
      </c>
      <c r="B90" s="57">
        <v>19.170000000000002</v>
      </c>
      <c r="C90" s="6"/>
      <c r="D90" s="6"/>
      <c r="E90" s="6"/>
      <c r="F90" s="6"/>
      <c r="G90" s="6"/>
    </row>
    <row r="91" spans="1:12">
      <c r="A91" s="94" t="s">
        <v>59</v>
      </c>
      <c r="B91" s="57">
        <v>0</v>
      </c>
      <c r="C91" s="25"/>
      <c r="D91" s="26"/>
      <c r="E91" s="26"/>
      <c r="F91" s="26"/>
    </row>
    <row r="92" spans="1:12">
      <c r="A92" s="94" t="s">
        <v>60</v>
      </c>
      <c r="B92" s="57">
        <v>0</v>
      </c>
      <c r="C92" s="25"/>
      <c r="D92" s="26"/>
      <c r="E92" s="26"/>
      <c r="F92" s="26"/>
    </row>
    <row r="93" spans="1:12">
      <c r="A93" s="94" t="s">
        <v>61</v>
      </c>
      <c r="B93" s="57">
        <v>0</v>
      </c>
      <c r="C93" s="25"/>
      <c r="D93" s="26"/>
      <c r="E93" s="26"/>
      <c r="F93" s="26"/>
    </row>
    <row r="94" spans="1:12">
      <c r="A94" s="94" t="s">
        <v>62</v>
      </c>
      <c r="B94" s="57">
        <v>0</v>
      </c>
      <c r="C94" s="25"/>
      <c r="D94" s="26"/>
      <c r="E94" s="26"/>
      <c r="F94" s="26"/>
    </row>
    <row r="95" spans="1:12">
      <c r="A95" s="94" t="s">
        <v>63</v>
      </c>
      <c r="B95" s="57">
        <v>0</v>
      </c>
      <c r="C95" s="25"/>
      <c r="D95" s="26"/>
      <c r="E95" s="26"/>
      <c r="F95" s="26"/>
    </row>
    <row r="96" spans="1:12">
      <c r="A96" s="112" t="s">
        <v>64</v>
      </c>
      <c r="B96" s="57"/>
      <c r="C96" s="113" t="s">
        <v>129</v>
      </c>
      <c r="D96" s="26"/>
      <c r="E96" s="26"/>
      <c r="F96" s="26"/>
    </row>
    <row r="97" spans="1:6">
      <c r="A97" s="94" t="s">
        <v>118</v>
      </c>
      <c r="B97" s="57">
        <v>0</v>
      </c>
      <c r="C97" s="25"/>
      <c r="D97" s="26"/>
      <c r="E97" s="26"/>
      <c r="F97" s="26"/>
    </row>
    <row r="98" spans="1:6">
      <c r="A98" s="94" t="s">
        <v>119</v>
      </c>
      <c r="B98" s="57">
        <v>0</v>
      </c>
      <c r="C98" s="25"/>
      <c r="D98" s="26"/>
      <c r="E98" s="26"/>
      <c r="F98" s="26"/>
    </row>
    <row r="99" spans="1:6">
      <c r="A99" s="94" t="s">
        <v>65</v>
      </c>
      <c r="B99" s="57">
        <v>0</v>
      </c>
      <c r="C99" s="25"/>
      <c r="D99" s="26"/>
      <c r="E99" s="26"/>
      <c r="F99" s="26"/>
    </row>
    <row r="100" spans="1:6">
      <c r="A100" s="94" t="s">
        <v>66</v>
      </c>
      <c r="B100" s="57">
        <v>0</v>
      </c>
      <c r="C100" s="25"/>
      <c r="D100" s="26"/>
      <c r="E100" s="26"/>
      <c r="F100" s="26"/>
    </row>
    <row r="101" spans="1:6">
      <c r="A101" s="94" t="s">
        <v>108</v>
      </c>
      <c r="B101" s="57">
        <v>0</v>
      </c>
      <c r="C101" s="25"/>
      <c r="D101" s="26"/>
      <c r="E101" s="26"/>
      <c r="F101" s="26"/>
    </row>
    <row r="102" spans="1:6">
      <c r="A102" s="94" t="s">
        <v>67</v>
      </c>
      <c r="B102" s="57">
        <v>0</v>
      </c>
      <c r="C102" s="25"/>
      <c r="D102" s="26"/>
      <c r="E102" s="26"/>
      <c r="F102" s="26"/>
    </row>
    <row r="103" spans="1:6">
      <c r="A103" s="94" t="s">
        <v>68</v>
      </c>
      <c r="B103" s="57">
        <v>0</v>
      </c>
      <c r="C103" s="25"/>
      <c r="D103" s="26"/>
      <c r="E103" s="26"/>
      <c r="F103" s="26"/>
    </row>
    <row r="104" spans="1:6">
      <c r="A104" s="94" t="s">
        <v>109</v>
      </c>
      <c r="B104" s="57">
        <v>0</v>
      </c>
      <c r="C104" s="25"/>
      <c r="D104" s="26"/>
      <c r="E104" s="26"/>
      <c r="F104" s="26"/>
    </row>
    <row r="105" spans="1:6">
      <c r="A105" s="94" t="s">
        <v>110</v>
      </c>
      <c r="B105" s="57">
        <v>19.170000000000002</v>
      </c>
      <c r="C105" s="25"/>
      <c r="D105" s="26"/>
      <c r="E105" s="26"/>
      <c r="F105" s="26"/>
    </row>
    <row r="106" spans="1:6">
      <c r="A106" s="94" t="s">
        <v>69</v>
      </c>
      <c r="B106" s="57">
        <v>23.14</v>
      </c>
      <c r="C106" s="25"/>
      <c r="D106" s="26"/>
      <c r="E106" s="26"/>
      <c r="F106" s="26"/>
    </row>
    <row r="107" spans="1:6">
      <c r="A107" s="94" t="s">
        <v>117</v>
      </c>
      <c r="B107" s="57">
        <v>0</v>
      </c>
      <c r="C107" s="25"/>
      <c r="D107" s="26"/>
      <c r="E107" s="26"/>
      <c r="F107" s="26"/>
    </row>
    <row r="108" spans="1:6" ht="25.5">
      <c r="A108" s="94" t="s">
        <v>115</v>
      </c>
      <c r="B108" s="57">
        <v>0</v>
      </c>
      <c r="C108" s="25"/>
      <c r="D108" s="26"/>
      <c r="E108" s="26"/>
      <c r="F108" s="26"/>
    </row>
    <row r="109" spans="1:6" ht="25.5">
      <c r="A109" s="94" t="s">
        <v>116</v>
      </c>
      <c r="B109" s="57">
        <v>0</v>
      </c>
      <c r="C109" s="25"/>
      <c r="D109" s="26"/>
      <c r="E109" s="26"/>
      <c r="F109" s="26"/>
    </row>
    <row r="110" spans="1:6">
      <c r="A110" s="114" t="s">
        <v>70</v>
      </c>
      <c r="B110" s="57"/>
      <c r="C110" s="113" t="s">
        <v>129</v>
      </c>
      <c r="D110" s="26"/>
      <c r="E110" s="26"/>
      <c r="F110" s="26"/>
    </row>
    <row r="111" spans="1:6">
      <c r="A111" s="95" t="s">
        <v>71</v>
      </c>
      <c r="B111" s="57">
        <v>0.55000000000000004</v>
      </c>
      <c r="C111" s="25"/>
      <c r="D111" s="26"/>
      <c r="E111" s="26"/>
      <c r="F111" s="26"/>
    </row>
    <row r="112" spans="1:6">
      <c r="A112" s="114" t="s">
        <v>72</v>
      </c>
      <c r="B112" s="57"/>
      <c r="C112" s="113" t="s">
        <v>129</v>
      </c>
      <c r="D112" s="26"/>
      <c r="E112" s="26"/>
      <c r="F112" s="26"/>
    </row>
    <row r="113" spans="1:12">
      <c r="A113" s="95" t="s">
        <v>73</v>
      </c>
      <c r="B113" s="57">
        <v>3.95</v>
      </c>
      <c r="C113" s="25"/>
      <c r="D113" s="26"/>
      <c r="E113" s="26"/>
      <c r="F113" s="26"/>
    </row>
    <row r="114" spans="1:12">
      <c r="A114" s="95" t="s">
        <v>74</v>
      </c>
      <c r="B114" s="57">
        <v>0</v>
      </c>
      <c r="C114" s="25"/>
      <c r="D114" s="26"/>
      <c r="E114" s="26"/>
      <c r="F114" s="26"/>
    </row>
    <row r="115" spans="1:12">
      <c r="A115" s="95" t="s">
        <v>75</v>
      </c>
      <c r="B115" s="57">
        <v>0</v>
      </c>
      <c r="C115" s="25"/>
      <c r="D115" s="26"/>
      <c r="E115" s="26"/>
      <c r="F115" s="26"/>
    </row>
    <row r="116" spans="1:12">
      <c r="A116" s="95" t="s">
        <v>76</v>
      </c>
      <c r="B116" s="57">
        <v>0</v>
      </c>
      <c r="C116" s="25"/>
      <c r="D116" s="26"/>
      <c r="E116" s="26"/>
      <c r="F116" s="26"/>
    </row>
    <row r="117" spans="1:12" ht="13.5" thickBot="1">
      <c r="A117" s="96" t="s">
        <v>77</v>
      </c>
      <c r="B117" s="33">
        <v>0</v>
      </c>
      <c r="C117" s="25"/>
      <c r="D117" s="26"/>
      <c r="E117" s="26"/>
      <c r="F117" s="26"/>
    </row>
    <row r="118" spans="1:12" s="12" customFormat="1" ht="16.5" thickBot="1">
      <c r="A118" s="67" t="s">
        <v>120</v>
      </c>
      <c r="B118" s="68">
        <f>SUM(B68:B117)</f>
        <v>128.1</v>
      </c>
      <c r="C118" s="10"/>
      <c r="D118" s="11"/>
      <c r="E118" s="11"/>
      <c r="F118" s="11"/>
      <c r="G118" s="11"/>
      <c r="H118" s="18"/>
      <c r="I118" s="18"/>
      <c r="J118" s="18"/>
      <c r="K118" s="18"/>
      <c r="L118" s="18"/>
    </row>
    <row r="119" spans="1:12" s="12" customFormat="1" ht="15.75">
      <c r="A119" s="77"/>
      <c r="B119" s="78"/>
      <c r="C119" s="10"/>
      <c r="D119" s="11"/>
      <c r="E119" s="11"/>
      <c r="F119" s="11"/>
      <c r="G119" s="11"/>
      <c r="H119" s="18"/>
      <c r="I119" s="18"/>
      <c r="J119" s="18"/>
      <c r="K119" s="18"/>
      <c r="L119" s="18"/>
    </row>
    <row r="120" spans="1:12" s="12" customFormat="1" ht="16.5" thickBot="1">
      <c r="A120" s="77"/>
      <c r="B120" s="78"/>
      <c r="C120" s="10"/>
      <c r="D120" s="11"/>
      <c r="E120" s="11"/>
      <c r="F120" s="11"/>
      <c r="G120" s="11"/>
      <c r="H120" s="18"/>
      <c r="I120" s="18"/>
      <c r="J120" s="18"/>
      <c r="K120" s="18"/>
      <c r="L120" s="18"/>
    </row>
    <row r="121" spans="1:12" s="12" customFormat="1" ht="15.75">
      <c r="A121" s="97" t="s">
        <v>78</v>
      </c>
      <c r="B121" s="106">
        <f>SUM(B5,B11,B16,B40,B49,B61,B65)</f>
        <v>20716.486534050295</v>
      </c>
      <c r="C121" s="11"/>
      <c r="D121" s="11"/>
      <c r="E121" s="11"/>
      <c r="F121" s="11"/>
      <c r="H121" s="18"/>
      <c r="I121" s="18"/>
      <c r="J121" s="18"/>
      <c r="K121" s="18"/>
      <c r="L121" s="18"/>
    </row>
    <row r="122" spans="1:12" ht="15.75">
      <c r="A122" s="98" t="s">
        <v>79</v>
      </c>
      <c r="B122" s="107">
        <f>SUM(G5,G11,G16,G40,G49,G61,G65)</f>
        <v>5325.7028049275759</v>
      </c>
      <c r="C122" s="25"/>
      <c r="D122" s="26"/>
      <c r="E122" s="26"/>
      <c r="F122" s="26"/>
    </row>
    <row r="123" spans="1:12" ht="15.75">
      <c r="A123" s="98" t="s">
        <v>94</v>
      </c>
      <c r="B123" s="108">
        <f>B118</f>
        <v>128.1</v>
      </c>
      <c r="C123" s="25"/>
      <c r="D123" s="26"/>
      <c r="E123" s="26"/>
      <c r="F123" s="26"/>
    </row>
    <row r="124" spans="1:12" ht="16.5" thickBot="1">
      <c r="A124" s="99" t="s">
        <v>133</v>
      </c>
      <c r="B124" s="109">
        <f>SUM(B121:B123)</f>
        <v>26170.289338977869</v>
      </c>
      <c r="C124" s="25"/>
      <c r="D124" s="26"/>
      <c r="E124" s="26"/>
      <c r="F124" s="26"/>
    </row>
    <row r="125" spans="1:12">
      <c r="B125" s="25"/>
      <c r="C125" s="25"/>
      <c r="D125" s="26"/>
      <c r="E125" s="26"/>
      <c r="F125" s="26"/>
    </row>
    <row r="126" spans="1:12">
      <c r="B126" s="25"/>
      <c r="C126" s="25"/>
      <c r="D126" s="25"/>
      <c r="E126" s="25"/>
      <c r="F126" s="25"/>
    </row>
    <row r="127" spans="1:12">
      <c r="B127" s="25"/>
      <c r="C127" s="25"/>
      <c r="D127" s="25"/>
      <c r="E127" s="25"/>
      <c r="F127" s="25"/>
    </row>
    <row r="128" spans="1:12">
      <c r="B128" s="25"/>
      <c r="C128" s="25"/>
      <c r="D128" s="25"/>
      <c r="E128" s="25"/>
      <c r="F128" s="25"/>
    </row>
    <row r="129" spans="1:12">
      <c r="B129" s="25"/>
      <c r="C129" s="25"/>
      <c r="D129" s="25"/>
      <c r="E129" s="25"/>
      <c r="F129" s="25"/>
    </row>
    <row r="130" spans="1:12" s="25" customFormat="1">
      <c r="A130" s="15"/>
      <c r="G130" s="16"/>
      <c r="H130" s="15"/>
      <c r="I130" s="15"/>
      <c r="J130" s="15"/>
      <c r="K130" s="15"/>
      <c r="L130" s="15"/>
    </row>
    <row r="131" spans="1:12" s="25" customFormat="1">
      <c r="A131" s="15"/>
      <c r="G131" s="16"/>
      <c r="H131" s="15"/>
      <c r="I131" s="15"/>
      <c r="J131" s="15"/>
      <c r="K131" s="15"/>
      <c r="L131" s="15"/>
    </row>
    <row r="132" spans="1:12">
      <c r="B132" s="25"/>
    </row>
  </sheetData>
  <mergeCells count="1"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0"/>
  <sheetViews>
    <sheetView showGridLines="0" topLeftCell="A37" workbookViewId="0">
      <selection activeCell="G58" sqref="G58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130</v>
      </c>
      <c r="J1" s="122"/>
    </row>
    <row r="2" spans="1:12">
      <c r="A2" s="28" t="s">
        <v>3</v>
      </c>
      <c r="B2" s="37">
        <f>2427.99</f>
        <v>2427.9899999999998</v>
      </c>
      <c r="C2" s="37">
        <v>2167.19</v>
      </c>
      <c r="D2" s="50"/>
      <c r="E2" s="47">
        <f>B2-C2</f>
        <v>260.79999999999973</v>
      </c>
      <c r="F2" s="41"/>
      <c r="G2" s="39">
        <v>104.39</v>
      </c>
      <c r="I2" s="84"/>
      <c r="J2" s="85"/>
    </row>
    <row r="3" spans="1:12" s="12" customFormat="1">
      <c r="A3" s="29" t="s">
        <v>36</v>
      </c>
      <c r="B3" s="32">
        <f>49+1750.41</f>
        <v>1799.41</v>
      </c>
      <c r="C3" s="32">
        <f>49+1750.41</f>
        <v>1799.41</v>
      </c>
      <c r="D3" s="29"/>
      <c r="E3" s="48">
        <f>B3-C3</f>
        <v>0</v>
      </c>
      <c r="F3" s="42"/>
      <c r="G3" s="43">
        <v>259.42</v>
      </c>
      <c r="H3" s="18"/>
      <c r="I3" s="86" t="s">
        <v>97</v>
      </c>
      <c r="J3" s="87">
        <v>17.089400000000001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6">
        <v>162.53</v>
      </c>
      <c r="H4" s="18"/>
      <c r="I4" s="88" t="s">
        <v>98</v>
      </c>
      <c r="J4" s="89">
        <v>1.4815</v>
      </c>
      <c r="K4" s="18"/>
      <c r="L4" s="18"/>
    </row>
    <row r="5" spans="1:12" s="12" customFormat="1" ht="13.5" thickBot="1">
      <c r="A5" s="67" t="s">
        <v>91</v>
      </c>
      <c r="B5" s="68">
        <f>SUM(B2:B4)</f>
        <v>4227.3999999999996</v>
      </c>
      <c r="C5" s="68">
        <f t="shared" ref="C5:G5" si="0">SUM(C2:C4)</f>
        <v>3966.6000000000004</v>
      </c>
      <c r="D5" s="68"/>
      <c r="E5" s="69">
        <f t="shared" si="0"/>
        <v>260.79999999999973</v>
      </c>
      <c r="F5" s="68"/>
      <c r="G5" s="69">
        <f t="shared" si="0"/>
        <v>526.34</v>
      </c>
      <c r="H5" s="18"/>
      <c r="I5" s="90" t="s">
        <v>99</v>
      </c>
      <c r="J5" s="91">
        <v>1.1214999999999999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>
        <v>51.17</v>
      </c>
    </row>
    <row r="9" spans="1:12" s="12" customFormat="1">
      <c r="A9" s="29" t="s">
        <v>12</v>
      </c>
      <c r="B9" s="32"/>
      <c r="C9" s="32"/>
      <c r="D9" s="29"/>
      <c r="E9" s="48">
        <f>B9-C9</f>
        <v>0</v>
      </c>
      <c r="F9" s="42"/>
      <c r="G9" s="43">
        <v>19.100000000000001</v>
      </c>
      <c r="H9" s="18"/>
      <c r="I9" s="18"/>
      <c r="J9" s="18"/>
      <c r="K9" s="18"/>
      <c r="L9" s="18"/>
    </row>
    <row r="10" spans="1:12" s="12" customFormat="1">
      <c r="A10" s="29" t="s">
        <v>131</v>
      </c>
      <c r="B10" s="32"/>
      <c r="C10" s="32"/>
      <c r="D10" s="29"/>
      <c r="E10" s="48"/>
      <c r="F10" s="42"/>
      <c r="G10" s="43">
        <v>0.78</v>
      </c>
      <c r="H10" s="18"/>
      <c r="I10" s="18"/>
      <c r="J10" s="18"/>
      <c r="K10" s="18"/>
      <c r="L10" s="18"/>
    </row>
    <row r="11" spans="1:12" s="12" customFormat="1" ht="13.5" thickBot="1">
      <c r="A11" s="30" t="s">
        <v>85</v>
      </c>
      <c r="B11" s="44"/>
      <c r="C11" s="44"/>
      <c r="D11" s="51"/>
      <c r="E11" s="49">
        <f>B11-C11</f>
        <v>0</v>
      </c>
      <c r="F11" s="45"/>
      <c r="G11" s="46">
        <v>40.92</v>
      </c>
      <c r="H11" s="18"/>
      <c r="I11" s="18"/>
      <c r="J11" s="18"/>
      <c r="K11" s="18"/>
      <c r="L11" s="18"/>
    </row>
    <row r="12" spans="1:12" s="12" customFormat="1" ht="13.5" thickBot="1">
      <c r="A12" s="67" t="s">
        <v>91</v>
      </c>
      <c r="B12" s="68">
        <f>SUM(B8:B11)</f>
        <v>0</v>
      </c>
      <c r="C12" s="68">
        <f>SUM(C8:C11)</f>
        <v>0</v>
      </c>
      <c r="D12" s="68"/>
      <c r="E12" s="69">
        <f t="shared" ref="E12" si="1">SUM(E8:E11)</f>
        <v>0</v>
      </c>
      <c r="F12" s="68"/>
      <c r="G12" s="69">
        <f t="shared" ref="G12" si="2">SUM(G8:G11)</f>
        <v>111.97000000000001</v>
      </c>
      <c r="H12" s="18"/>
      <c r="I12" s="18"/>
      <c r="J12" s="18"/>
      <c r="K12" s="18"/>
      <c r="L12" s="18"/>
    </row>
    <row r="13" spans="1:12" s="12" customFormat="1" ht="16.5" thickBot="1">
      <c r="A13" s="21"/>
      <c r="B13" s="13"/>
      <c r="C13" s="3"/>
      <c r="D13" s="3"/>
      <c r="E13" s="3"/>
      <c r="F13" s="3"/>
      <c r="G13" s="14"/>
      <c r="H13" s="2"/>
    </row>
    <row r="14" spans="1:12" ht="32.25" thickBot="1">
      <c r="A14" s="27" t="s">
        <v>86</v>
      </c>
      <c r="B14" s="31" t="s">
        <v>1</v>
      </c>
      <c r="C14" s="34" t="s">
        <v>2</v>
      </c>
      <c r="D14" s="34" t="s">
        <v>80</v>
      </c>
      <c r="E14" s="38" t="s">
        <v>81</v>
      </c>
      <c r="F14" s="34" t="s">
        <v>82</v>
      </c>
      <c r="G14" s="38" t="s">
        <v>83</v>
      </c>
      <c r="H14" s="1"/>
    </row>
    <row r="15" spans="1:12" s="12" customFormat="1">
      <c r="A15" s="28" t="s">
        <v>27</v>
      </c>
      <c r="B15" s="37"/>
      <c r="C15" s="37"/>
      <c r="D15" s="50"/>
      <c r="E15" s="47">
        <f>B15-C15</f>
        <v>0</v>
      </c>
      <c r="F15" s="41"/>
      <c r="G15" s="39">
        <v>21.81</v>
      </c>
      <c r="H15" s="18"/>
      <c r="I15" s="18"/>
      <c r="J15" s="18"/>
      <c r="K15" s="18"/>
      <c r="L15" s="18"/>
    </row>
    <row r="16" spans="1:12" s="12" customFormat="1" ht="13.5" thickBot="1">
      <c r="A16" s="51" t="s">
        <v>29</v>
      </c>
      <c r="B16" s="52"/>
      <c r="C16" s="52"/>
      <c r="D16" s="51"/>
      <c r="E16" s="49">
        <f>B16-C16</f>
        <v>0</v>
      </c>
      <c r="F16" s="45"/>
      <c r="G16" s="53">
        <v>4.9800000000000004</v>
      </c>
      <c r="H16" s="18"/>
      <c r="I16" s="18"/>
      <c r="J16" s="18"/>
      <c r="K16" s="18"/>
      <c r="L16" s="18"/>
    </row>
    <row r="17" spans="1:12" s="12" customFormat="1" ht="13.5" thickBot="1">
      <c r="A17" s="67" t="s">
        <v>91</v>
      </c>
      <c r="B17" s="68">
        <f>SUM(B15:B16)</f>
        <v>0</v>
      </c>
      <c r="C17" s="68">
        <f>SUM(C15:C16)</f>
        <v>0</v>
      </c>
      <c r="D17" s="68"/>
      <c r="E17" s="69">
        <f>SUM(E15:E16)</f>
        <v>0</v>
      </c>
      <c r="F17" s="68"/>
      <c r="G17" s="69">
        <f>SUM(G15:G16)</f>
        <v>26.79</v>
      </c>
      <c r="H17" s="18"/>
      <c r="I17" s="18"/>
      <c r="J17" s="18"/>
      <c r="K17" s="18"/>
      <c r="L17" s="18"/>
    </row>
    <row r="18" spans="1:12" s="12" customFormat="1" ht="13.5" thickBot="1">
      <c r="A18" s="19"/>
      <c r="B18" s="4"/>
      <c r="C18" s="4"/>
      <c r="D18" s="17"/>
      <c r="E18" s="17"/>
      <c r="F18" s="17"/>
      <c r="G18" s="20"/>
      <c r="H18" s="18"/>
      <c r="I18" s="18"/>
      <c r="J18" s="18"/>
      <c r="K18" s="18"/>
      <c r="L18" s="18"/>
    </row>
    <row r="19" spans="1:12" ht="32.25" thickBot="1">
      <c r="A19" s="54" t="s">
        <v>87</v>
      </c>
      <c r="B19" s="31"/>
      <c r="C19" s="34"/>
      <c r="D19" s="34" t="s">
        <v>80</v>
      </c>
      <c r="E19" s="38" t="s">
        <v>81</v>
      </c>
      <c r="F19" s="34" t="s">
        <v>82</v>
      </c>
      <c r="G19" s="38" t="s">
        <v>83</v>
      </c>
      <c r="H19" s="22"/>
    </row>
    <row r="20" spans="1:12" s="12" customFormat="1">
      <c r="A20" s="55" t="s">
        <v>88</v>
      </c>
      <c r="B20" s="57"/>
      <c r="C20" s="35"/>
      <c r="D20" s="35">
        <f>B20-C20</f>
        <v>0</v>
      </c>
      <c r="E20" s="48">
        <f>B20-C20</f>
        <v>0</v>
      </c>
      <c r="F20" s="35"/>
      <c r="G20" s="62">
        <v>4.3899999999999997</v>
      </c>
      <c r="H20" s="18"/>
      <c r="I20" s="18"/>
      <c r="J20" s="18"/>
      <c r="K20" s="18"/>
      <c r="L20" s="18"/>
    </row>
    <row r="21" spans="1:12" s="12" customFormat="1">
      <c r="A21" s="56" t="s">
        <v>5</v>
      </c>
      <c r="B21" s="57"/>
      <c r="C21" s="35"/>
      <c r="D21" s="35">
        <f t="shared" ref="D21:D40" si="3">B21-C21</f>
        <v>0</v>
      </c>
      <c r="E21" s="60">
        <f>B21-C21</f>
        <v>0</v>
      </c>
      <c r="F21" s="35"/>
      <c r="G21" s="62">
        <v>3.2</v>
      </c>
      <c r="H21" s="18"/>
      <c r="I21" s="18"/>
      <c r="J21" s="18"/>
      <c r="K21" s="18"/>
      <c r="L21" s="18"/>
    </row>
    <row r="22" spans="1:12" s="12" customFormat="1" ht="13.5" customHeight="1">
      <c r="A22" s="29" t="s">
        <v>6</v>
      </c>
      <c r="B22" s="58"/>
      <c r="C22" s="35"/>
      <c r="D22" s="35">
        <f t="shared" si="3"/>
        <v>0</v>
      </c>
      <c r="E22" s="60">
        <f t="shared" ref="E22:E40" si="4">B22-C22</f>
        <v>0</v>
      </c>
      <c r="F22" s="35"/>
      <c r="G22" s="40">
        <v>19.23</v>
      </c>
      <c r="H22" s="18"/>
      <c r="I22" s="18"/>
      <c r="J22" s="18"/>
      <c r="K22" s="18"/>
      <c r="L22" s="18"/>
    </row>
    <row r="23" spans="1:12" s="12" customFormat="1">
      <c r="A23" s="29" t="s">
        <v>7</v>
      </c>
      <c r="B23" s="58"/>
      <c r="C23" s="35"/>
      <c r="D23" s="35">
        <f t="shared" si="3"/>
        <v>0</v>
      </c>
      <c r="E23" s="60">
        <f t="shared" si="4"/>
        <v>0</v>
      </c>
      <c r="F23" s="35"/>
      <c r="G23" s="40">
        <v>2.29</v>
      </c>
      <c r="H23" s="18"/>
      <c r="I23" s="18"/>
      <c r="J23" s="18"/>
      <c r="K23" s="18"/>
      <c r="L23" s="18"/>
    </row>
    <row r="24" spans="1:12" s="12" customFormat="1">
      <c r="A24" s="29" t="s">
        <v>8</v>
      </c>
      <c r="B24" s="58"/>
      <c r="C24" s="35"/>
      <c r="D24" s="35">
        <f>B24-C24</f>
        <v>0</v>
      </c>
      <c r="E24" s="60">
        <f t="shared" si="4"/>
        <v>0</v>
      </c>
      <c r="F24" s="35"/>
      <c r="G24" s="40">
        <v>0.91</v>
      </c>
      <c r="H24" s="18"/>
      <c r="I24" s="18"/>
      <c r="J24" s="18"/>
      <c r="K24" s="18"/>
      <c r="L24" s="18"/>
    </row>
    <row r="25" spans="1:12" s="12" customFormat="1">
      <c r="A25" s="29" t="s">
        <v>9</v>
      </c>
      <c r="B25" s="58"/>
      <c r="C25" s="35"/>
      <c r="D25" s="35">
        <f t="shared" si="3"/>
        <v>0</v>
      </c>
      <c r="E25" s="60">
        <f t="shared" si="4"/>
        <v>0</v>
      </c>
      <c r="F25" s="35"/>
      <c r="G25" s="40">
        <v>0</v>
      </c>
      <c r="H25" s="18"/>
      <c r="I25" s="18"/>
      <c r="J25" s="18"/>
      <c r="K25" s="18"/>
      <c r="L25" s="18"/>
    </row>
    <row r="26" spans="1:12" s="12" customFormat="1">
      <c r="A26" s="29" t="s">
        <v>10</v>
      </c>
      <c r="B26" s="58"/>
      <c r="C26" s="35"/>
      <c r="D26" s="35">
        <f t="shared" si="3"/>
        <v>0</v>
      </c>
      <c r="E26" s="60">
        <f t="shared" si="4"/>
        <v>0</v>
      </c>
      <c r="F26" s="35"/>
      <c r="G26" s="40"/>
      <c r="H26" s="18"/>
      <c r="I26" s="18"/>
      <c r="J26" s="18"/>
      <c r="K26" s="18"/>
      <c r="L26" s="18"/>
    </row>
    <row r="27" spans="1:12" s="12" customFormat="1">
      <c r="A27" s="29" t="s">
        <v>13</v>
      </c>
      <c r="B27" s="58"/>
      <c r="C27" s="35"/>
      <c r="D27" s="35">
        <f t="shared" si="3"/>
        <v>0</v>
      </c>
      <c r="E27" s="60">
        <f t="shared" si="4"/>
        <v>0</v>
      </c>
      <c r="F27" s="35"/>
      <c r="G27" s="40"/>
      <c r="H27" s="18"/>
      <c r="I27" s="18"/>
      <c r="J27" s="18"/>
      <c r="K27" s="18"/>
      <c r="L27" s="18"/>
    </row>
    <row r="28" spans="1:12" s="12" customFormat="1">
      <c r="A28" s="29" t="s">
        <v>14</v>
      </c>
      <c r="B28" s="58">
        <f>87.95</f>
        <v>87.95</v>
      </c>
      <c r="C28" s="35">
        <f>49.61</f>
        <v>49.61</v>
      </c>
      <c r="D28" s="35">
        <f t="shared" si="3"/>
        <v>38.340000000000003</v>
      </c>
      <c r="E28" s="60">
        <f t="shared" si="4"/>
        <v>38.340000000000003</v>
      </c>
      <c r="F28" s="35"/>
      <c r="G28" s="40">
        <v>2.31</v>
      </c>
      <c r="H28" s="18"/>
      <c r="I28" s="18"/>
      <c r="J28" s="18"/>
      <c r="K28" s="18"/>
      <c r="L28" s="18"/>
    </row>
    <row r="29" spans="1:12" s="12" customFormat="1">
      <c r="A29" s="29" t="s">
        <v>16</v>
      </c>
      <c r="B29" s="58"/>
      <c r="C29" s="35"/>
      <c r="D29" s="35">
        <f t="shared" si="3"/>
        <v>0</v>
      </c>
      <c r="E29" s="60">
        <f t="shared" si="4"/>
        <v>0</v>
      </c>
      <c r="F29" s="35"/>
      <c r="G29" s="40"/>
      <c r="H29" s="18"/>
      <c r="I29" s="18"/>
      <c r="J29" s="18"/>
      <c r="K29" s="18"/>
      <c r="L29" s="18"/>
    </row>
    <row r="30" spans="1:12" s="12" customFormat="1">
      <c r="A30" s="29" t="s">
        <v>17</v>
      </c>
      <c r="B30" s="58"/>
      <c r="C30" s="35"/>
      <c r="D30" s="35">
        <f t="shared" si="3"/>
        <v>0</v>
      </c>
      <c r="E30" s="60">
        <f t="shared" si="4"/>
        <v>0</v>
      </c>
      <c r="F30" s="35"/>
      <c r="G30" s="40">
        <v>60.95</v>
      </c>
      <c r="H30" s="18"/>
      <c r="I30" s="18"/>
      <c r="J30" s="18"/>
      <c r="K30" s="18"/>
      <c r="L30" s="18"/>
    </row>
    <row r="31" spans="1:12" s="12" customFormat="1">
      <c r="A31" s="56" t="s">
        <v>19</v>
      </c>
      <c r="B31" s="57"/>
      <c r="C31" s="35"/>
      <c r="D31" s="35">
        <f t="shared" si="3"/>
        <v>0</v>
      </c>
      <c r="E31" s="60">
        <f t="shared" si="4"/>
        <v>0</v>
      </c>
      <c r="F31" s="35"/>
      <c r="G31" s="60">
        <v>0.22</v>
      </c>
      <c r="H31" s="18"/>
      <c r="I31" s="18"/>
      <c r="J31" s="18"/>
      <c r="K31" s="18"/>
      <c r="L31" s="18"/>
    </row>
    <row r="32" spans="1:12" s="12" customFormat="1">
      <c r="A32" s="56" t="s">
        <v>21</v>
      </c>
      <c r="B32" s="57"/>
      <c r="C32" s="35"/>
      <c r="D32" s="35">
        <f t="shared" si="3"/>
        <v>0</v>
      </c>
      <c r="E32" s="60">
        <f t="shared" si="4"/>
        <v>0</v>
      </c>
      <c r="F32" s="35"/>
      <c r="G32" s="60">
        <v>0</v>
      </c>
      <c r="H32" s="18"/>
      <c r="I32" s="18"/>
      <c r="J32" s="18"/>
      <c r="K32" s="18"/>
      <c r="L32" s="18"/>
    </row>
    <row r="33" spans="1:12" s="12" customFormat="1">
      <c r="A33" s="56" t="s">
        <v>22</v>
      </c>
      <c r="B33" s="57"/>
      <c r="C33" s="35"/>
      <c r="D33" s="35">
        <f t="shared" si="3"/>
        <v>0</v>
      </c>
      <c r="E33" s="60">
        <f t="shared" si="4"/>
        <v>0</v>
      </c>
      <c r="F33" s="35"/>
      <c r="G33" s="60">
        <v>0.56999999999999995</v>
      </c>
      <c r="H33" s="18"/>
      <c r="I33" s="18"/>
      <c r="J33" s="18"/>
      <c r="K33" s="18"/>
      <c r="L33" s="18"/>
    </row>
    <row r="34" spans="1:12" s="12" customFormat="1">
      <c r="A34" s="56" t="s">
        <v>23</v>
      </c>
      <c r="B34" s="57"/>
      <c r="C34" s="35"/>
      <c r="D34" s="35">
        <f t="shared" si="3"/>
        <v>0</v>
      </c>
      <c r="E34" s="60">
        <f t="shared" si="4"/>
        <v>0</v>
      </c>
      <c r="F34" s="35"/>
      <c r="G34" s="60"/>
      <c r="H34" s="18"/>
      <c r="I34" s="18"/>
      <c r="J34" s="18"/>
      <c r="K34" s="18"/>
      <c r="L34" s="18"/>
    </row>
    <row r="35" spans="1:12" s="12" customFormat="1">
      <c r="A35" s="56" t="s">
        <v>24</v>
      </c>
      <c r="B35" s="57"/>
      <c r="C35" s="35"/>
      <c r="D35" s="35">
        <f t="shared" si="3"/>
        <v>0</v>
      </c>
      <c r="E35" s="60">
        <f t="shared" si="4"/>
        <v>0</v>
      </c>
      <c r="F35" s="35"/>
      <c r="G35" s="62">
        <v>0.86</v>
      </c>
      <c r="H35" s="18"/>
      <c r="I35" s="18"/>
      <c r="J35" s="18"/>
      <c r="K35" s="18"/>
      <c r="L35" s="18"/>
    </row>
    <row r="36" spans="1:12" s="12" customFormat="1">
      <c r="A36" s="56" t="s">
        <v>26</v>
      </c>
      <c r="B36" s="58"/>
      <c r="C36" s="35"/>
      <c r="D36" s="35">
        <f t="shared" si="3"/>
        <v>0</v>
      </c>
      <c r="E36" s="60">
        <f t="shared" si="4"/>
        <v>0</v>
      </c>
      <c r="F36" s="35"/>
      <c r="G36" s="62">
        <v>0</v>
      </c>
      <c r="H36" s="18"/>
      <c r="I36" s="18"/>
      <c r="J36" s="18"/>
      <c r="K36" s="18"/>
      <c r="L36" s="18"/>
    </row>
    <row r="37" spans="1:12" s="12" customFormat="1" ht="12.75" customHeight="1">
      <c r="A37" s="29" t="s">
        <v>31</v>
      </c>
      <c r="B37" s="58">
        <f>447.14</f>
        <v>447.14</v>
      </c>
      <c r="C37" s="35">
        <f>125.38+321.76</f>
        <v>447.14</v>
      </c>
      <c r="D37" s="35">
        <f t="shared" si="3"/>
        <v>0</v>
      </c>
      <c r="E37" s="60">
        <f t="shared" si="4"/>
        <v>0</v>
      </c>
      <c r="F37" s="35"/>
      <c r="G37" s="40">
        <v>49.95</v>
      </c>
      <c r="H37" s="5"/>
      <c r="I37" s="18"/>
      <c r="J37" s="18"/>
      <c r="K37" s="18"/>
      <c r="L37" s="18"/>
    </row>
    <row r="38" spans="1:12" s="12" customFormat="1" ht="12.75" customHeight="1">
      <c r="A38" s="29" t="s">
        <v>32</v>
      </c>
      <c r="B38" s="58"/>
      <c r="C38" s="35"/>
      <c r="D38" s="35">
        <f t="shared" si="3"/>
        <v>0</v>
      </c>
      <c r="E38" s="60">
        <f t="shared" si="4"/>
        <v>0</v>
      </c>
      <c r="F38" s="35"/>
      <c r="G38" s="40">
        <v>64</v>
      </c>
      <c r="H38" s="5"/>
      <c r="I38" s="18"/>
      <c r="J38" s="18"/>
      <c r="K38" s="18"/>
      <c r="L38" s="18"/>
    </row>
    <row r="39" spans="1:12" s="12" customFormat="1" ht="12.75" customHeight="1">
      <c r="A39" s="29" t="s">
        <v>33</v>
      </c>
      <c r="B39" s="58"/>
      <c r="C39" s="35"/>
      <c r="D39" s="35">
        <f t="shared" si="3"/>
        <v>0</v>
      </c>
      <c r="E39" s="60">
        <f t="shared" si="4"/>
        <v>0</v>
      </c>
      <c r="F39" s="35"/>
      <c r="G39" s="40">
        <v>6.72</v>
      </c>
      <c r="H39" s="5"/>
      <c r="I39" s="18"/>
      <c r="J39" s="18"/>
      <c r="K39" s="18"/>
      <c r="L39" s="18"/>
    </row>
    <row r="40" spans="1:12" s="12" customFormat="1" ht="12.75" customHeight="1" thickBot="1">
      <c r="A40" s="51" t="s">
        <v>90</v>
      </c>
      <c r="B40" s="59"/>
      <c r="C40" s="36"/>
      <c r="D40" s="36">
        <f t="shared" si="3"/>
        <v>0</v>
      </c>
      <c r="E40" s="61">
        <f t="shared" si="4"/>
        <v>0</v>
      </c>
      <c r="F40" s="36"/>
      <c r="G40" s="64">
        <v>0.03</v>
      </c>
      <c r="H40" s="5"/>
      <c r="I40" s="18"/>
      <c r="J40" s="18"/>
      <c r="K40" s="18"/>
      <c r="L40" s="18"/>
    </row>
    <row r="41" spans="1:12" s="12" customFormat="1" ht="13.5" thickBot="1">
      <c r="A41" s="67" t="s">
        <v>91</v>
      </c>
      <c r="B41" s="68">
        <f>SUM(B20:B40)</f>
        <v>535.09</v>
      </c>
      <c r="C41" s="68">
        <f>SUM(C20:C40)</f>
        <v>496.75</v>
      </c>
      <c r="D41" s="68"/>
      <c r="E41" s="69">
        <f>SUM(E20:E40)</f>
        <v>38.340000000000003</v>
      </c>
      <c r="F41" s="68"/>
      <c r="G41" s="69">
        <f>SUM(G20:G40)</f>
        <v>215.63</v>
      </c>
      <c r="H41" s="18"/>
      <c r="I41" s="18"/>
      <c r="J41" s="18"/>
      <c r="K41" s="18"/>
      <c r="L41" s="18"/>
    </row>
    <row r="42" spans="1:12" s="12" customFormat="1" ht="12.75" customHeight="1" thickBot="1">
      <c r="B42" s="16"/>
      <c r="C42" s="17"/>
      <c r="D42" s="17"/>
      <c r="E42" s="65"/>
      <c r="F42" s="17"/>
      <c r="G42" s="66"/>
      <c r="H42" s="5"/>
      <c r="I42" s="18"/>
      <c r="J42" s="18"/>
      <c r="K42" s="18"/>
      <c r="L42" s="18"/>
    </row>
    <row r="43" spans="1:12" s="12" customFormat="1" ht="32.25" thickBot="1">
      <c r="A43" s="8" t="s">
        <v>93</v>
      </c>
      <c r="B43" s="31" t="s">
        <v>1</v>
      </c>
      <c r="C43" s="34" t="s">
        <v>2</v>
      </c>
      <c r="D43" s="34" t="s">
        <v>80</v>
      </c>
      <c r="E43" s="38" t="s">
        <v>81</v>
      </c>
      <c r="F43" s="34" t="s">
        <v>82</v>
      </c>
      <c r="G43" s="38" t="s">
        <v>83</v>
      </c>
      <c r="H43" s="2"/>
    </row>
    <row r="44" spans="1:12" s="12" customFormat="1">
      <c r="A44" s="29" t="s">
        <v>37</v>
      </c>
      <c r="B44" s="58">
        <f>373.89+193.96+895.63</f>
        <v>1463.48</v>
      </c>
      <c r="C44" s="58">
        <f>501.8+193.96+913.87</f>
        <v>1609.63</v>
      </c>
      <c r="D44" s="35">
        <f>B44-C44</f>
        <v>-146.15000000000009</v>
      </c>
      <c r="E44" s="60">
        <f>B44-C44</f>
        <v>-146.15000000000009</v>
      </c>
      <c r="F44" s="35"/>
      <c r="G44" s="63">
        <v>717.3</v>
      </c>
      <c r="H44" s="18"/>
      <c r="I44" s="18"/>
      <c r="J44" s="18"/>
      <c r="K44" s="18"/>
      <c r="L44" s="18"/>
    </row>
    <row r="45" spans="1:12" s="12" customFormat="1">
      <c r="A45" s="29" t="s">
        <v>92</v>
      </c>
      <c r="B45" s="58"/>
      <c r="C45" s="58"/>
      <c r="D45" s="35"/>
      <c r="E45" s="60">
        <f>B45-C45</f>
        <v>0</v>
      </c>
      <c r="F45" s="35"/>
      <c r="G45" s="40"/>
      <c r="H45" s="18"/>
      <c r="I45" s="18"/>
      <c r="J45" s="18"/>
      <c r="K45" s="18"/>
      <c r="L45" s="18"/>
    </row>
    <row r="46" spans="1:12" s="12" customFormat="1" ht="17.25" customHeight="1">
      <c r="A46" s="29" t="s">
        <v>38</v>
      </c>
      <c r="B46" s="58">
        <f>1002.36+84.16</f>
        <v>1086.52</v>
      </c>
      <c r="C46" s="58">
        <f>17.13+984.74+37.2</f>
        <v>1039.07</v>
      </c>
      <c r="D46" s="35">
        <f>B46-C46</f>
        <v>47.450000000000045</v>
      </c>
      <c r="E46" s="60">
        <f t="shared" ref="E46:E49" si="5">B46-C46</f>
        <v>47.450000000000045</v>
      </c>
      <c r="F46" s="35"/>
      <c r="G46" s="63">
        <v>493.72</v>
      </c>
      <c r="H46" s="18"/>
      <c r="I46" s="18"/>
      <c r="J46" s="18"/>
      <c r="K46" s="18"/>
      <c r="L46" s="18"/>
    </row>
    <row r="47" spans="1:12" s="12" customFormat="1">
      <c r="A47" s="29" t="s">
        <v>39</v>
      </c>
      <c r="B47" s="73">
        <f>1670.36+632.56+1362</f>
        <v>3664.92</v>
      </c>
      <c r="C47" s="73">
        <f>1670.36+632.56+1362</f>
        <v>3664.92</v>
      </c>
      <c r="D47" s="74">
        <f>B47-C47</f>
        <v>0</v>
      </c>
      <c r="E47" s="60">
        <f>D47/$J$4</f>
        <v>0</v>
      </c>
      <c r="F47" s="74">
        <v>434.72</v>
      </c>
      <c r="G47" s="60">
        <f>F47/$J$4</f>
        <v>293.43233209584884</v>
      </c>
      <c r="K47" s="18"/>
      <c r="L47" s="18"/>
    </row>
    <row r="48" spans="1:12" s="12" customFormat="1">
      <c r="A48" s="29" t="s">
        <v>40</v>
      </c>
      <c r="B48" s="58">
        <f>68.6+97.55</f>
        <v>166.14999999999998</v>
      </c>
      <c r="C48" s="35">
        <f>67.6+97.55</f>
        <v>165.14999999999998</v>
      </c>
      <c r="D48" s="35">
        <f>B48-C48</f>
        <v>1</v>
      </c>
      <c r="E48" s="60">
        <f t="shared" si="5"/>
        <v>1</v>
      </c>
      <c r="F48" s="35"/>
      <c r="G48" s="60">
        <v>275</v>
      </c>
      <c r="K48" s="18"/>
      <c r="L48" s="18"/>
    </row>
    <row r="49" spans="1:12" s="12" customFormat="1" ht="17.25" customHeight="1" thickBot="1">
      <c r="A49" s="29" t="s">
        <v>136</v>
      </c>
      <c r="B49" s="58">
        <f>419.31+132.83+109.21</f>
        <v>661.35</v>
      </c>
      <c r="C49" s="58">
        <f>86.2+10.62+122.21+109.21</f>
        <v>328.24</v>
      </c>
      <c r="D49" s="35">
        <f>B49-C49</f>
        <v>333.11</v>
      </c>
      <c r="E49" s="60">
        <f t="shared" si="5"/>
        <v>333.11</v>
      </c>
      <c r="F49" s="35"/>
      <c r="G49" s="63">
        <v>650.67999999999995</v>
      </c>
      <c r="H49" s="18"/>
      <c r="I49" s="18"/>
      <c r="J49" s="18"/>
      <c r="K49" s="18"/>
      <c r="L49" s="18"/>
    </row>
    <row r="50" spans="1:12" s="12" customFormat="1" ht="13.5" thickBot="1">
      <c r="A50" s="67" t="s">
        <v>91</v>
      </c>
      <c r="B50" s="68">
        <f>SUM(B44:B46,B48)+(B47/$J$4)+(B49/$J$5)</f>
        <v>5779.6413705353098</v>
      </c>
      <c r="C50" s="68">
        <f>SUM(C44:C46,C48)+(C47/$J$4)+(C49/$J$5)</f>
        <v>5580.3195247929998</v>
      </c>
      <c r="D50" s="68"/>
      <c r="E50" s="69">
        <f>SUM(E44:E49)</f>
        <v>235.40999999999997</v>
      </c>
      <c r="F50" s="68"/>
      <c r="G50" s="69">
        <f>SUM(G44:G49)</f>
        <v>2430.1323320958486</v>
      </c>
      <c r="H50" s="18"/>
      <c r="I50" s="18"/>
      <c r="J50" s="18"/>
      <c r="K50" s="18"/>
      <c r="L50" s="18"/>
    </row>
    <row r="51" spans="1:12" s="12" customFormat="1" ht="13.5" thickBot="1">
      <c r="B51" s="7"/>
      <c r="C51" s="24"/>
      <c r="D51" s="7"/>
      <c r="E51" s="7"/>
      <c r="F51" s="7"/>
      <c r="G51" s="23"/>
      <c r="K51" s="18"/>
      <c r="L51" s="18"/>
    </row>
    <row r="52" spans="1:12" s="12" customFormat="1" ht="32.25" thickBot="1">
      <c r="A52" s="8" t="s">
        <v>89</v>
      </c>
      <c r="B52" s="31" t="s">
        <v>1</v>
      </c>
      <c r="C52" s="34" t="s">
        <v>2</v>
      </c>
      <c r="D52" s="34" t="s">
        <v>80</v>
      </c>
      <c r="E52" s="38" t="s">
        <v>81</v>
      </c>
      <c r="F52" s="34" t="s">
        <v>82</v>
      </c>
      <c r="G52" s="38" t="s">
        <v>83</v>
      </c>
      <c r="H52" s="2"/>
    </row>
    <row r="53" spans="1:12" s="12" customFormat="1">
      <c r="A53" s="29" t="s">
        <v>11</v>
      </c>
      <c r="B53" s="58">
        <f>226.69+143.1</f>
        <v>369.78999999999996</v>
      </c>
      <c r="C53" s="35">
        <f>229.44+203.1</f>
        <v>432.53999999999996</v>
      </c>
      <c r="D53" s="35">
        <f t="shared" ref="D53:D61" si="6">B53-C53</f>
        <v>-62.75</v>
      </c>
      <c r="E53" s="48">
        <f>D53</f>
        <v>-62.75</v>
      </c>
      <c r="F53" s="35"/>
      <c r="G53" s="40">
        <v>61.48</v>
      </c>
      <c r="H53" s="18"/>
      <c r="I53" s="18"/>
      <c r="J53" s="18"/>
      <c r="K53" s="18"/>
      <c r="L53" s="18"/>
    </row>
    <row r="54" spans="1:12" s="12" customFormat="1">
      <c r="A54" s="29" t="s">
        <v>123</v>
      </c>
      <c r="B54" s="73">
        <f>279.33+217.36</f>
        <v>496.69</v>
      </c>
      <c r="C54" s="74">
        <f>343.45+28.2</f>
        <v>371.65</v>
      </c>
      <c r="D54" s="74">
        <f t="shared" si="6"/>
        <v>125.04000000000002</v>
      </c>
      <c r="E54" s="48">
        <f>D54/$J$4</f>
        <v>84.400944988187661</v>
      </c>
      <c r="F54" s="74">
        <v>342.74</v>
      </c>
      <c r="G54" s="60">
        <f>F54/$J$4</f>
        <v>231.3466081673979</v>
      </c>
      <c r="H54" s="18"/>
      <c r="I54" s="18"/>
      <c r="J54" s="18"/>
      <c r="K54" s="18"/>
      <c r="L54" s="18"/>
    </row>
    <row r="55" spans="1:12" s="12" customFormat="1">
      <c r="A55" s="29" t="s">
        <v>15</v>
      </c>
      <c r="B55" s="58">
        <f>350.67</f>
        <v>350.67</v>
      </c>
      <c r="C55" s="35">
        <f>204</f>
        <v>204</v>
      </c>
      <c r="D55" s="35">
        <f t="shared" si="6"/>
        <v>146.67000000000002</v>
      </c>
      <c r="E55" s="48">
        <f>D55</f>
        <v>146.67000000000002</v>
      </c>
      <c r="F55" s="35"/>
      <c r="G55" s="40">
        <v>0.13</v>
      </c>
      <c r="H55" s="18"/>
      <c r="I55" s="18"/>
      <c r="J55" s="18"/>
      <c r="K55" s="18"/>
      <c r="L55" s="18"/>
    </row>
    <row r="56" spans="1:12" s="12" customFormat="1">
      <c r="A56" s="29" t="s">
        <v>18</v>
      </c>
      <c r="B56" s="79">
        <f>3941.52</f>
        <v>3941.52</v>
      </c>
      <c r="C56" s="80">
        <v>0</v>
      </c>
      <c r="D56" s="80">
        <f t="shared" si="6"/>
        <v>3941.52</v>
      </c>
      <c r="E56" s="48">
        <f>D56/$J$3</f>
        <v>230.64121619249357</v>
      </c>
      <c r="F56" s="80"/>
      <c r="G56" s="40">
        <f>53.38</f>
        <v>53.38</v>
      </c>
      <c r="H56" s="18"/>
      <c r="I56" s="18"/>
      <c r="J56" s="18"/>
      <c r="K56" s="18"/>
      <c r="L56" s="18"/>
    </row>
    <row r="57" spans="1:12" s="12" customFormat="1">
      <c r="A57" s="56" t="s">
        <v>20</v>
      </c>
      <c r="B57" s="57">
        <v>355.5</v>
      </c>
      <c r="C57" s="35">
        <v>355.5</v>
      </c>
      <c r="D57" s="35">
        <f t="shared" si="6"/>
        <v>0</v>
      </c>
      <c r="E57" s="48">
        <f>D57</f>
        <v>0</v>
      </c>
      <c r="F57" s="35"/>
      <c r="G57" s="48">
        <v>24.33</v>
      </c>
      <c r="H57" s="18"/>
      <c r="I57" s="18"/>
      <c r="J57" s="18"/>
      <c r="K57" s="18"/>
      <c r="L57" s="18"/>
    </row>
    <row r="58" spans="1:12" s="12" customFormat="1">
      <c r="A58" s="56" t="s">
        <v>25</v>
      </c>
      <c r="B58" s="82">
        <f>66.17+728.71+153.15</f>
        <v>948.03</v>
      </c>
      <c r="C58" s="83"/>
      <c r="D58" s="83">
        <f t="shared" si="6"/>
        <v>948.03</v>
      </c>
      <c r="E58" s="48">
        <f>D58/$J$5</f>
        <v>845.3232278198841</v>
      </c>
      <c r="F58" s="72"/>
      <c r="G58" s="105">
        <v>391.46</v>
      </c>
      <c r="H58" s="18"/>
      <c r="I58" s="18"/>
      <c r="J58" s="18"/>
      <c r="K58" s="18"/>
      <c r="L58" s="18"/>
    </row>
    <row r="59" spans="1:12" s="12" customFormat="1" ht="12.75" customHeight="1">
      <c r="A59" s="29" t="s">
        <v>28</v>
      </c>
      <c r="B59" s="58"/>
      <c r="C59" s="35"/>
      <c r="D59" s="81">
        <f t="shared" si="6"/>
        <v>0</v>
      </c>
      <c r="E59" s="92">
        <f>D59</f>
        <v>0</v>
      </c>
      <c r="F59" s="81"/>
      <c r="G59" s="40"/>
      <c r="H59" s="5"/>
      <c r="I59" s="18"/>
      <c r="J59" s="18"/>
      <c r="K59" s="18"/>
      <c r="L59" s="18"/>
    </row>
    <row r="60" spans="1:12" s="12" customFormat="1" ht="12.75" customHeight="1">
      <c r="A60" s="29" t="s">
        <v>127</v>
      </c>
      <c r="B60" s="58">
        <f>135.06+78.86</f>
        <v>213.92000000000002</v>
      </c>
      <c r="C60" s="35">
        <f>198+33.86</f>
        <v>231.86</v>
      </c>
      <c r="D60" s="35">
        <f t="shared" si="6"/>
        <v>-17.939999999999998</v>
      </c>
      <c r="E60" s="48">
        <f>D60</f>
        <v>-17.939999999999998</v>
      </c>
      <c r="F60" s="81"/>
      <c r="G60" s="40">
        <v>1.29</v>
      </c>
      <c r="H60" s="5"/>
      <c r="I60" s="18"/>
      <c r="J60" s="18"/>
      <c r="K60" s="18"/>
      <c r="L60" s="18"/>
    </row>
    <row r="61" spans="1:12" s="12" customFormat="1" ht="12.75" customHeight="1" thickBot="1">
      <c r="A61" s="29" t="s">
        <v>30</v>
      </c>
      <c r="B61" s="58">
        <f>157.17+439.5</f>
        <v>596.66999999999996</v>
      </c>
      <c r="C61" s="35">
        <f>303.67</f>
        <v>303.67</v>
      </c>
      <c r="D61" s="81">
        <f t="shared" si="6"/>
        <v>292.99999999999994</v>
      </c>
      <c r="E61" s="92">
        <f>D61</f>
        <v>292.99999999999994</v>
      </c>
      <c r="F61" s="81"/>
      <c r="G61" s="40">
        <v>74.89</v>
      </c>
      <c r="H61" s="5"/>
      <c r="I61" s="18"/>
      <c r="J61" s="18"/>
      <c r="K61" s="18"/>
      <c r="L61" s="18"/>
    </row>
    <row r="62" spans="1:12" s="12" customFormat="1" ht="13.5" thickBot="1">
      <c r="A62" s="67" t="s">
        <v>91</v>
      </c>
      <c r="B62" s="68">
        <f>SUM(B53,B55,B57,B59,B61)+(B56/$J$3)+(B58/$J$5)+(B54/$J$4)</f>
        <v>3083.8560032428873</v>
      </c>
      <c r="C62" s="68"/>
      <c r="D62" s="68"/>
      <c r="E62" s="69">
        <f>SUM(E53:E61)</f>
        <v>1519.3453890005653</v>
      </c>
      <c r="F62" s="68"/>
      <c r="G62" s="69">
        <f>SUM(G53:G61)</f>
        <v>838.30660816739783</v>
      </c>
      <c r="H62" s="18"/>
      <c r="I62" s="18"/>
      <c r="J62" s="18"/>
      <c r="K62" s="18"/>
      <c r="L62" s="18"/>
    </row>
    <row r="63" spans="1:12" s="12" customFormat="1" ht="13.5" thickBot="1">
      <c r="A63" s="77"/>
      <c r="B63" s="78"/>
      <c r="C63" s="78"/>
      <c r="D63" s="78"/>
      <c r="E63" s="78"/>
      <c r="F63" s="78"/>
      <c r="G63" s="78"/>
      <c r="H63" s="18"/>
      <c r="I63" s="18"/>
      <c r="J63" s="18"/>
      <c r="K63" s="18"/>
      <c r="L63" s="18"/>
    </row>
    <row r="64" spans="1:12" ht="34.5" customHeight="1" thickBot="1">
      <c r="A64" s="8" t="s">
        <v>42</v>
      </c>
      <c r="B64" s="31" t="s">
        <v>1</v>
      </c>
      <c r="C64" s="34" t="s">
        <v>2</v>
      </c>
      <c r="D64" s="34" t="s">
        <v>80</v>
      </c>
      <c r="E64" s="38" t="s">
        <v>81</v>
      </c>
      <c r="F64" s="34" t="s">
        <v>82</v>
      </c>
      <c r="G64" s="38" t="s">
        <v>83</v>
      </c>
      <c r="H64" s="18"/>
      <c r="I64" s="18"/>
      <c r="J64" s="18"/>
      <c r="K64" s="18"/>
      <c r="L64" s="18"/>
    </row>
    <row r="65" spans="1:12" ht="19.5" customHeight="1" thickBot="1">
      <c r="A65" s="29" t="s">
        <v>121</v>
      </c>
      <c r="B65" s="70">
        <v>166.59</v>
      </c>
      <c r="C65" s="71">
        <v>0</v>
      </c>
      <c r="D65" s="83">
        <f>B65-C65</f>
        <v>166.59</v>
      </c>
      <c r="E65" s="48">
        <f>D65/$J$5</f>
        <v>148.54213107445386</v>
      </c>
      <c r="F65" s="70"/>
      <c r="G65" s="48"/>
      <c r="H65" s="110"/>
    </row>
    <row r="66" spans="1:12" s="12" customFormat="1" ht="13.5" thickBot="1">
      <c r="A66" s="67" t="s">
        <v>91</v>
      </c>
      <c r="B66" s="68">
        <f>B65/J5</f>
        <v>148.54213107445386</v>
      </c>
      <c r="C66" s="68">
        <f>C65</f>
        <v>0</v>
      </c>
      <c r="D66" s="68"/>
      <c r="E66" s="69">
        <f>E65</f>
        <v>148.54213107445386</v>
      </c>
      <c r="F66" s="68"/>
      <c r="G66" s="69">
        <f>G65</f>
        <v>0</v>
      </c>
      <c r="H66" s="18"/>
      <c r="I66" s="18"/>
      <c r="J66" s="18"/>
      <c r="K66" s="18"/>
      <c r="L66" s="18"/>
    </row>
    <row r="67" spans="1:12" ht="19.5" customHeight="1" thickBot="1">
      <c r="A67" s="12"/>
      <c r="B67" s="7"/>
      <c r="C67" s="24"/>
      <c r="D67" s="7"/>
      <c r="E67" s="7"/>
      <c r="F67" s="7"/>
      <c r="G67" s="6"/>
    </row>
    <row r="68" spans="1:12" ht="19.5" customHeight="1" thickBot="1">
      <c r="A68" s="8" t="s">
        <v>100</v>
      </c>
      <c r="B68" s="8" t="s">
        <v>43</v>
      </c>
      <c r="C68" s="6"/>
      <c r="D68" s="6"/>
      <c r="E68" s="6"/>
      <c r="F68" s="6"/>
      <c r="G68" s="6"/>
      <c r="H68" s="18"/>
      <c r="I68" s="18"/>
      <c r="J68" s="18"/>
      <c r="K68" s="18"/>
      <c r="L68" s="18"/>
    </row>
    <row r="69" spans="1:12" ht="30" customHeight="1">
      <c r="A69" s="56" t="s">
        <v>44</v>
      </c>
      <c r="B69" s="57">
        <v>0</v>
      </c>
      <c r="C69" s="6"/>
      <c r="D69" s="6"/>
      <c r="E69" s="6"/>
      <c r="F69" s="6"/>
      <c r="G69" s="6"/>
    </row>
    <row r="70" spans="1:12" ht="15.75">
      <c r="A70" s="56" t="s">
        <v>101</v>
      </c>
      <c r="B70" s="57"/>
      <c r="C70" s="6"/>
      <c r="D70" s="6"/>
      <c r="E70" s="6"/>
      <c r="F70" s="6"/>
      <c r="G70" s="6"/>
    </row>
    <row r="71" spans="1:12" ht="15.75">
      <c r="A71" s="56" t="s">
        <v>103</v>
      </c>
      <c r="B71" s="57">
        <v>0.25</v>
      </c>
      <c r="C71" s="6"/>
      <c r="D71" s="6"/>
      <c r="E71" s="6"/>
      <c r="F71" s="6"/>
      <c r="G71" s="6"/>
    </row>
    <row r="72" spans="1:12" ht="15.75">
      <c r="A72" s="56" t="s">
        <v>102</v>
      </c>
      <c r="B72" s="57"/>
      <c r="C72" s="6"/>
      <c r="D72" s="6"/>
      <c r="E72" s="6"/>
      <c r="F72" s="6"/>
      <c r="G72" s="6"/>
    </row>
    <row r="73" spans="1:12" ht="15.75">
      <c r="A73" s="29" t="s">
        <v>111</v>
      </c>
      <c r="B73" s="57">
        <v>3.2</v>
      </c>
      <c r="C73" s="6"/>
      <c r="D73" s="6"/>
      <c r="E73" s="6"/>
      <c r="F73" s="6"/>
      <c r="G73" s="6"/>
    </row>
    <row r="74" spans="1:12" ht="15.75">
      <c r="A74" s="29" t="s">
        <v>112</v>
      </c>
      <c r="B74" s="57">
        <v>0</v>
      </c>
      <c r="C74" s="6"/>
      <c r="D74" s="6"/>
      <c r="E74" s="6"/>
      <c r="F74" s="6"/>
      <c r="G74" s="6"/>
    </row>
    <row r="75" spans="1:12" ht="15.75">
      <c r="A75" s="29" t="s">
        <v>113</v>
      </c>
      <c r="B75" s="57">
        <v>18.59</v>
      </c>
      <c r="C75" s="6"/>
      <c r="D75" s="6"/>
      <c r="E75" s="6"/>
      <c r="F75" s="6"/>
      <c r="G75" s="6"/>
    </row>
    <row r="76" spans="1:12" ht="15.75">
      <c r="A76" s="29" t="s">
        <v>114</v>
      </c>
      <c r="B76" s="57"/>
      <c r="C76" s="6"/>
      <c r="D76" s="6"/>
      <c r="E76" s="6"/>
      <c r="F76" s="6"/>
      <c r="G76" s="6"/>
    </row>
    <row r="77" spans="1:12" ht="15.75">
      <c r="A77" s="94" t="s">
        <v>45</v>
      </c>
      <c r="B77" s="57">
        <v>0</v>
      </c>
      <c r="C77" s="6"/>
      <c r="D77" s="6"/>
      <c r="E77" s="6"/>
      <c r="F77" s="6"/>
      <c r="G77" s="6"/>
    </row>
    <row r="78" spans="1:12" ht="15.75">
      <c r="A78" s="94" t="s">
        <v>46</v>
      </c>
      <c r="B78" s="57">
        <v>0.25</v>
      </c>
      <c r="C78" s="6"/>
      <c r="D78" s="6"/>
      <c r="E78" s="6"/>
      <c r="F78" s="6"/>
      <c r="G78" s="6"/>
    </row>
    <row r="79" spans="1:12" ht="15.75">
      <c r="A79" s="56" t="s">
        <v>47</v>
      </c>
      <c r="B79" s="57">
        <v>0</v>
      </c>
      <c r="C79" s="6"/>
      <c r="D79" s="6"/>
      <c r="E79" s="6"/>
      <c r="F79" s="6"/>
      <c r="G79" s="6"/>
      <c r="J79" s="18"/>
      <c r="K79" s="18"/>
      <c r="L79" s="18"/>
    </row>
    <row r="80" spans="1:12" ht="15.75">
      <c r="A80" s="56" t="s">
        <v>48</v>
      </c>
      <c r="B80" s="57"/>
      <c r="C80" s="6"/>
      <c r="D80" s="6"/>
      <c r="E80" s="6"/>
      <c r="F80" s="6"/>
      <c r="G80" s="6"/>
    </row>
    <row r="81" spans="1:12" ht="15.75">
      <c r="A81" s="56" t="s">
        <v>49</v>
      </c>
      <c r="B81" s="57"/>
      <c r="C81" s="6"/>
      <c r="D81" s="6"/>
      <c r="E81" s="6"/>
      <c r="F81" s="6"/>
      <c r="G81" s="6"/>
    </row>
    <row r="82" spans="1:12" s="12" customFormat="1" ht="15.75">
      <c r="A82" s="56" t="s">
        <v>107</v>
      </c>
      <c r="B82" s="57"/>
      <c r="C82" s="6"/>
      <c r="D82" s="6"/>
      <c r="E82" s="6"/>
      <c r="F82" s="6"/>
      <c r="G82" s="6"/>
      <c r="H82" s="15"/>
      <c r="I82" s="15"/>
      <c r="J82" s="18"/>
      <c r="K82" s="18"/>
      <c r="L82" s="18"/>
    </row>
    <row r="83" spans="1:12" s="12" customFormat="1" ht="15.75">
      <c r="A83" s="94" t="s">
        <v>50</v>
      </c>
      <c r="B83" s="57"/>
      <c r="C83" s="6"/>
      <c r="D83" s="6"/>
      <c r="E83" s="6"/>
      <c r="F83" s="6"/>
      <c r="G83" s="6"/>
      <c r="H83" s="15"/>
      <c r="I83" s="15"/>
      <c r="J83" s="18"/>
      <c r="K83" s="18"/>
      <c r="L83" s="18"/>
    </row>
    <row r="84" spans="1:12" ht="15.75">
      <c r="A84" s="29" t="s">
        <v>51</v>
      </c>
      <c r="B84" s="57"/>
      <c r="C84" s="6"/>
      <c r="D84" s="6"/>
      <c r="E84" s="6"/>
      <c r="F84" s="6"/>
      <c r="G84" s="6"/>
    </row>
    <row r="85" spans="1:12" ht="15.75">
      <c r="A85" s="94" t="s">
        <v>52</v>
      </c>
      <c r="B85" s="57">
        <v>0</v>
      </c>
      <c r="C85" s="6"/>
      <c r="D85" s="6"/>
      <c r="E85" s="6"/>
      <c r="F85" s="6"/>
      <c r="G85" s="6"/>
    </row>
    <row r="86" spans="1:12" ht="15.75">
      <c r="A86" s="94" t="s">
        <v>53</v>
      </c>
      <c r="B86" s="57">
        <v>0</v>
      </c>
      <c r="C86" s="6"/>
      <c r="D86" s="6"/>
      <c r="E86" s="6"/>
      <c r="F86" s="6"/>
      <c r="G86" s="6"/>
    </row>
    <row r="87" spans="1:12" s="12" customFormat="1" ht="15.75">
      <c r="A87" s="94" t="s">
        <v>54</v>
      </c>
      <c r="B87" s="57">
        <v>0</v>
      </c>
      <c r="C87" s="6"/>
      <c r="D87" s="6"/>
      <c r="E87" s="6"/>
      <c r="F87" s="6"/>
      <c r="G87" s="6"/>
      <c r="H87" s="18"/>
      <c r="I87" s="18"/>
      <c r="J87" s="15"/>
      <c r="K87" s="15"/>
      <c r="L87" s="15"/>
    </row>
    <row r="88" spans="1:12" ht="15.75">
      <c r="A88" s="94" t="s">
        <v>55</v>
      </c>
      <c r="B88" s="57">
        <v>0</v>
      </c>
      <c r="C88" s="6"/>
      <c r="D88" s="6"/>
      <c r="E88" s="6"/>
      <c r="F88" s="6"/>
      <c r="G88" s="6"/>
      <c r="H88" s="18"/>
      <c r="I88" s="18"/>
    </row>
    <row r="89" spans="1:12" ht="15.75">
      <c r="A89" s="94" t="s">
        <v>56</v>
      </c>
      <c r="B89" s="57">
        <v>15</v>
      </c>
      <c r="C89" s="6"/>
      <c r="D89" s="6"/>
      <c r="E89" s="6"/>
      <c r="F89" s="6"/>
      <c r="G89" s="6"/>
    </row>
    <row r="90" spans="1:12" ht="15.75">
      <c r="A90" s="94" t="s">
        <v>57</v>
      </c>
      <c r="B90" s="57">
        <v>11.57</v>
      </c>
      <c r="C90" s="6"/>
      <c r="D90" s="6"/>
      <c r="E90" s="6"/>
      <c r="F90" s="6"/>
      <c r="G90" s="6"/>
    </row>
    <row r="91" spans="1:12" ht="15.75">
      <c r="A91" s="94" t="s">
        <v>58</v>
      </c>
      <c r="B91" s="57">
        <v>18.329999999999998</v>
      </c>
      <c r="C91" s="6"/>
      <c r="D91" s="6"/>
      <c r="E91" s="6"/>
      <c r="F91" s="6"/>
      <c r="G91" s="6"/>
    </row>
    <row r="92" spans="1:12">
      <c r="A92" s="94" t="s">
        <v>59</v>
      </c>
      <c r="B92" s="57">
        <v>0</v>
      </c>
      <c r="C92" s="25"/>
      <c r="D92" s="26"/>
      <c r="E92" s="26"/>
      <c r="F92" s="26"/>
    </row>
    <row r="93" spans="1:12">
      <c r="A93" s="94" t="s">
        <v>60</v>
      </c>
      <c r="B93" s="57">
        <v>0</v>
      </c>
      <c r="C93" s="25"/>
      <c r="D93" s="26"/>
      <c r="E93" s="26"/>
      <c r="F93" s="26"/>
    </row>
    <row r="94" spans="1:12">
      <c r="A94" s="94" t="s">
        <v>61</v>
      </c>
      <c r="B94" s="57">
        <v>0</v>
      </c>
      <c r="C94" s="25"/>
      <c r="D94" s="26"/>
      <c r="E94" s="26"/>
      <c r="F94" s="26"/>
    </row>
    <row r="95" spans="1:12">
      <c r="A95" s="94" t="s">
        <v>62</v>
      </c>
      <c r="B95" s="57"/>
      <c r="C95" s="25"/>
      <c r="D95" s="26"/>
      <c r="E95" s="26"/>
      <c r="F95" s="26"/>
    </row>
    <row r="96" spans="1:12">
      <c r="A96" s="94" t="s">
        <v>63</v>
      </c>
      <c r="B96" s="57"/>
      <c r="C96" s="25"/>
      <c r="D96" s="26"/>
      <c r="E96" s="26"/>
      <c r="F96" s="26"/>
    </row>
    <row r="97" spans="1:6">
      <c r="A97" s="94" t="s">
        <v>118</v>
      </c>
      <c r="B97" s="57"/>
      <c r="C97" s="25"/>
      <c r="D97" s="26"/>
      <c r="E97" s="26"/>
      <c r="F97" s="26"/>
    </row>
    <row r="98" spans="1:6">
      <c r="A98" s="94" t="s">
        <v>119</v>
      </c>
      <c r="B98" s="57">
        <v>0</v>
      </c>
      <c r="C98" s="25"/>
      <c r="D98" s="26"/>
      <c r="E98" s="26"/>
      <c r="F98" s="26"/>
    </row>
    <row r="99" spans="1:6">
      <c r="A99" s="94" t="s">
        <v>65</v>
      </c>
      <c r="B99" s="57"/>
      <c r="C99" s="25"/>
      <c r="D99" s="26"/>
      <c r="E99" s="26"/>
      <c r="F99" s="26"/>
    </row>
    <row r="100" spans="1:6">
      <c r="A100" s="94" t="s">
        <v>66</v>
      </c>
      <c r="B100" s="57"/>
      <c r="C100" s="25"/>
      <c r="D100" s="26"/>
      <c r="E100" s="26"/>
      <c r="F100" s="26"/>
    </row>
    <row r="101" spans="1:6">
      <c r="A101" s="94" t="s">
        <v>108</v>
      </c>
      <c r="B101" s="57"/>
      <c r="C101" s="25"/>
      <c r="D101" s="26"/>
      <c r="E101" s="26"/>
      <c r="F101" s="26"/>
    </row>
    <row r="102" spans="1:6">
      <c r="A102" s="94" t="s">
        <v>67</v>
      </c>
      <c r="B102" s="57">
        <v>0</v>
      </c>
      <c r="C102" s="25"/>
      <c r="D102" s="26"/>
      <c r="E102" s="26"/>
      <c r="F102" s="26"/>
    </row>
    <row r="103" spans="1:6">
      <c r="A103" s="94" t="s">
        <v>68</v>
      </c>
      <c r="B103" s="57"/>
      <c r="C103" s="25"/>
      <c r="D103" s="26"/>
      <c r="E103" s="26"/>
      <c r="F103" s="26"/>
    </row>
    <row r="104" spans="1:6">
      <c r="A104" s="94" t="s">
        <v>109</v>
      </c>
      <c r="B104" s="57">
        <v>0</v>
      </c>
      <c r="C104" s="25"/>
      <c r="D104" s="26"/>
      <c r="E104" s="26"/>
      <c r="F104" s="26"/>
    </row>
    <row r="105" spans="1:6">
      <c r="A105" s="94" t="s">
        <v>110</v>
      </c>
      <c r="B105" s="57">
        <v>18.329999999999998</v>
      </c>
      <c r="C105" s="25"/>
      <c r="D105" s="26"/>
      <c r="E105" s="26"/>
      <c r="F105" s="26"/>
    </row>
    <row r="106" spans="1:6">
      <c r="A106" s="94" t="s">
        <v>69</v>
      </c>
      <c r="B106" s="57">
        <v>19.829999999999998</v>
      </c>
      <c r="C106" s="25"/>
      <c r="D106" s="26"/>
      <c r="E106" s="26"/>
      <c r="F106" s="26"/>
    </row>
    <row r="107" spans="1:6">
      <c r="A107" s="94" t="s">
        <v>117</v>
      </c>
      <c r="B107" s="57">
        <v>0</v>
      </c>
      <c r="C107" s="25"/>
      <c r="D107" s="26"/>
      <c r="E107" s="26"/>
      <c r="F107" s="26"/>
    </row>
    <row r="108" spans="1:6" ht="25.5">
      <c r="A108" s="94" t="s">
        <v>115</v>
      </c>
      <c r="B108" s="57"/>
      <c r="C108" s="25"/>
      <c r="D108" s="26"/>
      <c r="E108" s="26"/>
      <c r="F108" s="26"/>
    </row>
    <row r="109" spans="1:6" ht="25.5">
      <c r="A109" s="94" t="s">
        <v>116</v>
      </c>
      <c r="B109" s="57"/>
      <c r="C109" s="25"/>
      <c r="D109" s="26"/>
      <c r="E109" s="26"/>
      <c r="F109" s="26"/>
    </row>
    <row r="110" spans="1:6">
      <c r="A110" s="95" t="s">
        <v>71</v>
      </c>
      <c r="B110" s="57"/>
      <c r="C110" s="25"/>
      <c r="D110" s="26"/>
      <c r="E110" s="26"/>
      <c r="F110" s="26"/>
    </row>
    <row r="111" spans="1:6">
      <c r="A111" s="95" t="s">
        <v>73</v>
      </c>
      <c r="B111" s="57">
        <v>0.33</v>
      </c>
      <c r="C111" s="25"/>
      <c r="D111" s="26"/>
      <c r="E111" s="26"/>
      <c r="F111" s="26"/>
    </row>
    <row r="112" spans="1:6">
      <c r="A112" s="95" t="s">
        <v>74</v>
      </c>
      <c r="B112" s="57"/>
      <c r="C112" s="25"/>
      <c r="D112" s="26"/>
      <c r="E112" s="26"/>
      <c r="F112" s="26"/>
    </row>
    <row r="113" spans="1:12">
      <c r="A113" s="95" t="s">
        <v>75</v>
      </c>
      <c r="B113" s="57">
        <v>0</v>
      </c>
      <c r="C113" s="25"/>
      <c r="D113" s="26"/>
      <c r="E113" s="26"/>
      <c r="F113" s="26"/>
    </row>
    <row r="114" spans="1:12">
      <c r="A114" s="95" t="s">
        <v>76</v>
      </c>
      <c r="B114" s="57"/>
      <c r="C114" s="25"/>
      <c r="D114" s="26"/>
      <c r="E114" s="26"/>
      <c r="F114" s="26"/>
    </row>
    <row r="115" spans="1:12" ht="13.5" thickBot="1">
      <c r="A115" s="96" t="s">
        <v>77</v>
      </c>
      <c r="B115" s="33">
        <v>0.88</v>
      </c>
      <c r="C115" s="25"/>
      <c r="D115" s="26"/>
      <c r="E115" s="26"/>
      <c r="F115" s="26"/>
    </row>
    <row r="116" spans="1:12" s="12" customFormat="1" ht="16.5" thickBot="1">
      <c r="A116" s="67" t="s">
        <v>120</v>
      </c>
      <c r="B116" s="68">
        <f>SUM(B69:B115)</f>
        <v>106.55999999999999</v>
      </c>
      <c r="C116" s="10"/>
      <c r="D116" s="11"/>
      <c r="E116" s="11"/>
      <c r="F116" s="11"/>
      <c r="G116" s="11"/>
      <c r="H116" s="18"/>
      <c r="I116" s="18"/>
      <c r="J116" s="18"/>
      <c r="K116" s="18"/>
      <c r="L116" s="18"/>
    </row>
    <row r="117" spans="1:12" s="12" customFormat="1" ht="15.75">
      <c r="A117" s="77"/>
      <c r="B117" s="78"/>
      <c r="C117" s="10"/>
      <c r="D117" s="11"/>
      <c r="E117" s="11"/>
      <c r="F117" s="11"/>
      <c r="G117" s="11"/>
      <c r="H117" s="18"/>
      <c r="I117" s="18"/>
      <c r="J117" s="18"/>
      <c r="K117" s="18"/>
      <c r="L117" s="18"/>
    </row>
    <row r="118" spans="1:12" s="12" customFormat="1" ht="16.5" thickBot="1">
      <c r="A118" s="77"/>
      <c r="B118" s="78"/>
      <c r="C118" s="10"/>
      <c r="D118" s="11"/>
      <c r="E118" s="11"/>
      <c r="F118" s="11"/>
      <c r="G118" s="11"/>
      <c r="H118" s="18"/>
      <c r="I118" s="18"/>
      <c r="J118" s="18"/>
      <c r="K118" s="18"/>
      <c r="L118" s="18"/>
    </row>
    <row r="119" spans="1:12" s="12" customFormat="1" ht="15.75">
      <c r="A119" s="97" t="s">
        <v>78</v>
      </c>
      <c r="B119" s="106">
        <f>SUM(B5,B12,B17,B41,B50,B62,B66)</f>
        <v>13774.52950485265</v>
      </c>
      <c r="C119" s="11"/>
      <c r="D119" s="11"/>
      <c r="E119" s="11"/>
      <c r="F119" s="11"/>
      <c r="H119" s="18"/>
      <c r="I119" s="18"/>
      <c r="J119" s="18"/>
      <c r="K119" s="18"/>
      <c r="L119" s="18"/>
    </row>
    <row r="120" spans="1:12" ht="15.75">
      <c r="A120" s="98" t="s">
        <v>79</v>
      </c>
      <c r="B120" s="107">
        <f>SUM(G5,G12,G17,G41,G50,G62,G66)</f>
        <v>4149.1689402632464</v>
      </c>
      <c r="C120" s="25"/>
      <c r="D120" s="26"/>
      <c r="E120" s="26"/>
      <c r="F120" s="26"/>
    </row>
    <row r="121" spans="1:12" ht="15.75">
      <c r="A121" s="98" t="s">
        <v>94</v>
      </c>
      <c r="B121" s="108">
        <f>B116</f>
        <v>106.55999999999999</v>
      </c>
      <c r="C121" s="25"/>
      <c r="D121" s="26"/>
      <c r="E121" s="26"/>
      <c r="F121" s="26"/>
    </row>
    <row r="122" spans="1:12" ht="16.5" thickBot="1">
      <c r="A122" s="99" t="s">
        <v>134</v>
      </c>
      <c r="B122" s="109">
        <f>SUM(B119:B121)</f>
        <v>18030.258445115898</v>
      </c>
      <c r="C122" s="25"/>
      <c r="D122" s="26"/>
      <c r="E122" s="26"/>
      <c r="F122" s="26"/>
    </row>
    <row r="123" spans="1:12">
      <c r="B123" s="25"/>
      <c r="C123" s="25"/>
      <c r="D123" s="26"/>
      <c r="E123" s="26"/>
      <c r="F123" s="26"/>
    </row>
    <row r="124" spans="1:12">
      <c r="B124" s="25"/>
      <c r="C124" s="25"/>
      <c r="D124" s="25"/>
      <c r="E124" s="25"/>
      <c r="F124" s="25"/>
    </row>
    <row r="125" spans="1:12">
      <c r="B125" s="25"/>
      <c r="C125" s="25"/>
      <c r="D125" s="25"/>
      <c r="E125" s="25"/>
      <c r="F125" s="25"/>
    </row>
    <row r="126" spans="1:12">
      <c r="B126" s="25"/>
      <c r="C126" s="25"/>
      <c r="D126" s="25"/>
      <c r="E126" s="25"/>
      <c r="F126" s="25"/>
    </row>
    <row r="127" spans="1:12">
      <c r="B127" s="25"/>
      <c r="C127" s="25"/>
      <c r="D127" s="25"/>
      <c r="E127" s="25"/>
      <c r="F127" s="25"/>
    </row>
    <row r="128" spans="1:12" s="25" customFormat="1">
      <c r="A128" s="15"/>
      <c r="G128" s="16"/>
      <c r="H128" s="15"/>
      <c r="I128" s="15"/>
      <c r="J128" s="15"/>
      <c r="K128" s="15"/>
      <c r="L128" s="15"/>
    </row>
    <row r="129" spans="1:12" s="25" customFormat="1">
      <c r="A129" s="15"/>
      <c r="G129" s="16"/>
      <c r="H129" s="15"/>
      <c r="I129" s="15"/>
      <c r="J129" s="15"/>
      <c r="K129" s="15"/>
      <c r="L129" s="15"/>
    </row>
    <row r="130" spans="1:12">
      <c r="B130" s="2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0"/>
  <sheetViews>
    <sheetView showGridLines="0" topLeftCell="A37" workbookViewId="0">
      <selection activeCell="I14" sqref="I14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132</v>
      </c>
      <c r="J1" s="122"/>
    </row>
    <row r="2" spans="1:12">
      <c r="A2" s="28" t="s">
        <v>3</v>
      </c>
      <c r="B2" s="37">
        <f>1053.3+626.12+1243.42</f>
        <v>2922.84</v>
      </c>
      <c r="C2" s="37">
        <f>1031.8+626.12+1148.69</f>
        <v>2806.61</v>
      </c>
      <c r="D2" s="50"/>
      <c r="E2" s="47">
        <f>B2-C2</f>
        <v>116.23000000000002</v>
      </c>
      <c r="F2" s="41"/>
      <c r="G2" s="47">
        <v>269.08</v>
      </c>
      <c r="I2" s="84"/>
      <c r="J2" s="85"/>
    </row>
    <row r="3" spans="1:12" s="12" customFormat="1">
      <c r="A3" s="29" t="s">
        <v>36</v>
      </c>
      <c r="B3" s="32">
        <f>282.5+849.87+99.99+889.58</f>
        <v>2121.94</v>
      </c>
      <c r="C3" s="32">
        <f>30.63+251.87+773.17+99.99+721.78</f>
        <v>1877.44</v>
      </c>
      <c r="D3" s="29"/>
      <c r="E3" s="48">
        <f>B3-C3</f>
        <v>244.5</v>
      </c>
      <c r="F3" s="42"/>
      <c r="G3" s="48">
        <v>106.85</v>
      </c>
      <c r="H3" s="18"/>
      <c r="I3" s="86" t="s">
        <v>97</v>
      </c>
      <c r="J3" s="87">
        <v>16.843299999999999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9">
        <v>119.04</v>
      </c>
      <c r="H4" s="18"/>
      <c r="I4" s="88" t="s">
        <v>98</v>
      </c>
      <c r="J4" s="89">
        <v>1.4799</v>
      </c>
      <c r="K4" s="18"/>
      <c r="L4" s="18"/>
    </row>
    <row r="5" spans="1:12" s="12" customFormat="1" ht="13.5" thickBot="1">
      <c r="A5" s="67" t="s">
        <v>91</v>
      </c>
      <c r="B5" s="68">
        <f>SUM(B2:B4)</f>
        <v>5044.7800000000007</v>
      </c>
      <c r="C5" s="68">
        <f t="shared" ref="C5:G5" si="0">SUM(C2:C4)</f>
        <v>4684.05</v>
      </c>
      <c r="D5" s="68"/>
      <c r="E5" s="69">
        <f t="shared" si="0"/>
        <v>360.73</v>
      </c>
      <c r="F5" s="68"/>
      <c r="G5" s="69">
        <f t="shared" si="0"/>
        <v>494.96999999999997</v>
      </c>
      <c r="H5" s="18"/>
      <c r="I5" s="90" t="s">
        <v>99</v>
      </c>
      <c r="J5" s="91">
        <v>1.097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>
        <v>61.76</v>
      </c>
    </row>
    <row r="9" spans="1:12" s="12" customFormat="1">
      <c r="A9" s="29" t="s">
        <v>12</v>
      </c>
      <c r="B9" s="32"/>
      <c r="C9" s="32"/>
      <c r="D9" s="29"/>
      <c r="E9" s="48">
        <f>B9-C9</f>
        <v>0</v>
      </c>
      <c r="F9" s="42"/>
      <c r="G9" s="43">
        <v>33.24</v>
      </c>
      <c r="H9" s="18"/>
      <c r="I9" s="18"/>
      <c r="J9" s="18"/>
      <c r="K9" s="18"/>
      <c r="L9" s="18"/>
    </row>
    <row r="10" spans="1:12" s="12" customFormat="1">
      <c r="A10" s="29" t="s">
        <v>131</v>
      </c>
      <c r="B10" s="32"/>
      <c r="C10" s="32"/>
      <c r="D10" s="29"/>
      <c r="E10" s="48">
        <f>B10-C10</f>
        <v>0</v>
      </c>
      <c r="F10" s="42"/>
      <c r="G10" s="43">
        <v>11.5</v>
      </c>
      <c r="H10" s="18"/>
      <c r="I10" s="18"/>
      <c r="J10" s="18"/>
      <c r="K10" s="18"/>
      <c r="L10" s="18"/>
    </row>
    <row r="11" spans="1:12" s="12" customFormat="1" ht="13.5" thickBot="1">
      <c r="A11" s="30" t="s">
        <v>85</v>
      </c>
      <c r="B11" s="44"/>
      <c r="C11" s="44"/>
      <c r="D11" s="51"/>
      <c r="E11" s="49">
        <f>B11-C11</f>
        <v>0</v>
      </c>
      <c r="F11" s="45"/>
      <c r="G11" s="46">
        <v>30.17</v>
      </c>
      <c r="H11" s="18"/>
      <c r="I11" s="18"/>
      <c r="J11" s="18"/>
      <c r="K11" s="18"/>
      <c r="L11" s="18"/>
    </row>
    <row r="12" spans="1:12" s="12" customFormat="1" ht="13.5" thickBot="1">
      <c r="A12" s="67" t="s">
        <v>91</v>
      </c>
      <c r="B12" s="68">
        <f>SUM(B8:B11)</f>
        <v>0</v>
      </c>
      <c r="C12" s="68">
        <f>SUM(C8:C11)</f>
        <v>0</v>
      </c>
      <c r="D12" s="68"/>
      <c r="E12" s="69">
        <f t="shared" ref="E12" si="1">SUM(E8:E11)</f>
        <v>0</v>
      </c>
      <c r="F12" s="68"/>
      <c r="G12" s="69">
        <f t="shared" ref="G12" si="2">SUM(G8:G11)</f>
        <v>136.67000000000002</v>
      </c>
      <c r="H12" s="18"/>
      <c r="I12" s="18"/>
      <c r="J12" s="18"/>
      <c r="K12" s="18"/>
      <c r="L12" s="18"/>
    </row>
    <row r="13" spans="1:12" s="12" customFormat="1" ht="16.5" thickBot="1">
      <c r="A13" s="21"/>
      <c r="B13" s="13"/>
      <c r="C13" s="3"/>
      <c r="D13" s="3"/>
      <c r="E13" s="3"/>
      <c r="F13" s="3"/>
      <c r="G13" s="14"/>
      <c r="H13" s="2"/>
    </row>
    <row r="14" spans="1:12" ht="32.25" thickBot="1">
      <c r="A14" s="27" t="s">
        <v>86</v>
      </c>
      <c r="B14" s="31" t="s">
        <v>1</v>
      </c>
      <c r="C14" s="34" t="s">
        <v>2</v>
      </c>
      <c r="D14" s="34" t="s">
        <v>80</v>
      </c>
      <c r="E14" s="38" t="s">
        <v>81</v>
      </c>
      <c r="F14" s="34" t="s">
        <v>82</v>
      </c>
      <c r="G14" s="38" t="s">
        <v>83</v>
      </c>
      <c r="H14" s="1"/>
    </row>
    <row r="15" spans="1:12" s="12" customFormat="1">
      <c r="A15" s="28" t="s">
        <v>27</v>
      </c>
      <c r="B15" s="37"/>
      <c r="C15" s="37"/>
      <c r="D15" s="50"/>
      <c r="E15" s="47">
        <f>B15-C15</f>
        <v>0</v>
      </c>
      <c r="F15" s="41"/>
      <c r="G15" s="39">
        <v>0.26</v>
      </c>
      <c r="H15" s="18"/>
      <c r="I15" s="18"/>
      <c r="J15" s="18"/>
      <c r="K15" s="18"/>
      <c r="L15" s="18"/>
    </row>
    <row r="16" spans="1:12" s="12" customFormat="1" ht="13.5" thickBot="1">
      <c r="A16" s="51" t="s">
        <v>29</v>
      </c>
      <c r="B16" s="52"/>
      <c r="C16" s="52"/>
      <c r="D16" s="51"/>
      <c r="E16" s="49">
        <f>B16-C16</f>
        <v>0</v>
      </c>
      <c r="F16" s="45"/>
      <c r="G16" s="53">
        <v>11.12</v>
      </c>
      <c r="H16" s="18"/>
      <c r="I16" s="18"/>
      <c r="J16" s="18"/>
      <c r="K16" s="18"/>
      <c r="L16" s="18"/>
    </row>
    <row r="17" spans="1:12" s="12" customFormat="1" ht="13.5" thickBot="1">
      <c r="A17" s="67" t="s">
        <v>91</v>
      </c>
      <c r="B17" s="68">
        <f>SUM(B15:B16)</f>
        <v>0</v>
      </c>
      <c r="C17" s="68">
        <f>SUM(C15:C16)</f>
        <v>0</v>
      </c>
      <c r="D17" s="68"/>
      <c r="E17" s="69">
        <f>SUM(E15:E16)</f>
        <v>0</v>
      </c>
      <c r="F17" s="68"/>
      <c r="G17" s="69">
        <f>SUM(G15:G16)</f>
        <v>11.379999999999999</v>
      </c>
      <c r="H17" s="18"/>
      <c r="I17" s="18"/>
      <c r="J17" s="18"/>
      <c r="K17" s="18"/>
      <c r="L17" s="18"/>
    </row>
    <row r="18" spans="1:12" s="12" customFormat="1" ht="13.5" thickBot="1">
      <c r="A18" s="19"/>
      <c r="B18" s="4"/>
      <c r="C18" s="4"/>
      <c r="D18" s="17"/>
      <c r="E18" s="17"/>
      <c r="F18" s="17"/>
      <c r="G18" s="20"/>
      <c r="H18" s="18"/>
      <c r="I18" s="18"/>
      <c r="J18" s="18"/>
      <c r="K18" s="18"/>
      <c r="L18" s="18"/>
    </row>
    <row r="19" spans="1:12" ht="32.25" thickBot="1">
      <c r="A19" s="54" t="s">
        <v>87</v>
      </c>
      <c r="B19" s="31"/>
      <c r="C19" s="34"/>
      <c r="D19" s="34" t="s">
        <v>80</v>
      </c>
      <c r="E19" s="38" t="s">
        <v>81</v>
      </c>
      <c r="F19" s="34" t="s">
        <v>82</v>
      </c>
      <c r="G19" s="38" t="s">
        <v>83</v>
      </c>
      <c r="H19" s="22"/>
    </row>
    <row r="20" spans="1:12" s="12" customFormat="1">
      <c r="A20" s="55" t="s">
        <v>88</v>
      </c>
      <c r="B20" s="57"/>
      <c r="C20" s="35"/>
      <c r="D20" s="35">
        <f>B20-C20</f>
        <v>0</v>
      </c>
      <c r="E20" s="48">
        <f>B20-C20</f>
        <v>0</v>
      </c>
      <c r="F20" s="35"/>
      <c r="G20" s="62">
        <v>3.17</v>
      </c>
      <c r="H20" s="18"/>
      <c r="I20" s="18"/>
      <c r="J20" s="18"/>
      <c r="K20" s="18"/>
      <c r="L20" s="18"/>
    </row>
    <row r="21" spans="1:12" s="12" customFormat="1">
      <c r="A21" s="56" t="s">
        <v>5</v>
      </c>
      <c r="B21" s="57"/>
      <c r="C21" s="35"/>
      <c r="D21" s="35">
        <f t="shared" ref="D21:D40" si="3">B21-C21</f>
        <v>0</v>
      </c>
      <c r="E21" s="60">
        <f>B21-C21</f>
        <v>0</v>
      </c>
      <c r="F21" s="35"/>
      <c r="G21" s="62">
        <v>3.88</v>
      </c>
      <c r="H21" s="18"/>
      <c r="I21" s="18"/>
      <c r="J21" s="18"/>
      <c r="K21" s="18"/>
      <c r="L21" s="18"/>
    </row>
    <row r="22" spans="1:12" s="12" customFormat="1" ht="13.5" customHeight="1">
      <c r="A22" s="29" t="s">
        <v>6</v>
      </c>
      <c r="B22" s="58"/>
      <c r="C22" s="35"/>
      <c r="D22" s="35">
        <f t="shared" si="3"/>
        <v>0</v>
      </c>
      <c r="E22" s="60">
        <f t="shared" ref="E22:E40" si="4">B22-C22</f>
        <v>0</v>
      </c>
      <c r="F22" s="35"/>
      <c r="G22" s="40">
        <v>13.61</v>
      </c>
      <c r="H22" s="18"/>
      <c r="I22" s="18"/>
      <c r="J22" s="18"/>
      <c r="K22" s="18"/>
      <c r="L22" s="18"/>
    </row>
    <row r="23" spans="1:12" s="12" customFormat="1">
      <c r="A23" s="29" t="s">
        <v>7</v>
      </c>
      <c r="B23" s="58"/>
      <c r="C23" s="35"/>
      <c r="D23" s="35">
        <f t="shared" si="3"/>
        <v>0</v>
      </c>
      <c r="E23" s="60">
        <f t="shared" si="4"/>
        <v>0</v>
      </c>
      <c r="F23" s="35"/>
      <c r="G23" s="40">
        <v>0.25</v>
      </c>
      <c r="H23" s="18"/>
      <c r="I23" s="18"/>
      <c r="J23" s="18"/>
      <c r="K23" s="18"/>
      <c r="L23" s="18"/>
    </row>
    <row r="24" spans="1:12" s="12" customFormat="1">
      <c r="A24" s="29" t="s">
        <v>8</v>
      </c>
      <c r="B24" s="58"/>
      <c r="C24" s="35"/>
      <c r="D24" s="35">
        <f>B24-C24</f>
        <v>0</v>
      </c>
      <c r="E24" s="60">
        <f t="shared" si="4"/>
        <v>0</v>
      </c>
      <c r="F24" s="35"/>
      <c r="G24" s="40">
        <v>0.49</v>
      </c>
      <c r="H24" s="18"/>
      <c r="I24" s="18"/>
      <c r="J24" s="18"/>
      <c r="K24" s="18"/>
      <c r="L24" s="18"/>
    </row>
    <row r="25" spans="1:12" s="12" customFormat="1">
      <c r="A25" s="29" t="s">
        <v>9</v>
      </c>
      <c r="B25" s="58"/>
      <c r="C25" s="35"/>
      <c r="D25" s="35">
        <f t="shared" si="3"/>
        <v>0</v>
      </c>
      <c r="E25" s="60">
        <f t="shared" si="4"/>
        <v>0</v>
      </c>
      <c r="F25" s="35"/>
      <c r="G25" s="40">
        <v>0.25</v>
      </c>
      <c r="H25" s="18"/>
      <c r="I25" s="18"/>
      <c r="J25" s="18"/>
      <c r="K25" s="18"/>
      <c r="L25" s="18"/>
    </row>
    <row r="26" spans="1:12" s="12" customFormat="1">
      <c r="A26" s="29" t="s">
        <v>10</v>
      </c>
      <c r="B26" s="58"/>
      <c r="C26" s="35"/>
      <c r="D26" s="35">
        <f t="shared" si="3"/>
        <v>0</v>
      </c>
      <c r="E26" s="60">
        <f t="shared" si="4"/>
        <v>0</v>
      </c>
      <c r="F26" s="35"/>
      <c r="G26" s="40"/>
      <c r="H26" s="18"/>
      <c r="I26" s="18"/>
      <c r="J26" s="18"/>
      <c r="K26" s="18"/>
      <c r="L26" s="18"/>
    </row>
    <row r="27" spans="1:12" s="12" customFormat="1">
      <c r="A27" s="29" t="s">
        <v>13</v>
      </c>
      <c r="B27" s="58"/>
      <c r="C27" s="35"/>
      <c r="D27" s="35">
        <f t="shared" si="3"/>
        <v>0</v>
      </c>
      <c r="E27" s="60">
        <f t="shared" si="4"/>
        <v>0</v>
      </c>
      <c r="F27" s="35"/>
      <c r="G27" s="40"/>
      <c r="H27" s="18"/>
      <c r="I27" s="18"/>
      <c r="J27" s="18"/>
      <c r="K27" s="18"/>
      <c r="L27" s="18"/>
    </row>
    <row r="28" spans="1:12" s="12" customFormat="1">
      <c r="A28" s="29" t="s">
        <v>14</v>
      </c>
      <c r="B28" s="58"/>
      <c r="C28" s="35"/>
      <c r="D28" s="35">
        <f t="shared" si="3"/>
        <v>0</v>
      </c>
      <c r="E28" s="60">
        <f t="shared" si="4"/>
        <v>0</v>
      </c>
      <c r="F28" s="35"/>
      <c r="G28" s="40">
        <v>0</v>
      </c>
      <c r="H28" s="18"/>
      <c r="I28" s="18"/>
      <c r="J28" s="18"/>
      <c r="K28" s="18"/>
      <c r="L28" s="18"/>
    </row>
    <row r="29" spans="1:12" s="12" customFormat="1">
      <c r="A29" s="29" t="s">
        <v>16</v>
      </c>
      <c r="B29" s="58"/>
      <c r="C29" s="35"/>
      <c r="D29" s="35">
        <f t="shared" si="3"/>
        <v>0</v>
      </c>
      <c r="E29" s="60">
        <f t="shared" si="4"/>
        <v>0</v>
      </c>
      <c r="F29" s="35"/>
      <c r="G29" s="40">
        <v>0</v>
      </c>
      <c r="H29" s="18"/>
      <c r="I29" s="18"/>
      <c r="J29" s="18"/>
      <c r="K29" s="18"/>
      <c r="L29" s="18"/>
    </row>
    <row r="30" spans="1:12" s="12" customFormat="1">
      <c r="A30" s="29" t="s">
        <v>17</v>
      </c>
      <c r="B30" s="58"/>
      <c r="C30" s="35"/>
      <c r="D30" s="35">
        <f t="shared" si="3"/>
        <v>0</v>
      </c>
      <c r="E30" s="60">
        <f t="shared" si="4"/>
        <v>0</v>
      </c>
      <c r="F30" s="35"/>
      <c r="G30" s="40">
        <v>89.81</v>
      </c>
      <c r="H30" s="18"/>
      <c r="I30" s="18"/>
      <c r="J30" s="18"/>
      <c r="K30" s="18"/>
      <c r="L30" s="18"/>
    </row>
    <row r="31" spans="1:12" s="12" customFormat="1">
      <c r="A31" s="56" t="s">
        <v>19</v>
      </c>
      <c r="B31" s="57"/>
      <c r="C31" s="35"/>
      <c r="D31" s="35">
        <f t="shared" si="3"/>
        <v>0</v>
      </c>
      <c r="E31" s="60">
        <f t="shared" si="4"/>
        <v>0</v>
      </c>
      <c r="F31" s="35"/>
      <c r="G31" s="60">
        <v>0.1</v>
      </c>
      <c r="H31" s="18"/>
      <c r="I31" s="18"/>
      <c r="J31" s="18"/>
      <c r="K31" s="18"/>
      <c r="L31" s="18"/>
    </row>
    <row r="32" spans="1:12" s="12" customFormat="1">
      <c r="A32" s="56" t="s">
        <v>21</v>
      </c>
      <c r="B32" s="57"/>
      <c r="C32" s="35"/>
      <c r="D32" s="35">
        <f t="shared" si="3"/>
        <v>0</v>
      </c>
      <c r="E32" s="60">
        <f t="shared" si="4"/>
        <v>0</v>
      </c>
      <c r="F32" s="35"/>
      <c r="G32" s="60">
        <v>13.61</v>
      </c>
      <c r="H32" s="18"/>
      <c r="I32" s="18"/>
      <c r="J32" s="18"/>
      <c r="K32" s="18"/>
      <c r="L32" s="18"/>
    </row>
    <row r="33" spans="1:12" s="12" customFormat="1">
      <c r="A33" s="56" t="s">
        <v>22</v>
      </c>
      <c r="B33" s="57"/>
      <c r="C33" s="35"/>
      <c r="D33" s="35">
        <f t="shared" si="3"/>
        <v>0</v>
      </c>
      <c r="E33" s="60">
        <f t="shared" si="4"/>
        <v>0</v>
      </c>
      <c r="F33" s="35"/>
      <c r="G33" s="60">
        <v>0.12</v>
      </c>
      <c r="H33" s="18"/>
      <c r="I33" s="18"/>
      <c r="J33" s="18"/>
      <c r="K33" s="18"/>
      <c r="L33" s="18"/>
    </row>
    <row r="34" spans="1:12" s="12" customFormat="1">
      <c r="A34" s="56" t="s">
        <v>23</v>
      </c>
      <c r="B34" s="57"/>
      <c r="C34" s="35"/>
      <c r="D34" s="35">
        <f t="shared" si="3"/>
        <v>0</v>
      </c>
      <c r="E34" s="60">
        <f t="shared" si="4"/>
        <v>0</v>
      </c>
      <c r="F34" s="35"/>
      <c r="G34" s="60"/>
      <c r="H34" s="18"/>
      <c r="I34" s="18"/>
      <c r="J34" s="18"/>
      <c r="K34" s="18"/>
      <c r="L34" s="18"/>
    </row>
    <row r="35" spans="1:12" s="12" customFormat="1">
      <c r="A35" s="56" t="s">
        <v>24</v>
      </c>
      <c r="B35" s="57"/>
      <c r="C35" s="35"/>
      <c r="D35" s="35">
        <f t="shared" si="3"/>
        <v>0</v>
      </c>
      <c r="E35" s="60">
        <f t="shared" si="4"/>
        <v>0</v>
      </c>
      <c r="F35" s="35"/>
      <c r="G35" s="62">
        <v>0.12</v>
      </c>
      <c r="H35" s="18"/>
      <c r="I35" s="18"/>
      <c r="J35" s="18"/>
      <c r="K35" s="18"/>
      <c r="L35" s="18"/>
    </row>
    <row r="36" spans="1:12" s="12" customFormat="1">
      <c r="A36" s="56" t="s">
        <v>26</v>
      </c>
      <c r="B36" s="58"/>
      <c r="C36" s="35"/>
      <c r="D36" s="35">
        <f t="shared" si="3"/>
        <v>0</v>
      </c>
      <c r="E36" s="60">
        <f t="shared" si="4"/>
        <v>0</v>
      </c>
      <c r="F36" s="35"/>
      <c r="G36" s="62">
        <v>0.15</v>
      </c>
      <c r="H36" s="18"/>
      <c r="I36" s="18"/>
      <c r="J36" s="18"/>
      <c r="K36" s="18"/>
      <c r="L36" s="18"/>
    </row>
    <row r="37" spans="1:12" s="12" customFormat="1" ht="12.75" customHeight="1">
      <c r="A37" s="29" t="s">
        <v>31</v>
      </c>
      <c r="B37" s="58"/>
      <c r="C37" s="35"/>
      <c r="D37" s="35">
        <f t="shared" si="3"/>
        <v>0</v>
      </c>
      <c r="E37" s="60">
        <f t="shared" si="4"/>
        <v>0</v>
      </c>
      <c r="F37" s="35"/>
      <c r="G37" s="40">
        <v>7.09</v>
      </c>
      <c r="H37" s="5"/>
      <c r="I37" s="18"/>
      <c r="J37" s="18"/>
      <c r="K37" s="18"/>
      <c r="L37" s="18"/>
    </row>
    <row r="38" spans="1:12" s="12" customFormat="1" ht="12.75" customHeight="1">
      <c r="A38" s="29" t="s">
        <v>32</v>
      </c>
      <c r="B38" s="58">
        <v>27.5</v>
      </c>
      <c r="C38" s="35">
        <v>27.5</v>
      </c>
      <c r="D38" s="35">
        <f t="shared" si="3"/>
        <v>0</v>
      </c>
      <c r="E38" s="60">
        <f t="shared" si="4"/>
        <v>0</v>
      </c>
      <c r="F38" s="35"/>
      <c r="G38" s="40">
        <v>70.33</v>
      </c>
      <c r="H38" s="5"/>
      <c r="I38" s="18"/>
      <c r="J38" s="18"/>
      <c r="K38" s="18"/>
      <c r="L38" s="18"/>
    </row>
    <row r="39" spans="1:12" s="12" customFormat="1" ht="12.75" customHeight="1">
      <c r="A39" s="29" t="s">
        <v>33</v>
      </c>
      <c r="B39" s="58"/>
      <c r="C39" s="35"/>
      <c r="D39" s="35">
        <f t="shared" si="3"/>
        <v>0</v>
      </c>
      <c r="E39" s="60">
        <f t="shared" si="4"/>
        <v>0</v>
      </c>
      <c r="F39" s="35"/>
      <c r="G39" s="40">
        <v>17</v>
      </c>
      <c r="H39" s="5"/>
      <c r="I39" s="18"/>
      <c r="J39" s="18"/>
      <c r="K39" s="18"/>
      <c r="L39" s="18"/>
    </row>
    <row r="40" spans="1:12" s="12" customFormat="1" ht="12.75" customHeight="1" thickBot="1">
      <c r="A40" s="51" t="s">
        <v>90</v>
      </c>
      <c r="B40" s="59"/>
      <c r="C40" s="36"/>
      <c r="D40" s="36">
        <f t="shared" si="3"/>
        <v>0</v>
      </c>
      <c r="E40" s="61">
        <f t="shared" si="4"/>
        <v>0</v>
      </c>
      <c r="F40" s="36"/>
      <c r="G40" s="64">
        <v>0.01</v>
      </c>
      <c r="H40" s="5"/>
      <c r="I40" s="18"/>
      <c r="J40" s="18"/>
      <c r="K40" s="18"/>
      <c r="L40" s="18"/>
    </row>
    <row r="41" spans="1:12" s="12" customFormat="1" ht="13.5" thickBot="1">
      <c r="A41" s="67" t="s">
        <v>91</v>
      </c>
      <c r="B41" s="68">
        <f>SUM(B20:B40)</f>
        <v>27.5</v>
      </c>
      <c r="C41" s="68">
        <f>SUM(C20:C40)</f>
        <v>27.5</v>
      </c>
      <c r="D41" s="68"/>
      <c r="E41" s="69">
        <f>SUM(E20:E40)</f>
        <v>0</v>
      </c>
      <c r="F41" s="68"/>
      <c r="G41" s="69">
        <f>SUM(G20:G40)</f>
        <v>219.99</v>
      </c>
      <c r="H41" s="18"/>
      <c r="I41" s="18"/>
      <c r="J41" s="18"/>
      <c r="K41" s="18"/>
      <c r="L41" s="18"/>
    </row>
    <row r="42" spans="1:12" s="12" customFormat="1" ht="12.75" customHeight="1" thickBot="1">
      <c r="B42" s="16"/>
      <c r="C42" s="17"/>
      <c r="D42" s="17"/>
      <c r="E42" s="65"/>
      <c r="F42" s="17"/>
      <c r="G42" s="66"/>
      <c r="H42" s="5"/>
      <c r="I42" s="18"/>
      <c r="J42" s="18"/>
      <c r="K42" s="18"/>
      <c r="L42" s="18"/>
    </row>
    <row r="43" spans="1:12" s="12" customFormat="1" ht="32.25" thickBot="1">
      <c r="A43" s="8" t="s">
        <v>93</v>
      </c>
      <c r="B43" s="31" t="s">
        <v>1</v>
      </c>
      <c r="C43" s="34" t="s">
        <v>2</v>
      </c>
      <c r="D43" s="34" t="s">
        <v>80</v>
      </c>
      <c r="E43" s="38" t="s">
        <v>81</v>
      </c>
      <c r="F43" s="34" t="s">
        <v>82</v>
      </c>
      <c r="G43" s="38" t="s">
        <v>83</v>
      </c>
      <c r="H43" s="2"/>
    </row>
    <row r="44" spans="1:12" s="12" customFormat="1">
      <c r="A44" s="29" t="s">
        <v>37</v>
      </c>
      <c r="B44" s="58">
        <f>82.44+150.9</f>
        <v>233.34</v>
      </c>
      <c r="C44" s="58">
        <f>86.62+65.2</f>
        <v>151.82</v>
      </c>
      <c r="D44" s="35">
        <f>B44-C44</f>
        <v>81.52000000000001</v>
      </c>
      <c r="E44" s="60">
        <f>B44-C44</f>
        <v>81.52000000000001</v>
      </c>
      <c r="F44" s="35"/>
      <c r="G44" s="40">
        <v>55.48</v>
      </c>
      <c r="H44" s="18"/>
      <c r="I44" s="18"/>
      <c r="J44" s="18"/>
      <c r="K44" s="18"/>
      <c r="L44" s="18"/>
    </row>
    <row r="45" spans="1:12" s="12" customFormat="1">
      <c r="A45" s="29" t="s">
        <v>92</v>
      </c>
      <c r="B45" s="58"/>
      <c r="C45" s="58"/>
      <c r="D45" s="35"/>
      <c r="E45" s="60">
        <f>B45-C45</f>
        <v>0</v>
      </c>
      <c r="F45" s="35"/>
      <c r="G45" s="40"/>
      <c r="H45" s="18"/>
      <c r="I45" s="18"/>
      <c r="J45" s="18"/>
      <c r="K45" s="18"/>
      <c r="L45" s="18"/>
    </row>
    <row r="46" spans="1:12" s="12" customFormat="1" ht="17.25" customHeight="1">
      <c r="A46" s="29" t="s">
        <v>38</v>
      </c>
      <c r="B46" s="58">
        <f>181.59+130.19</f>
        <v>311.77999999999997</v>
      </c>
      <c r="C46" s="58">
        <f>141.61+130.19</f>
        <v>271.8</v>
      </c>
      <c r="D46" s="35">
        <f>B46-C46</f>
        <v>39.979999999999961</v>
      </c>
      <c r="E46" s="60">
        <f t="shared" ref="E46:E49" si="5">B46-C46</f>
        <v>39.979999999999961</v>
      </c>
      <c r="F46" s="35"/>
      <c r="G46" s="40">
        <v>212.35</v>
      </c>
      <c r="H46" s="18"/>
      <c r="I46" s="18"/>
      <c r="J46" s="18"/>
      <c r="K46" s="18"/>
      <c r="L46" s="18"/>
    </row>
    <row r="47" spans="1:12" s="12" customFormat="1">
      <c r="A47" s="29" t="s">
        <v>39</v>
      </c>
      <c r="B47" s="73">
        <f>289+613.93</f>
        <v>902.93</v>
      </c>
      <c r="C47" s="73">
        <f>242.55+613.93</f>
        <v>856.48</v>
      </c>
      <c r="D47" s="74">
        <f>B47-C47</f>
        <v>46.449999999999932</v>
      </c>
      <c r="E47" s="60">
        <f>D47/$J$4</f>
        <v>31.387255895668581</v>
      </c>
      <c r="F47" s="74"/>
      <c r="G47" s="60">
        <f>F47/$J$4</f>
        <v>0</v>
      </c>
      <c r="K47" s="18"/>
      <c r="L47" s="18"/>
    </row>
    <row r="48" spans="1:12" s="12" customFormat="1">
      <c r="A48" s="29" t="s">
        <v>40</v>
      </c>
      <c r="B48" s="58">
        <f>38.61+485.2</f>
        <v>523.80999999999995</v>
      </c>
      <c r="C48" s="35">
        <f>37.31+589.9</f>
        <v>627.21</v>
      </c>
      <c r="D48" s="35">
        <f>B48-C48</f>
        <v>-103.40000000000009</v>
      </c>
      <c r="E48" s="60">
        <f t="shared" si="5"/>
        <v>-103.40000000000009</v>
      </c>
      <c r="F48" s="35"/>
      <c r="G48" s="60">
        <v>252.47</v>
      </c>
      <c r="K48" s="18"/>
      <c r="L48" s="18"/>
    </row>
    <row r="49" spans="1:12" s="12" customFormat="1" ht="17.25" customHeight="1" thickBot="1">
      <c r="A49" s="29" t="s">
        <v>136</v>
      </c>
      <c r="B49" s="58">
        <f>196.01+194.7+240.21</f>
        <v>630.91999999999996</v>
      </c>
      <c r="C49" s="58">
        <f>196.01+7.8+178.49</f>
        <v>382.3</v>
      </c>
      <c r="D49" s="35">
        <f>B49-C49</f>
        <v>248.61999999999995</v>
      </c>
      <c r="E49" s="60">
        <f t="shared" si="5"/>
        <v>248.61999999999995</v>
      </c>
      <c r="F49" s="35"/>
      <c r="G49" s="40">
        <v>257.8</v>
      </c>
      <c r="H49" s="18"/>
      <c r="I49" s="18"/>
      <c r="J49" s="18"/>
      <c r="K49" s="18"/>
      <c r="L49" s="18"/>
    </row>
    <row r="50" spans="1:12" s="12" customFormat="1" ht="13.5" thickBot="1">
      <c r="A50" s="67" t="s">
        <v>91</v>
      </c>
      <c r="B50" s="68">
        <f>SUM(B44:B46,B48)+(B47/$J$4)+(B49/$J$5)</f>
        <v>2254.1912414436092</v>
      </c>
      <c r="C50" s="68">
        <f>SUM(C44:C46,C48)+(C47/$J$4)+(C49/$J$5)</f>
        <v>1978.067704782216</v>
      </c>
      <c r="D50" s="68"/>
      <c r="E50" s="69">
        <f>SUM(E44:E49)</f>
        <v>298.1072558956684</v>
      </c>
      <c r="F50" s="68"/>
      <c r="G50" s="69">
        <f>SUM(G44:G49)</f>
        <v>778.09999999999991</v>
      </c>
      <c r="H50" s="18"/>
      <c r="I50" s="18"/>
      <c r="J50" s="18"/>
      <c r="K50" s="18"/>
      <c r="L50" s="18"/>
    </row>
    <row r="51" spans="1:12" s="12" customFormat="1" ht="13.5" thickBot="1">
      <c r="B51" s="7"/>
      <c r="C51" s="24"/>
      <c r="D51" s="7"/>
      <c r="E51" s="7"/>
      <c r="F51" s="7"/>
      <c r="G51" s="23"/>
      <c r="K51" s="18"/>
      <c r="L51" s="18"/>
    </row>
    <row r="52" spans="1:12" s="12" customFormat="1" ht="32.25" thickBot="1">
      <c r="A52" s="8" t="s">
        <v>89</v>
      </c>
      <c r="B52" s="31" t="s">
        <v>1</v>
      </c>
      <c r="C52" s="34" t="s">
        <v>2</v>
      </c>
      <c r="D52" s="34" t="s">
        <v>80</v>
      </c>
      <c r="E52" s="38" t="s">
        <v>81</v>
      </c>
      <c r="F52" s="34" t="s">
        <v>82</v>
      </c>
      <c r="G52" s="38" t="s">
        <v>83</v>
      </c>
      <c r="H52" s="2"/>
    </row>
    <row r="53" spans="1:12" s="12" customFormat="1">
      <c r="A53" s="29" t="s">
        <v>11</v>
      </c>
      <c r="B53" s="58">
        <f>39.18+20.46+107.15+38.54+254.99</f>
        <v>460.32000000000005</v>
      </c>
      <c r="C53" s="35">
        <f>39.18+33.65+107.15+38.54+161.29</f>
        <v>379.81</v>
      </c>
      <c r="D53" s="35">
        <f t="shared" ref="D53:D61" si="6">B53-C53</f>
        <v>80.510000000000048</v>
      </c>
      <c r="E53" s="48">
        <f>D53</f>
        <v>80.510000000000048</v>
      </c>
      <c r="F53" s="35"/>
      <c r="G53" s="40">
        <v>97.8</v>
      </c>
      <c r="H53" s="18"/>
      <c r="I53" s="18"/>
      <c r="J53" s="18"/>
      <c r="K53" s="18"/>
      <c r="L53" s="18"/>
    </row>
    <row r="54" spans="1:12" s="12" customFormat="1">
      <c r="A54" s="29" t="s">
        <v>123</v>
      </c>
      <c r="B54" s="73">
        <f>3916.71+331.26</f>
        <v>4247.97</v>
      </c>
      <c r="C54" s="74">
        <f>810.11+338.66</f>
        <v>1148.77</v>
      </c>
      <c r="D54" s="74">
        <f t="shared" si="6"/>
        <v>3099.2000000000003</v>
      </c>
      <c r="E54" s="48">
        <f>D54/$J$4</f>
        <v>2094.1955537536323</v>
      </c>
      <c r="F54" s="74"/>
      <c r="G54" s="60">
        <f>F54/$J$4</f>
        <v>0</v>
      </c>
      <c r="H54" s="18"/>
      <c r="I54" s="18"/>
      <c r="J54" s="18"/>
      <c r="K54" s="18"/>
      <c r="L54" s="18"/>
    </row>
    <row r="55" spans="1:12" s="12" customFormat="1">
      <c r="A55" s="29" t="s">
        <v>15</v>
      </c>
      <c r="B55" s="58">
        <f>155.54+16.81+12.56+87.54+146.13</f>
        <v>418.58</v>
      </c>
      <c r="C55" s="35">
        <f>155.54+16.81+12.56+85.02+86.85+2.52</f>
        <v>359.29999999999995</v>
      </c>
      <c r="D55" s="35">
        <f t="shared" si="6"/>
        <v>59.28000000000003</v>
      </c>
      <c r="E55" s="48">
        <f>D55</f>
        <v>59.28000000000003</v>
      </c>
      <c r="F55" s="35"/>
      <c r="G55" s="40">
        <v>10.17</v>
      </c>
      <c r="H55" s="18"/>
      <c r="I55" s="18"/>
      <c r="J55" s="18"/>
      <c r="K55" s="18"/>
      <c r="L55" s="18"/>
    </row>
    <row r="56" spans="1:12" s="12" customFormat="1">
      <c r="A56" s="29" t="s">
        <v>18</v>
      </c>
      <c r="B56" s="79">
        <f>585.6+2004</f>
        <v>2589.6</v>
      </c>
      <c r="C56" s="80">
        <v>0</v>
      </c>
      <c r="D56" s="80">
        <f t="shared" si="6"/>
        <v>2589.6</v>
      </c>
      <c r="E56" s="48">
        <f>D56/$J$3</f>
        <v>153.74659360101643</v>
      </c>
      <c r="F56" s="80">
        <f>2197</f>
        <v>2197</v>
      </c>
      <c r="G56" s="40">
        <f>16.55+(F56/J3)</f>
        <v>146.98762208118364</v>
      </c>
      <c r="H56" s="18"/>
      <c r="I56" s="18"/>
      <c r="J56" s="18"/>
      <c r="K56" s="18"/>
      <c r="L56" s="18"/>
    </row>
    <row r="57" spans="1:12" s="12" customFormat="1">
      <c r="A57" s="56" t="s">
        <v>20</v>
      </c>
      <c r="B57" s="57">
        <f>5104.24+81.45</f>
        <v>5185.6899999999996</v>
      </c>
      <c r="C57" s="35">
        <f>5104.24+39.75</f>
        <v>5143.99</v>
      </c>
      <c r="D57" s="35">
        <f t="shared" si="6"/>
        <v>41.699999999999818</v>
      </c>
      <c r="E57" s="48">
        <f>D57</f>
        <v>41.699999999999818</v>
      </c>
      <c r="F57" s="35"/>
      <c r="G57" s="48">
        <v>30.08</v>
      </c>
      <c r="H57" s="18"/>
      <c r="I57" s="18"/>
      <c r="J57" s="18"/>
      <c r="K57" s="18"/>
      <c r="L57" s="18"/>
    </row>
    <row r="58" spans="1:12" s="12" customFormat="1">
      <c r="A58" s="56" t="s">
        <v>25</v>
      </c>
      <c r="B58" s="82">
        <f>13.9+199.29+233.19+7.2+61.04</f>
        <v>514.62</v>
      </c>
      <c r="C58" s="83">
        <v>9.6199999999999992</v>
      </c>
      <c r="D58" s="83">
        <f>B58-C58</f>
        <v>505</v>
      </c>
      <c r="E58" s="48">
        <f>D58/$J$5</f>
        <v>460.3463992707384</v>
      </c>
      <c r="F58" s="72"/>
      <c r="G58" s="62">
        <v>166.3</v>
      </c>
      <c r="H58" s="18"/>
      <c r="I58" s="18"/>
      <c r="J58" s="18"/>
      <c r="K58" s="18"/>
      <c r="L58" s="18"/>
    </row>
    <row r="59" spans="1:12" s="12" customFormat="1" ht="12.75" customHeight="1">
      <c r="A59" s="29" t="s">
        <v>28</v>
      </c>
      <c r="B59" s="58">
        <f>118.62+214.84</f>
        <v>333.46000000000004</v>
      </c>
      <c r="C59" s="35">
        <v>0</v>
      </c>
      <c r="D59" s="81">
        <f t="shared" si="6"/>
        <v>333.46000000000004</v>
      </c>
      <c r="E59" s="92">
        <f>D59</f>
        <v>333.46000000000004</v>
      </c>
      <c r="F59" s="81"/>
      <c r="G59" s="40"/>
      <c r="H59" s="5"/>
      <c r="I59" s="18"/>
      <c r="J59" s="18"/>
      <c r="K59" s="18"/>
      <c r="L59" s="18"/>
    </row>
    <row r="60" spans="1:12" s="12" customFormat="1" ht="12.75" customHeight="1">
      <c r="A60" s="29" t="s">
        <v>127</v>
      </c>
      <c r="B60" s="58">
        <f>793.98+44.98+26.37+67.46+960.99</f>
        <v>1893.7800000000002</v>
      </c>
      <c r="C60" s="35">
        <f>791+33.47+14.14+130.22+54.82+906.17</f>
        <v>1929.8200000000002</v>
      </c>
      <c r="D60" s="35">
        <f t="shared" si="6"/>
        <v>-36.039999999999964</v>
      </c>
      <c r="E60" s="48">
        <f>D60</f>
        <v>-36.039999999999964</v>
      </c>
      <c r="F60" s="81"/>
      <c r="G60" s="40">
        <v>5.28</v>
      </c>
      <c r="H60" s="5"/>
      <c r="I60" s="18"/>
      <c r="J60" s="18"/>
      <c r="K60" s="18"/>
      <c r="L60" s="18"/>
    </row>
    <row r="61" spans="1:12" s="12" customFormat="1" ht="12.75" customHeight="1" thickBot="1">
      <c r="A61" s="29" t="s">
        <v>30</v>
      </c>
      <c r="B61" s="58">
        <f>8.52+20.3</f>
        <v>28.82</v>
      </c>
      <c r="C61" s="35">
        <f>41.56-33.04</f>
        <v>8.5200000000000031</v>
      </c>
      <c r="D61" s="81">
        <f t="shared" si="6"/>
        <v>20.299999999999997</v>
      </c>
      <c r="E61" s="92">
        <f>D61</f>
        <v>20.299999999999997</v>
      </c>
      <c r="F61" s="81"/>
      <c r="G61" s="40">
        <v>62.51</v>
      </c>
      <c r="H61" s="5"/>
      <c r="I61" s="18"/>
      <c r="J61" s="18"/>
      <c r="K61" s="18"/>
      <c r="L61" s="18"/>
    </row>
    <row r="62" spans="1:12" s="12" customFormat="1" ht="13.5" thickBot="1">
      <c r="A62" s="67" t="s">
        <v>91</v>
      </c>
      <c r="B62" s="68">
        <f>SUM(B53,B55,B57,B59,B61)+(B56/$J$3)+(B58/$J$5)+(B54/$J$4)</f>
        <v>9920.1763127990725</v>
      </c>
      <c r="C62" s="68"/>
      <c r="D62" s="68"/>
      <c r="E62" s="69">
        <f>SUM(E53:E61)</f>
        <v>3207.4985466253875</v>
      </c>
      <c r="F62" s="68"/>
      <c r="G62" s="69">
        <f>SUM(G53:G61)</f>
        <v>519.12762208118363</v>
      </c>
      <c r="H62" s="18"/>
      <c r="I62" s="18"/>
      <c r="J62" s="18"/>
      <c r="K62" s="18"/>
      <c r="L62" s="18"/>
    </row>
    <row r="63" spans="1:12" s="12" customFormat="1" ht="13.5" thickBot="1">
      <c r="A63" s="77"/>
      <c r="B63" s="78"/>
      <c r="C63" s="78"/>
      <c r="D63" s="78"/>
      <c r="E63" s="78"/>
      <c r="F63" s="78"/>
      <c r="G63" s="78"/>
      <c r="H63" s="18"/>
      <c r="I63" s="18"/>
      <c r="J63" s="18"/>
      <c r="K63" s="18"/>
      <c r="L63" s="18"/>
    </row>
    <row r="64" spans="1:12" ht="34.5" customHeight="1" thickBot="1">
      <c r="A64" s="8" t="s">
        <v>42</v>
      </c>
      <c r="B64" s="31" t="s">
        <v>1</v>
      </c>
      <c r="C64" s="34" t="s">
        <v>2</v>
      </c>
      <c r="D64" s="34" t="s">
        <v>80</v>
      </c>
      <c r="E64" s="38" t="s">
        <v>81</v>
      </c>
      <c r="F64" s="34" t="s">
        <v>82</v>
      </c>
      <c r="G64" s="38" t="s">
        <v>83</v>
      </c>
      <c r="H64" s="18"/>
      <c r="I64" s="18"/>
      <c r="J64" s="18"/>
      <c r="K64" s="18"/>
      <c r="L64" s="18"/>
    </row>
    <row r="65" spans="1:12" ht="19.5" customHeight="1" thickBot="1">
      <c r="A65" s="29" t="s">
        <v>121</v>
      </c>
      <c r="B65" s="70">
        <v>2723.29</v>
      </c>
      <c r="C65" s="71">
        <v>0</v>
      </c>
      <c r="D65" s="83">
        <f>B65-C65</f>
        <v>2723.29</v>
      </c>
      <c r="E65" s="48">
        <f>D65/$J$5</f>
        <v>2482.4886052871466</v>
      </c>
      <c r="F65" s="70"/>
      <c r="G65" s="48"/>
      <c r="H65" s="110"/>
    </row>
    <row r="66" spans="1:12" s="12" customFormat="1" ht="13.5" thickBot="1">
      <c r="A66" s="67" t="s">
        <v>91</v>
      </c>
      <c r="B66" s="68">
        <f>B65/J5</f>
        <v>2482.4886052871466</v>
      </c>
      <c r="C66" s="68">
        <f>C65</f>
        <v>0</v>
      </c>
      <c r="D66" s="68"/>
      <c r="E66" s="69">
        <f>E65</f>
        <v>2482.4886052871466</v>
      </c>
      <c r="F66" s="68"/>
      <c r="G66" s="69">
        <f>G65</f>
        <v>0</v>
      </c>
      <c r="H66" s="18"/>
      <c r="I66" s="18"/>
      <c r="J66" s="18"/>
      <c r="K66" s="18"/>
      <c r="L66" s="18"/>
    </row>
    <row r="67" spans="1:12" ht="19.5" customHeight="1" thickBot="1">
      <c r="A67" s="12"/>
      <c r="B67" s="7"/>
      <c r="C67" s="24"/>
      <c r="D67" s="7"/>
      <c r="E67" s="7"/>
      <c r="F67" s="7"/>
      <c r="G67" s="6"/>
    </row>
    <row r="68" spans="1:12" ht="19.5" customHeight="1" thickBot="1">
      <c r="A68" s="8" t="s">
        <v>100</v>
      </c>
      <c r="B68" s="8" t="s">
        <v>43</v>
      </c>
      <c r="C68" s="6"/>
      <c r="D68" s="6"/>
      <c r="E68" s="6"/>
      <c r="F68" s="6"/>
      <c r="G68" s="6"/>
      <c r="H68" s="18"/>
      <c r="I68" s="18"/>
      <c r="J68" s="18"/>
      <c r="K68" s="18"/>
      <c r="L68" s="18"/>
    </row>
    <row r="69" spans="1:12" ht="30" customHeight="1">
      <c r="A69" s="56" t="s">
        <v>44</v>
      </c>
      <c r="B69" s="118">
        <v>0.12</v>
      </c>
      <c r="C69" s="6"/>
      <c r="D69" s="6"/>
      <c r="E69" s="6"/>
      <c r="F69" s="6"/>
      <c r="G69" s="6"/>
    </row>
    <row r="70" spans="1:12" ht="15.75">
      <c r="A70" s="56" t="s">
        <v>101</v>
      </c>
      <c r="B70" s="119"/>
      <c r="C70" s="6"/>
      <c r="D70" s="6"/>
      <c r="E70" s="6"/>
      <c r="F70" s="6"/>
      <c r="G70" s="6"/>
    </row>
    <row r="71" spans="1:12" ht="15.75">
      <c r="A71" s="56" t="s">
        <v>103</v>
      </c>
      <c r="B71" s="119">
        <v>0.6</v>
      </c>
      <c r="C71" s="6"/>
      <c r="D71" s="6"/>
      <c r="E71" s="6"/>
      <c r="F71" s="6"/>
      <c r="G71" s="6"/>
    </row>
    <row r="72" spans="1:12" ht="15.75">
      <c r="A72" s="56" t="s">
        <v>102</v>
      </c>
      <c r="B72" s="119">
        <v>0.56000000000000005</v>
      </c>
      <c r="C72" s="6"/>
      <c r="D72" s="6"/>
      <c r="E72" s="6"/>
      <c r="F72" s="6"/>
      <c r="G72" s="6"/>
    </row>
    <row r="73" spans="1:12" ht="15.75">
      <c r="A73" s="29" t="s">
        <v>111</v>
      </c>
      <c r="B73" s="119">
        <v>0.57999999999999996</v>
      </c>
      <c r="C73" s="6"/>
      <c r="D73" s="6"/>
      <c r="E73" s="6"/>
      <c r="F73" s="6"/>
      <c r="G73" s="6"/>
    </row>
    <row r="74" spans="1:12" ht="15.75">
      <c r="A74" s="29" t="s">
        <v>112</v>
      </c>
      <c r="B74" s="119">
        <v>0</v>
      </c>
      <c r="C74" s="6"/>
      <c r="D74" s="6"/>
      <c r="E74" s="6"/>
      <c r="F74" s="6"/>
      <c r="G74" s="6"/>
    </row>
    <row r="75" spans="1:12" ht="15.75">
      <c r="A75" s="29" t="s">
        <v>113</v>
      </c>
      <c r="B75" s="119">
        <v>16.52</v>
      </c>
      <c r="C75" s="6"/>
      <c r="D75" s="6"/>
      <c r="E75" s="6"/>
      <c r="F75" s="6"/>
      <c r="G75" s="6"/>
    </row>
    <row r="76" spans="1:12" ht="15.75">
      <c r="A76" s="29" t="s">
        <v>114</v>
      </c>
      <c r="B76" s="119"/>
      <c r="C76" s="6"/>
      <c r="D76" s="6"/>
      <c r="E76" s="6"/>
      <c r="F76" s="6"/>
      <c r="G76" s="6"/>
    </row>
    <row r="77" spans="1:12" ht="15.75">
      <c r="A77" s="94" t="s">
        <v>45</v>
      </c>
      <c r="B77" s="119">
        <v>0</v>
      </c>
      <c r="C77" s="6"/>
      <c r="D77" s="6"/>
      <c r="E77" s="6"/>
      <c r="F77" s="6"/>
      <c r="G77" s="6"/>
    </row>
    <row r="78" spans="1:12" ht="15.75">
      <c r="A78" s="94" t="s">
        <v>46</v>
      </c>
      <c r="B78" s="119">
        <v>0</v>
      </c>
      <c r="C78" s="6"/>
      <c r="D78" s="6"/>
      <c r="E78" s="6"/>
      <c r="F78" s="6"/>
      <c r="G78" s="6"/>
    </row>
    <row r="79" spans="1:12" ht="15.75">
      <c r="A79" s="56" t="s">
        <v>47</v>
      </c>
      <c r="B79" s="119"/>
      <c r="C79" s="6"/>
      <c r="D79" s="6"/>
      <c r="E79" s="6"/>
      <c r="F79" s="6"/>
      <c r="G79" s="6"/>
      <c r="J79" s="18"/>
      <c r="K79" s="18"/>
      <c r="L79" s="18"/>
    </row>
    <row r="80" spans="1:12" ht="15.75">
      <c r="A80" s="56" t="s">
        <v>48</v>
      </c>
      <c r="B80" s="119"/>
      <c r="C80" s="6"/>
      <c r="D80" s="6"/>
      <c r="E80" s="6"/>
      <c r="F80" s="6"/>
      <c r="G80" s="6"/>
    </row>
    <row r="81" spans="1:12" ht="15.75">
      <c r="A81" s="56" t="s">
        <v>49</v>
      </c>
      <c r="B81" s="119"/>
      <c r="C81" s="6"/>
      <c r="D81" s="6"/>
      <c r="E81" s="6"/>
      <c r="F81" s="6"/>
      <c r="G81" s="6"/>
    </row>
    <row r="82" spans="1:12" s="12" customFormat="1" ht="15.75">
      <c r="A82" s="56" t="s">
        <v>107</v>
      </c>
      <c r="B82" s="119">
        <v>0</v>
      </c>
      <c r="C82" s="6"/>
      <c r="D82" s="6"/>
      <c r="E82" s="6"/>
      <c r="F82" s="6"/>
      <c r="G82" s="6"/>
      <c r="H82" s="15"/>
      <c r="I82" s="15"/>
      <c r="J82" s="18"/>
      <c r="K82" s="18"/>
      <c r="L82" s="18"/>
    </row>
    <row r="83" spans="1:12" s="12" customFormat="1" ht="15.75">
      <c r="A83" s="94" t="s">
        <v>50</v>
      </c>
      <c r="B83" s="119"/>
      <c r="C83" s="6"/>
      <c r="D83" s="6"/>
      <c r="E83" s="6"/>
      <c r="F83" s="6"/>
      <c r="G83" s="6"/>
      <c r="H83" s="15"/>
      <c r="I83" s="15"/>
      <c r="J83" s="18"/>
      <c r="K83" s="18"/>
      <c r="L83" s="18"/>
    </row>
    <row r="84" spans="1:12" ht="15.75">
      <c r="A84" s="29" t="s">
        <v>51</v>
      </c>
      <c r="B84" s="119">
        <v>0</v>
      </c>
      <c r="C84" s="6"/>
      <c r="D84" s="6"/>
      <c r="E84" s="6"/>
      <c r="F84" s="6"/>
      <c r="G84" s="6"/>
    </row>
    <row r="85" spans="1:12" ht="15.75">
      <c r="A85" s="94" t="s">
        <v>52</v>
      </c>
      <c r="B85" s="119">
        <v>0</v>
      </c>
      <c r="C85" s="6"/>
      <c r="D85" s="6"/>
      <c r="E85" s="6"/>
      <c r="F85" s="6"/>
      <c r="G85" s="6"/>
    </row>
    <row r="86" spans="1:12" ht="15.75">
      <c r="A86" s="94" t="s">
        <v>53</v>
      </c>
      <c r="B86" s="119">
        <v>0</v>
      </c>
      <c r="C86" s="6"/>
      <c r="D86" s="6"/>
      <c r="E86" s="6"/>
      <c r="F86" s="6"/>
      <c r="G86" s="6"/>
    </row>
    <row r="87" spans="1:12" s="12" customFormat="1" ht="15.75">
      <c r="A87" s="94" t="s">
        <v>54</v>
      </c>
      <c r="B87" s="119">
        <v>0</v>
      </c>
      <c r="C87" s="6"/>
      <c r="D87" s="6"/>
      <c r="E87" s="6"/>
      <c r="F87" s="6"/>
      <c r="G87" s="6"/>
      <c r="H87" s="18"/>
      <c r="I87" s="18"/>
      <c r="J87" s="15"/>
      <c r="K87" s="15"/>
      <c r="L87" s="15"/>
    </row>
    <row r="88" spans="1:12" ht="15.75">
      <c r="A88" s="94" t="s">
        <v>55</v>
      </c>
      <c r="B88" s="119"/>
      <c r="C88" s="6"/>
      <c r="D88" s="6"/>
      <c r="E88" s="6"/>
      <c r="F88" s="6"/>
      <c r="G88" s="6"/>
      <c r="H88" s="18"/>
      <c r="I88" s="18"/>
    </row>
    <row r="89" spans="1:12" ht="15.75">
      <c r="A89" s="94" t="s">
        <v>56</v>
      </c>
      <c r="B89" s="120">
        <v>13.33</v>
      </c>
      <c r="C89" s="6"/>
      <c r="D89" s="6"/>
      <c r="E89" s="6"/>
      <c r="F89" s="6"/>
      <c r="G89" s="6"/>
    </row>
    <row r="90" spans="1:12" ht="15.75">
      <c r="A90" s="94" t="s">
        <v>57</v>
      </c>
      <c r="B90" s="120">
        <v>14.46</v>
      </c>
      <c r="C90" s="6"/>
      <c r="D90" s="6"/>
      <c r="E90" s="6"/>
      <c r="F90" s="6"/>
      <c r="G90" s="6"/>
    </row>
    <row r="91" spans="1:12" ht="15.75">
      <c r="A91" s="94" t="s">
        <v>58</v>
      </c>
      <c r="B91" s="120">
        <v>19.16</v>
      </c>
      <c r="C91" s="6"/>
      <c r="D91" s="6"/>
      <c r="E91" s="6"/>
      <c r="F91" s="6"/>
      <c r="G91" s="6"/>
    </row>
    <row r="92" spans="1:12">
      <c r="A92" s="94" t="s">
        <v>59</v>
      </c>
      <c r="B92" s="119">
        <v>0</v>
      </c>
      <c r="C92" s="25"/>
      <c r="D92" s="26"/>
      <c r="E92" s="26"/>
      <c r="F92" s="26"/>
    </row>
    <row r="93" spans="1:12">
      <c r="A93" s="94" t="s">
        <v>60</v>
      </c>
      <c r="B93" s="119">
        <v>0</v>
      </c>
      <c r="C93" s="25"/>
      <c r="D93" s="26"/>
      <c r="E93" s="26"/>
      <c r="F93" s="26"/>
    </row>
    <row r="94" spans="1:12">
      <c r="A94" s="94" t="s">
        <v>61</v>
      </c>
      <c r="B94" s="119"/>
      <c r="C94" s="25"/>
      <c r="D94" s="26"/>
      <c r="E94" s="26"/>
      <c r="F94" s="26"/>
    </row>
    <row r="95" spans="1:12">
      <c r="A95" s="94" t="s">
        <v>62</v>
      </c>
      <c r="B95" s="119"/>
      <c r="C95" s="25"/>
      <c r="D95" s="26"/>
      <c r="E95" s="26"/>
      <c r="F95" s="26"/>
    </row>
    <row r="96" spans="1:12">
      <c r="A96" s="94" t="s">
        <v>63</v>
      </c>
      <c r="B96" s="119"/>
      <c r="C96" s="25"/>
      <c r="D96" s="26"/>
      <c r="E96" s="26"/>
      <c r="F96" s="26"/>
    </row>
    <row r="97" spans="1:6">
      <c r="A97" s="94" t="s">
        <v>118</v>
      </c>
      <c r="B97" s="119">
        <v>0</v>
      </c>
      <c r="C97" s="25"/>
      <c r="D97" s="26"/>
      <c r="E97" s="26"/>
      <c r="F97" s="26"/>
    </row>
    <row r="98" spans="1:6">
      <c r="A98" s="94" t="s">
        <v>119</v>
      </c>
      <c r="B98" s="119"/>
      <c r="C98" s="25"/>
      <c r="D98" s="26"/>
      <c r="E98" s="26"/>
      <c r="F98" s="26"/>
    </row>
    <row r="99" spans="1:6">
      <c r="A99" s="94" t="s">
        <v>65</v>
      </c>
      <c r="B99" s="119"/>
      <c r="C99" s="25"/>
      <c r="D99" s="26"/>
      <c r="E99" s="26"/>
      <c r="F99" s="26"/>
    </row>
    <row r="100" spans="1:6">
      <c r="A100" s="94" t="s">
        <v>66</v>
      </c>
      <c r="B100" s="119"/>
      <c r="C100" s="25"/>
      <c r="D100" s="26"/>
      <c r="E100" s="26"/>
      <c r="F100" s="26"/>
    </row>
    <row r="101" spans="1:6">
      <c r="A101" s="94" t="s">
        <v>108</v>
      </c>
      <c r="B101" s="119"/>
      <c r="C101" s="25"/>
      <c r="D101" s="26"/>
      <c r="E101" s="26"/>
      <c r="F101" s="26"/>
    </row>
    <row r="102" spans="1:6">
      <c r="A102" s="94" t="s">
        <v>67</v>
      </c>
      <c r="B102" s="119">
        <v>0</v>
      </c>
      <c r="C102" s="25"/>
      <c r="D102" s="26"/>
      <c r="E102" s="26"/>
      <c r="F102" s="26"/>
    </row>
    <row r="103" spans="1:6">
      <c r="A103" s="94" t="s">
        <v>68</v>
      </c>
      <c r="B103" s="119"/>
      <c r="C103" s="25"/>
      <c r="D103" s="26"/>
      <c r="E103" s="26"/>
      <c r="F103" s="26"/>
    </row>
    <row r="104" spans="1:6">
      <c r="A104" s="94" t="s">
        <v>109</v>
      </c>
      <c r="B104" s="119">
        <v>0</v>
      </c>
      <c r="C104" s="25"/>
      <c r="D104" s="26"/>
      <c r="E104" s="26"/>
      <c r="F104" s="26"/>
    </row>
    <row r="105" spans="1:6">
      <c r="A105" s="94" t="s">
        <v>110</v>
      </c>
      <c r="B105" s="119">
        <v>19.16</v>
      </c>
      <c r="C105" s="25"/>
      <c r="D105" s="26"/>
      <c r="E105" s="26"/>
      <c r="F105" s="26"/>
    </row>
    <row r="106" spans="1:6">
      <c r="A106" s="94" t="s">
        <v>69</v>
      </c>
      <c r="B106" s="120">
        <v>24.79</v>
      </c>
      <c r="C106" s="25"/>
      <c r="D106" s="26"/>
      <c r="E106" s="26"/>
      <c r="F106" s="26"/>
    </row>
    <row r="107" spans="1:6">
      <c r="A107" s="94" t="s">
        <v>117</v>
      </c>
      <c r="B107" s="119">
        <v>0</v>
      </c>
      <c r="C107" s="25"/>
      <c r="D107" s="26"/>
      <c r="E107" s="26"/>
      <c r="F107" s="26"/>
    </row>
    <row r="108" spans="1:6" ht="25.5">
      <c r="A108" s="94" t="s">
        <v>115</v>
      </c>
      <c r="B108" s="119"/>
      <c r="C108" s="25"/>
      <c r="D108" s="26"/>
      <c r="E108" s="26"/>
      <c r="F108" s="26"/>
    </row>
    <row r="109" spans="1:6" ht="25.5">
      <c r="A109" s="94" t="s">
        <v>116</v>
      </c>
      <c r="B109" s="119"/>
      <c r="C109" s="25"/>
      <c r="D109" s="26"/>
      <c r="E109" s="26"/>
      <c r="F109" s="26"/>
    </row>
    <row r="110" spans="1:6">
      <c r="A110" s="95" t="s">
        <v>71</v>
      </c>
      <c r="B110" s="119"/>
      <c r="C110" s="25"/>
      <c r="D110" s="26"/>
      <c r="E110" s="26"/>
      <c r="F110" s="26"/>
    </row>
    <row r="111" spans="1:6">
      <c r="A111" s="95" t="s">
        <v>73</v>
      </c>
      <c r="B111" s="119">
        <v>0</v>
      </c>
      <c r="C111" s="25"/>
      <c r="D111" s="26"/>
      <c r="E111" s="26"/>
      <c r="F111" s="26"/>
    </row>
    <row r="112" spans="1:6">
      <c r="A112" s="95" t="s">
        <v>74</v>
      </c>
      <c r="B112" s="119"/>
      <c r="C112" s="25"/>
      <c r="D112" s="26"/>
      <c r="E112" s="26"/>
      <c r="F112" s="26"/>
    </row>
    <row r="113" spans="1:12">
      <c r="A113" s="95" t="s">
        <v>75</v>
      </c>
      <c r="B113" s="119">
        <v>0.45</v>
      </c>
      <c r="C113" s="25"/>
      <c r="D113" s="26"/>
      <c r="E113" s="26"/>
      <c r="F113" s="26"/>
    </row>
    <row r="114" spans="1:12">
      <c r="A114" s="95" t="s">
        <v>76</v>
      </c>
      <c r="B114" s="119"/>
      <c r="C114" s="25"/>
      <c r="D114" s="26"/>
      <c r="E114" s="26"/>
      <c r="F114" s="26"/>
    </row>
    <row r="115" spans="1:12" ht="13.5" thickBot="1">
      <c r="A115" s="96" t="s">
        <v>77</v>
      </c>
      <c r="B115" s="117">
        <v>0.12</v>
      </c>
      <c r="C115" s="25"/>
      <c r="D115" s="26"/>
      <c r="E115" s="26"/>
      <c r="F115" s="26"/>
    </row>
    <row r="116" spans="1:12" s="12" customFormat="1" ht="16.5" thickBot="1">
      <c r="A116" s="67" t="s">
        <v>120</v>
      </c>
      <c r="B116" s="68">
        <f>SUM(B69:B115)</f>
        <v>109.85000000000001</v>
      </c>
      <c r="C116" s="10"/>
      <c r="D116" s="11"/>
      <c r="E116" s="11"/>
      <c r="F116" s="11"/>
      <c r="G116" s="11"/>
      <c r="H116" s="18"/>
      <c r="I116" s="18"/>
      <c r="J116" s="18"/>
      <c r="K116" s="18"/>
      <c r="L116" s="18"/>
    </row>
    <row r="117" spans="1:12" s="12" customFormat="1" ht="15.75">
      <c r="A117" s="77"/>
      <c r="B117" s="78"/>
      <c r="C117" s="10"/>
      <c r="D117" s="11"/>
      <c r="E117" s="11"/>
      <c r="F117" s="11"/>
      <c r="G117" s="11"/>
      <c r="H117" s="18"/>
      <c r="I117" s="18"/>
      <c r="J117" s="18"/>
      <c r="K117" s="18"/>
      <c r="L117" s="18"/>
    </row>
    <row r="118" spans="1:12" s="12" customFormat="1" ht="16.5" thickBot="1">
      <c r="A118" s="77"/>
      <c r="B118" s="78"/>
      <c r="C118" s="10"/>
      <c r="D118" s="11"/>
      <c r="E118" s="11"/>
      <c r="F118" s="11"/>
      <c r="G118" s="11"/>
      <c r="H118" s="18"/>
      <c r="I118" s="18"/>
      <c r="J118" s="18"/>
      <c r="K118" s="18"/>
      <c r="L118" s="18"/>
    </row>
    <row r="119" spans="1:12" s="12" customFormat="1" ht="15.75">
      <c r="A119" s="97" t="s">
        <v>78</v>
      </c>
      <c r="B119" s="106">
        <f>SUM(B5,B12,B17,B41,B50,B62,B66)</f>
        <v>19729.136159529829</v>
      </c>
      <c r="C119" s="11"/>
      <c r="D119" s="11"/>
      <c r="E119" s="11"/>
      <c r="F119" s="11"/>
      <c r="H119" s="18"/>
      <c r="I119" s="18"/>
      <c r="J119" s="18"/>
      <c r="K119" s="18"/>
      <c r="L119" s="18"/>
    </row>
    <row r="120" spans="1:12" ht="15.75">
      <c r="A120" s="98" t="s">
        <v>79</v>
      </c>
      <c r="B120" s="107">
        <f>SUM(G5,G12,G17,G41,G50,G62,G66)</f>
        <v>2160.2376220811834</v>
      </c>
      <c r="C120" s="25"/>
      <c r="D120" s="26"/>
      <c r="E120" s="26"/>
      <c r="F120" s="26"/>
    </row>
    <row r="121" spans="1:12" ht="15.75">
      <c r="A121" s="98" t="s">
        <v>94</v>
      </c>
      <c r="B121" s="108">
        <f>B116</f>
        <v>109.85000000000001</v>
      </c>
      <c r="C121" s="25"/>
      <c r="D121" s="26"/>
      <c r="E121" s="26"/>
      <c r="F121" s="26"/>
    </row>
    <row r="122" spans="1:12" ht="16.5" thickBot="1">
      <c r="A122" s="99" t="s">
        <v>135</v>
      </c>
      <c r="B122" s="109">
        <f>SUM(B119:B121)</f>
        <v>21999.22378161101</v>
      </c>
      <c r="C122" s="25"/>
      <c r="D122" s="26"/>
      <c r="E122" s="26"/>
      <c r="F122" s="26"/>
    </row>
    <row r="123" spans="1:12">
      <c r="B123" s="25"/>
      <c r="C123" s="25"/>
      <c r="D123" s="26"/>
      <c r="E123" s="26"/>
      <c r="F123" s="26"/>
    </row>
    <row r="124" spans="1:12">
      <c r="B124" s="25"/>
      <c r="C124" s="25"/>
      <c r="D124" s="25"/>
      <c r="E124" s="25"/>
      <c r="F124" s="25"/>
    </row>
    <row r="125" spans="1:12">
      <c r="B125" s="25"/>
      <c r="C125" s="25"/>
      <c r="D125" s="25"/>
      <c r="E125" s="25"/>
      <c r="F125" s="25"/>
    </row>
    <row r="126" spans="1:12">
      <c r="B126" s="25"/>
      <c r="C126" s="25"/>
      <c r="D126" s="25"/>
      <c r="E126" s="25"/>
      <c r="F126" s="25"/>
    </row>
    <row r="127" spans="1:12">
      <c r="B127" s="25"/>
      <c r="C127" s="25"/>
      <c r="D127" s="25"/>
      <c r="E127" s="25"/>
      <c r="F127" s="25"/>
    </row>
    <row r="128" spans="1:12" s="25" customFormat="1">
      <c r="A128" s="15"/>
      <c r="G128" s="16"/>
      <c r="H128" s="15"/>
      <c r="I128" s="15"/>
      <c r="J128" s="15"/>
      <c r="K128" s="15"/>
      <c r="L128" s="15"/>
    </row>
    <row r="129" spans="1:12" s="25" customFormat="1">
      <c r="A129" s="15"/>
      <c r="G129" s="16"/>
      <c r="H129" s="15"/>
      <c r="I129" s="15"/>
      <c r="J129" s="15"/>
      <c r="K129" s="15"/>
      <c r="L129" s="15"/>
    </row>
    <row r="130" spans="1:12">
      <c r="B130" s="2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30"/>
  <sheetViews>
    <sheetView showGridLines="0" tabSelected="1" topLeftCell="A25" workbookViewId="0">
      <selection activeCell="C58" sqref="C58"/>
    </sheetView>
  </sheetViews>
  <sheetFormatPr defaultColWidth="19.7109375" defaultRowHeight="12.75"/>
  <cols>
    <col min="1" max="1" width="39.5703125" style="15" bestFit="1" customWidth="1"/>
    <col min="2" max="2" width="22.7109375" style="15" customWidth="1"/>
    <col min="3" max="3" width="22" style="15" customWidth="1"/>
    <col min="4" max="6" width="22.140625" style="15" customWidth="1"/>
    <col min="7" max="7" width="24.28515625" style="16" customWidth="1"/>
    <col min="8" max="16384" width="19.7109375" style="15"/>
  </cols>
  <sheetData>
    <row r="1" spans="1:12" ht="32.25" thickBot="1">
      <c r="A1" s="27" t="s">
        <v>0</v>
      </c>
      <c r="B1" s="31" t="s">
        <v>1</v>
      </c>
      <c r="C1" s="34" t="s">
        <v>2</v>
      </c>
      <c r="D1" s="34" t="s">
        <v>80</v>
      </c>
      <c r="E1" s="38" t="s">
        <v>81</v>
      </c>
      <c r="F1" s="34" t="s">
        <v>82</v>
      </c>
      <c r="G1" s="38" t="s">
        <v>83</v>
      </c>
      <c r="H1" s="1"/>
      <c r="I1" s="121" t="s">
        <v>137</v>
      </c>
      <c r="J1" s="122"/>
    </row>
    <row r="2" spans="1:12">
      <c r="A2" s="28" t="s">
        <v>3</v>
      </c>
      <c r="B2" s="37">
        <v>1497.5</v>
      </c>
      <c r="C2" s="37">
        <v>1321</v>
      </c>
      <c r="D2" s="50"/>
      <c r="E2" s="47">
        <f>B2-C2</f>
        <v>176.5</v>
      </c>
      <c r="F2" s="41"/>
      <c r="G2" s="39"/>
      <c r="I2" s="86" t="s">
        <v>138</v>
      </c>
      <c r="J2" s="87">
        <v>2874.96</v>
      </c>
    </row>
    <row r="3" spans="1:12" s="12" customFormat="1">
      <c r="A3" s="29" t="s">
        <v>36</v>
      </c>
      <c r="B3" s="32"/>
      <c r="C3" s="32"/>
      <c r="D3" s="29"/>
      <c r="E3" s="48">
        <f>B3-C3</f>
        <v>0</v>
      </c>
      <c r="F3" s="42"/>
      <c r="G3" s="43"/>
      <c r="H3" s="18"/>
      <c r="I3" s="86" t="s">
        <v>97</v>
      </c>
      <c r="J3" s="87">
        <v>16.5124</v>
      </c>
      <c r="K3" s="18"/>
      <c r="L3" s="18"/>
    </row>
    <row r="4" spans="1:12" s="12" customFormat="1" ht="13.5" thickBot="1">
      <c r="A4" s="30" t="s">
        <v>4</v>
      </c>
      <c r="B4" s="44"/>
      <c r="C4" s="44"/>
      <c r="D4" s="51"/>
      <c r="E4" s="49">
        <f>B4-C4</f>
        <v>0</v>
      </c>
      <c r="F4" s="45"/>
      <c r="G4" s="46"/>
      <c r="H4" s="18"/>
      <c r="I4" s="88" t="s">
        <v>98</v>
      </c>
      <c r="J4" s="89">
        <v>1.4774</v>
      </c>
      <c r="K4" s="18"/>
      <c r="L4" s="18"/>
    </row>
    <row r="5" spans="1:12" s="12" customFormat="1" ht="13.5" thickBot="1">
      <c r="A5" s="67" t="s">
        <v>91</v>
      </c>
      <c r="B5" s="68">
        <f>SUM(B2:B4)</f>
        <v>1497.5</v>
      </c>
      <c r="C5" s="68">
        <f t="shared" ref="C5:G5" si="0">SUM(C2:C4)</f>
        <v>1321</v>
      </c>
      <c r="D5" s="68"/>
      <c r="E5" s="69">
        <f t="shared" si="0"/>
        <v>176.5</v>
      </c>
      <c r="F5" s="68"/>
      <c r="G5" s="69">
        <f t="shared" si="0"/>
        <v>0</v>
      </c>
      <c r="H5" s="18"/>
      <c r="I5" s="90" t="s">
        <v>99</v>
      </c>
      <c r="J5" s="91">
        <v>1.097</v>
      </c>
      <c r="K5" s="18"/>
      <c r="L5" s="18"/>
    </row>
    <row r="6" spans="1:12" s="12" customFormat="1" ht="13.5" thickBot="1">
      <c r="A6" s="19"/>
      <c r="B6" s="4"/>
      <c r="C6" s="4"/>
      <c r="D6" s="17"/>
      <c r="E6" s="17"/>
      <c r="F6" s="17"/>
      <c r="G6" s="20"/>
      <c r="H6" s="18"/>
      <c r="I6" s="18"/>
      <c r="J6" s="18"/>
      <c r="K6" s="18"/>
      <c r="L6" s="18"/>
    </row>
    <row r="7" spans="1:12" s="12" customFormat="1" ht="32.25" thickBot="1">
      <c r="A7" s="27" t="s">
        <v>35</v>
      </c>
      <c r="B7" s="31" t="s">
        <v>1</v>
      </c>
      <c r="C7" s="34" t="s">
        <v>2</v>
      </c>
      <c r="D7" s="34" t="s">
        <v>80</v>
      </c>
      <c r="E7" s="38" t="s">
        <v>81</v>
      </c>
      <c r="F7" s="34" t="s">
        <v>82</v>
      </c>
      <c r="G7" s="38" t="s">
        <v>83</v>
      </c>
      <c r="H7" s="2"/>
    </row>
    <row r="8" spans="1:12">
      <c r="A8" s="28" t="s">
        <v>84</v>
      </c>
      <c r="B8" s="37"/>
      <c r="C8" s="37"/>
      <c r="D8" s="50"/>
      <c r="E8" s="47">
        <f>B8-C8</f>
        <v>0</v>
      </c>
      <c r="F8" s="41"/>
      <c r="G8" s="39"/>
    </row>
    <row r="9" spans="1:12" s="12" customFormat="1">
      <c r="A9" s="29" t="s">
        <v>12</v>
      </c>
      <c r="B9" s="32"/>
      <c r="C9" s="32"/>
      <c r="D9" s="29"/>
      <c r="E9" s="48">
        <f>B9-C9</f>
        <v>0</v>
      </c>
      <c r="F9" s="42"/>
      <c r="G9" s="43"/>
      <c r="H9" s="18"/>
      <c r="I9" s="18"/>
      <c r="J9" s="18"/>
      <c r="K9" s="18"/>
      <c r="L9" s="18"/>
    </row>
    <row r="10" spans="1:12" s="12" customFormat="1">
      <c r="A10" s="29" t="s">
        <v>131</v>
      </c>
      <c r="B10" s="32"/>
      <c r="C10" s="32"/>
      <c r="D10" s="29"/>
      <c r="E10" s="48">
        <f>B10-C10</f>
        <v>0</v>
      </c>
      <c r="F10" s="42"/>
      <c r="G10" s="43"/>
      <c r="H10" s="18"/>
      <c r="I10" s="18"/>
      <c r="J10" s="18"/>
      <c r="K10" s="18"/>
      <c r="L10" s="18"/>
    </row>
    <row r="11" spans="1:12" s="12" customFormat="1" ht="13.5" thickBot="1">
      <c r="A11" s="30" t="s">
        <v>85</v>
      </c>
      <c r="B11" s="44"/>
      <c r="C11" s="44"/>
      <c r="D11" s="51"/>
      <c r="E11" s="49">
        <f>B11-C11</f>
        <v>0</v>
      </c>
      <c r="F11" s="45"/>
      <c r="G11" s="46"/>
      <c r="H11" s="18"/>
      <c r="I11" s="18"/>
      <c r="J11" s="18"/>
      <c r="K11" s="18"/>
      <c r="L11" s="18"/>
    </row>
    <row r="12" spans="1:12" s="12" customFormat="1" ht="13.5" thickBot="1">
      <c r="A12" s="67" t="s">
        <v>91</v>
      </c>
      <c r="B12" s="68">
        <f>SUM(B8:B11)</f>
        <v>0</v>
      </c>
      <c r="C12" s="68">
        <f>SUM(C8:C11)</f>
        <v>0</v>
      </c>
      <c r="D12" s="68"/>
      <c r="E12" s="69">
        <f t="shared" ref="E12" si="1">SUM(E8:E11)</f>
        <v>0</v>
      </c>
      <c r="F12" s="68"/>
      <c r="G12" s="69">
        <f t="shared" ref="G12" si="2">SUM(G8:G11)</f>
        <v>0</v>
      </c>
      <c r="H12" s="18"/>
      <c r="I12" s="18"/>
      <c r="J12" s="18"/>
      <c r="K12" s="18"/>
      <c r="L12" s="18"/>
    </row>
    <row r="13" spans="1:12" s="12" customFormat="1" ht="16.5" thickBot="1">
      <c r="A13" s="21"/>
      <c r="B13" s="13"/>
      <c r="C13" s="3"/>
      <c r="D13" s="3"/>
      <c r="E13" s="3"/>
      <c r="F13" s="3"/>
      <c r="G13" s="14"/>
      <c r="H13" s="2"/>
    </row>
    <row r="14" spans="1:12" ht="32.25" thickBot="1">
      <c r="A14" s="27" t="s">
        <v>86</v>
      </c>
      <c r="B14" s="31" t="s">
        <v>1</v>
      </c>
      <c r="C14" s="34" t="s">
        <v>2</v>
      </c>
      <c r="D14" s="34" t="s">
        <v>80</v>
      </c>
      <c r="E14" s="38" t="s">
        <v>81</v>
      </c>
      <c r="F14" s="34" t="s">
        <v>82</v>
      </c>
      <c r="G14" s="38" t="s">
        <v>83</v>
      </c>
      <c r="H14" s="1"/>
    </row>
    <row r="15" spans="1:12" s="12" customFormat="1">
      <c r="A15" s="28" t="s">
        <v>27</v>
      </c>
      <c r="B15" s="37"/>
      <c r="C15" s="37"/>
      <c r="D15" s="50"/>
      <c r="E15" s="47">
        <f>B15-C15</f>
        <v>0</v>
      </c>
      <c r="F15" s="41"/>
      <c r="G15" s="39"/>
      <c r="H15" s="18"/>
      <c r="I15" s="18"/>
      <c r="J15" s="18"/>
      <c r="K15" s="18"/>
      <c r="L15" s="18"/>
    </row>
    <row r="16" spans="1:12" s="12" customFormat="1" ht="13.5" thickBot="1">
      <c r="A16" s="51" t="s">
        <v>29</v>
      </c>
      <c r="B16" s="52"/>
      <c r="C16" s="52"/>
      <c r="D16" s="51"/>
      <c r="E16" s="49">
        <f>B16-C16</f>
        <v>0</v>
      </c>
      <c r="F16" s="45"/>
      <c r="G16" s="53"/>
      <c r="H16" s="18"/>
      <c r="I16" s="18"/>
      <c r="J16" s="18"/>
      <c r="K16" s="18"/>
      <c r="L16" s="18"/>
    </row>
    <row r="17" spans="1:12" s="12" customFormat="1" ht="13.5" thickBot="1">
      <c r="A17" s="67" t="s">
        <v>91</v>
      </c>
      <c r="B17" s="68">
        <f>SUM(B15:B16)</f>
        <v>0</v>
      </c>
      <c r="C17" s="68">
        <f>SUM(C15:C16)</f>
        <v>0</v>
      </c>
      <c r="D17" s="68"/>
      <c r="E17" s="69">
        <f>SUM(E15:E16)</f>
        <v>0</v>
      </c>
      <c r="F17" s="68"/>
      <c r="G17" s="69">
        <f>SUM(G15:G16)</f>
        <v>0</v>
      </c>
      <c r="H17" s="18"/>
      <c r="I17" s="18"/>
      <c r="J17" s="18"/>
      <c r="K17" s="18"/>
      <c r="L17" s="18"/>
    </row>
    <row r="18" spans="1:12" s="12" customFormat="1" ht="13.5" thickBot="1">
      <c r="A18" s="19"/>
      <c r="B18" s="4"/>
      <c r="C18" s="4"/>
      <c r="D18" s="17"/>
      <c r="E18" s="17"/>
      <c r="F18" s="17"/>
      <c r="G18" s="20"/>
      <c r="H18" s="18"/>
      <c r="I18" s="18"/>
      <c r="J18" s="18"/>
      <c r="K18" s="18"/>
      <c r="L18" s="18"/>
    </row>
    <row r="19" spans="1:12" ht="32.25" thickBot="1">
      <c r="A19" s="54" t="s">
        <v>87</v>
      </c>
      <c r="B19" s="31"/>
      <c r="C19" s="34"/>
      <c r="D19" s="34" t="s">
        <v>80</v>
      </c>
      <c r="E19" s="38" t="s">
        <v>81</v>
      </c>
      <c r="F19" s="34" t="s">
        <v>82</v>
      </c>
      <c r="G19" s="38" t="s">
        <v>83</v>
      </c>
      <c r="H19" s="22"/>
    </row>
    <row r="20" spans="1:12" s="12" customFormat="1">
      <c r="A20" s="55" t="s">
        <v>88</v>
      </c>
      <c r="B20" s="57"/>
      <c r="C20" s="35"/>
      <c r="D20" s="35">
        <f>B20-C20</f>
        <v>0</v>
      </c>
      <c r="E20" s="48">
        <f>B20-C20</f>
        <v>0</v>
      </c>
      <c r="F20" s="35"/>
      <c r="G20" s="62"/>
      <c r="H20" s="18"/>
      <c r="I20" s="18"/>
      <c r="J20" s="18"/>
      <c r="K20" s="18"/>
      <c r="L20" s="18"/>
    </row>
    <row r="21" spans="1:12" s="12" customFormat="1">
      <c r="A21" s="56" t="s">
        <v>5</v>
      </c>
      <c r="B21" s="57"/>
      <c r="C21" s="35"/>
      <c r="D21" s="35">
        <f t="shared" ref="D21:D40" si="3">B21-C21</f>
        <v>0</v>
      </c>
      <c r="E21" s="60">
        <f>B21-C21</f>
        <v>0</v>
      </c>
      <c r="F21" s="35"/>
      <c r="G21" s="62"/>
      <c r="H21" s="18"/>
      <c r="I21" s="18"/>
      <c r="J21" s="18"/>
      <c r="K21" s="18"/>
      <c r="L21" s="18"/>
    </row>
    <row r="22" spans="1:12" s="12" customFormat="1" ht="13.5" customHeight="1">
      <c r="A22" s="29" t="s">
        <v>6</v>
      </c>
      <c r="B22" s="58"/>
      <c r="C22" s="35"/>
      <c r="D22" s="35">
        <f t="shared" si="3"/>
        <v>0</v>
      </c>
      <c r="E22" s="60">
        <f t="shared" ref="E22:E40" si="4">B22-C22</f>
        <v>0</v>
      </c>
      <c r="F22" s="35"/>
      <c r="G22" s="40"/>
      <c r="H22" s="18"/>
      <c r="I22" s="18"/>
      <c r="J22" s="18"/>
      <c r="K22" s="18"/>
      <c r="L22" s="18"/>
    </row>
    <row r="23" spans="1:12" s="12" customFormat="1">
      <c r="A23" s="29" t="s">
        <v>7</v>
      </c>
      <c r="B23" s="58"/>
      <c r="C23" s="35"/>
      <c r="D23" s="35">
        <f t="shared" si="3"/>
        <v>0</v>
      </c>
      <c r="E23" s="60">
        <f t="shared" si="4"/>
        <v>0</v>
      </c>
      <c r="F23" s="35"/>
      <c r="G23" s="40"/>
      <c r="H23" s="18"/>
      <c r="I23" s="18"/>
      <c r="J23" s="18"/>
      <c r="K23" s="18"/>
      <c r="L23" s="18"/>
    </row>
    <row r="24" spans="1:12" s="12" customFormat="1">
      <c r="A24" s="29" t="s">
        <v>8</v>
      </c>
      <c r="B24" s="58"/>
      <c r="C24" s="35"/>
      <c r="D24" s="35">
        <f>B24-C24</f>
        <v>0</v>
      </c>
      <c r="E24" s="60">
        <f t="shared" si="4"/>
        <v>0</v>
      </c>
      <c r="F24" s="35"/>
      <c r="G24" s="40"/>
      <c r="H24" s="18"/>
      <c r="I24" s="18"/>
      <c r="J24" s="18"/>
      <c r="K24" s="18"/>
      <c r="L24" s="18"/>
    </row>
    <row r="25" spans="1:12" s="12" customFormat="1">
      <c r="A25" s="29" t="s">
        <v>9</v>
      </c>
      <c r="B25" s="58"/>
      <c r="C25" s="35"/>
      <c r="D25" s="35">
        <f t="shared" si="3"/>
        <v>0</v>
      </c>
      <c r="E25" s="60">
        <f t="shared" si="4"/>
        <v>0</v>
      </c>
      <c r="F25" s="35"/>
      <c r="G25" s="40"/>
      <c r="H25" s="18"/>
      <c r="I25" s="18"/>
      <c r="J25" s="18"/>
      <c r="K25" s="18"/>
      <c r="L25" s="18"/>
    </row>
    <row r="26" spans="1:12" s="12" customFormat="1">
      <c r="A26" s="29" t="s">
        <v>10</v>
      </c>
      <c r="B26" s="58"/>
      <c r="C26" s="35"/>
      <c r="D26" s="35">
        <f t="shared" si="3"/>
        <v>0</v>
      </c>
      <c r="E26" s="60">
        <f t="shared" si="4"/>
        <v>0</v>
      </c>
      <c r="F26" s="35"/>
      <c r="G26" s="40"/>
      <c r="H26" s="18"/>
      <c r="I26" s="18"/>
      <c r="J26" s="18"/>
      <c r="K26" s="18"/>
      <c r="L26" s="18"/>
    </row>
    <row r="27" spans="1:12" s="12" customFormat="1">
      <c r="A27" s="29" t="s">
        <v>13</v>
      </c>
      <c r="B27" s="58"/>
      <c r="C27" s="35"/>
      <c r="D27" s="35">
        <f t="shared" si="3"/>
        <v>0</v>
      </c>
      <c r="E27" s="60">
        <f t="shared" si="4"/>
        <v>0</v>
      </c>
      <c r="F27" s="35"/>
      <c r="G27" s="40"/>
      <c r="H27" s="18"/>
      <c r="I27" s="18"/>
      <c r="J27" s="18"/>
      <c r="K27" s="18"/>
      <c r="L27" s="18"/>
    </row>
    <row r="28" spans="1:12" s="12" customFormat="1">
      <c r="A28" s="29" t="s">
        <v>14</v>
      </c>
      <c r="B28" s="58"/>
      <c r="C28" s="35"/>
      <c r="D28" s="35">
        <f t="shared" si="3"/>
        <v>0</v>
      </c>
      <c r="E28" s="60">
        <f t="shared" si="4"/>
        <v>0</v>
      </c>
      <c r="F28" s="35"/>
      <c r="G28" s="40"/>
      <c r="H28" s="18"/>
      <c r="I28" s="18"/>
      <c r="J28" s="18"/>
      <c r="K28" s="18"/>
      <c r="L28" s="18"/>
    </row>
    <row r="29" spans="1:12" s="12" customFormat="1">
      <c r="A29" s="29" t="s">
        <v>16</v>
      </c>
      <c r="B29" s="58"/>
      <c r="C29" s="35"/>
      <c r="D29" s="35">
        <f t="shared" si="3"/>
        <v>0</v>
      </c>
      <c r="E29" s="60">
        <f t="shared" si="4"/>
        <v>0</v>
      </c>
      <c r="F29" s="35"/>
      <c r="G29" s="40"/>
      <c r="H29" s="18"/>
      <c r="I29" s="18"/>
      <c r="J29" s="18"/>
      <c r="K29" s="18"/>
      <c r="L29" s="18"/>
    </row>
    <row r="30" spans="1:12" s="12" customFormat="1">
      <c r="A30" s="29" t="s">
        <v>17</v>
      </c>
      <c r="B30" s="58"/>
      <c r="C30" s="35"/>
      <c r="D30" s="35">
        <f t="shared" si="3"/>
        <v>0</v>
      </c>
      <c r="E30" s="60">
        <f t="shared" si="4"/>
        <v>0</v>
      </c>
      <c r="F30" s="35"/>
      <c r="G30" s="40"/>
      <c r="H30" s="18"/>
      <c r="I30" s="18"/>
      <c r="J30" s="18"/>
      <c r="K30" s="18"/>
      <c r="L30" s="18"/>
    </row>
    <row r="31" spans="1:12" s="12" customFormat="1">
      <c r="A31" s="56" t="s">
        <v>19</v>
      </c>
      <c r="B31" s="57"/>
      <c r="C31" s="35"/>
      <c r="D31" s="35">
        <f t="shared" si="3"/>
        <v>0</v>
      </c>
      <c r="E31" s="60">
        <f t="shared" si="4"/>
        <v>0</v>
      </c>
      <c r="F31" s="35"/>
      <c r="G31" s="60"/>
      <c r="H31" s="18"/>
      <c r="I31" s="18"/>
      <c r="J31" s="18"/>
      <c r="K31" s="18"/>
      <c r="L31" s="18"/>
    </row>
    <row r="32" spans="1:12" s="12" customFormat="1">
      <c r="A32" s="56" t="s">
        <v>21</v>
      </c>
      <c r="B32" s="57"/>
      <c r="C32" s="35"/>
      <c r="D32" s="35">
        <f t="shared" si="3"/>
        <v>0</v>
      </c>
      <c r="E32" s="60">
        <f t="shared" si="4"/>
        <v>0</v>
      </c>
      <c r="F32" s="35"/>
      <c r="G32" s="60"/>
      <c r="H32" s="18"/>
      <c r="I32" s="18"/>
      <c r="J32" s="18"/>
      <c r="K32" s="18"/>
      <c r="L32" s="18"/>
    </row>
    <row r="33" spans="1:12" s="12" customFormat="1">
      <c r="A33" s="56" t="s">
        <v>22</v>
      </c>
      <c r="B33" s="57"/>
      <c r="C33" s="35"/>
      <c r="D33" s="35">
        <f t="shared" si="3"/>
        <v>0</v>
      </c>
      <c r="E33" s="60">
        <f t="shared" si="4"/>
        <v>0</v>
      </c>
      <c r="F33" s="35"/>
      <c r="G33" s="60"/>
      <c r="H33" s="18"/>
      <c r="I33" s="18"/>
      <c r="J33" s="18"/>
      <c r="K33" s="18"/>
      <c r="L33" s="18"/>
    </row>
    <row r="34" spans="1:12" s="12" customFormat="1">
      <c r="A34" s="56" t="s">
        <v>23</v>
      </c>
      <c r="B34" s="57"/>
      <c r="C34" s="35"/>
      <c r="D34" s="35">
        <f t="shared" si="3"/>
        <v>0</v>
      </c>
      <c r="E34" s="60">
        <f t="shared" si="4"/>
        <v>0</v>
      </c>
      <c r="F34" s="35"/>
      <c r="G34" s="60"/>
      <c r="H34" s="18"/>
      <c r="I34" s="18"/>
      <c r="J34" s="18"/>
      <c r="K34" s="18"/>
      <c r="L34" s="18"/>
    </row>
    <row r="35" spans="1:12" s="12" customFormat="1">
      <c r="A35" s="56" t="s">
        <v>24</v>
      </c>
      <c r="B35" s="57"/>
      <c r="C35" s="35"/>
      <c r="D35" s="35">
        <f t="shared" si="3"/>
        <v>0</v>
      </c>
      <c r="E35" s="60">
        <f t="shared" si="4"/>
        <v>0</v>
      </c>
      <c r="F35" s="35"/>
      <c r="G35" s="62"/>
      <c r="H35" s="18"/>
      <c r="I35" s="18"/>
      <c r="J35" s="18"/>
      <c r="K35" s="18"/>
      <c r="L35" s="18"/>
    </row>
    <row r="36" spans="1:12" s="12" customFormat="1">
      <c r="A36" s="56" t="s">
        <v>26</v>
      </c>
      <c r="B36" s="58"/>
      <c r="C36" s="35"/>
      <c r="D36" s="35">
        <f t="shared" si="3"/>
        <v>0</v>
      </c>
      <c r="E36" s="60">
        <f t="shared" si="4"/>
        <v>0</v>
      </c>
      <c r="F36" s="35"/>
      <c r="G36" s="62"/>
      <c r="H36" s="18"/>
      <c r="I36" s="18"/>
      <c r="J36" s="18"/>
      <c r="K36" s="18"/>
      <c r="L36" s="18"/>
    </row>
    <row r="37" spans="1:12" s="12" customFormat="1" ht="12.75" customHeight="1">
      <c r="A37" s="29" t="s">
        <v>31</v>
      </c>
      <c r="B37" s="58"/>
      <c r="C37" s="35"/>
      <c r="D37" s="35">
        <f t="shared" si="3"/>
        <v>0</v>
      </c>
      <c r="E37" s="60">
        <f t="shared" si="4"/>
        <v>0</v>
      </c>
      <c r="F37" s="35"/>
      <c r="G37" s="40"/>
      <c r="H37" s="5"/>
      <c r="I37" s="18"/>
      <c r="J37" s="18"/>
      <c r="K37" s="18"/>
      <c r="L37" s="18"/>
    </row>
    <row r="38" spans="1:12" s="12" customFormat="1" ht="12.75" customHeight="1">
      <c r="A38" s="29" t="s">
        <v>32</v>
      </c>
      <c r="B38" s="58">
        <v>18.5</v>
      </c>
      <c r="C38" s="35">
        <v>18.5</v>
      </c>
      <c r="D38" s="35">
        <f t="shared" si="3"/>
        <v>0</v>
      </c>
      <c r="E38" s="60">
        <f t="shared" si="4"/>
        <v>0</v>
      </c>
      <c r="F38" s="35"/>
      <c r="G38" s="40"/>
      <c r="H38" s="5"/>
      <c r="I38" s="18"/>
      <c r="J38" s="18"/>
      <c r="K38" s="18"/>
      <c r="L38" s="18"/>
    </row>
    <row r="39" spans="1:12" s="12" customFormat="1" ht="12.75" customHeight="1">
      <c r="A39" s="29" t="s">
        <v>33</v>
      </c>
      <c r="B39" s="58"/>
      <c r="C39" s="35"/>
      <c r="D39" s="35">
        <f t="shared" si="3"/>
        <v>0</v>
      </c>
      <c r="E39" s="60">
        <f t="shared" si="4"/>
        <v>0</v>
      </c>
      <c r="F39" s="35"/>
      <c r="G39" s="40"/>
      <c r="H39" s="5"/>
      <c r="I39" s="18"/>
      <c r="J39" s="18"/>
      <c r="K39" s="18"/>
      <c r="L39" s="18"/>
    </row>
    <row r="40" spans="1:12" s="12" customFormat="1" ht="12.75" customHeight="1" thickBot="1">
      <c r="A40" s="51" t="s">
        <v>90</v>
      </c>
      <c r="B40" s="59"/>
      <c r="C40" s="36"/>
      <c r="D40" s="36">
        <f t="shared" si="3"/>
        <v>0</v>
      </c>
      <c r="E40" s="61">
        <f t="shared" si="4"/>
        <v>0</v>
      </c>
      <c r="F40" s="36"/>
      <c r="G40" s="64"/>
      <c r="H40" s="5"/>
      <c r="I40" s="18"/>
      <c r="J40" s="18"/>
      <c r="K40" s="18"/>
      <c r="L40" s="18"/>
    </row>
    <row r="41" spans="1:12" s="12" customFormat="1" ht="13.5" thickBot="1">
      <c r="A41" s="67" t="s">
        <v>91</v>
      </c>
      <c r="B41" s="68">
        <f>SUM(B20:B40)</f>
        <v>18.5</v>
      </c>
      <c r="C41" s="68">
        <f>SUM(C20:C40)</f>
        <v>18.5</v>
      </c>
      <c r="D41" s="68"/>
      <c r="E41" s="69">
        <f>SUM(E20:E40)</f>
        <v>0</v>
      </c>
      <c r="F41" s="68"/>
      <c r="G41" s="69">
        <f>SUM(G20:G40)</f>
        <v>0</v>
      </c>
      <c r="H41" s="18"/>
      <c r="I41" s="18"/>
      <c r="J41" s="18"/>
      <c r="K41" s="18"/>
      <c r="L41" s="18"/>
    </row>
    <row r="42" spans="1:12" s="12" customFormat="1" ht="12.75" customHeight="1" thickBot="1">
      <c r="B42" s="16"/>
      <c r="C42" s="17"/>
      <c r="D42" s="17"/>
      <c r="E42" s="65"/>
      <c r="F42" s="17"/>
      <c r="G42" s="66"/>
      <c r="H42" s="5"/>
      <c r="I42" s="18"/>
      <c r="J42" s="18"/>
      <c r="K42" s="18"/>
      <c r="L42" s="18"/>
    </row>
    <row r="43" spans="1:12" s="12" customFormat="1" ht="32.25" thickBot="1">
      <c r="A43" s="8" t="s">
        <v>93</v>
      </c>
      <c r="B43" s="31" t="s">
        <v>1</v>
      </c>
      <c r="C43" s="34" t="s">
        <v>2</v>
      </c>
      <c r="D43" s="34" t="s">
        <v>80</v>
      </c>
      <c r="E43" s="38" t="s">
        <v>81</v>
      </c>
      <c r="F43" s="34" t="s">
        <v>82</v>
      </c>
      <c r="G43" s="38" t="s">
        <v>83</v>
      </c>
      <c r="H43" s="2"/>
    </row>
    <row r="44" spans="1:12" s="12" customFormat="1">
      <c r="A44" s="29" t="s">
        <v>37</v>
      </c>
      <c r="B44" s="58"/>
      <c r="C44" s="58"/>
      <c r="D44" s="35">
        <f>B44-C44</f>
        <v>0</v>
      </c>
      <c r="E44" s="60">
        <f>B44-C44</f>
        <v>0</v>
      </c>
      <c r="F44" s="35"/>
      <c r="G44" s="63"/>
      <c r="H44" s="18"/>
      <c r="I44" s="18"/>
      <c r="J44" s="18"/>
      <c r="K44" s="18"/>
      <c r="L44" s="18"/>
    </row>
    <row r="45" spans="1:12" s="12" customFormat="1">
      <c r="A45" s="29" t="s">
        <v>92</v>
      </c>
      <c r="B45" s="58"/>
      <c r="C45" s="58"/>
      <c r="D45" s="35"/>
      <c r="E45" s="60">
        <f>B45-C45</f>
        <v>0</v>
      </c>
      <c r="F45" s="35"/>
      <c r="G45" s="40"/>
      <c r="H45" s="18"/>
      <c r="I45" s="18"/>
      <c r="J45" s="18"/>
      <c r="K45" s="18"/>
      <c r="L45" s="18"/>
    </row>
    <row r="46" spans="1:12" s="12" customFormat="1" ht="17.25" customHeight="1">
      <c r="A46" s="29" t="s">
        <v>38</v>
      </c>
      <c r="B46" s="58"/>
      <c r="C46" s="58"/>
      <c r="D46" s="35">
        <f>B46-C46</f>
        <v>0</v>
      </c>
      <c r="E46" s="60">
        <f t="shared" ref="E46:E49" si="5">B46-C46</f>
        <v>0</v>
      </c>
      <c r="F46" s="35"/>
      <c r="G46" s="63"/>
      <c r="H46" s="18"/>
      <c r="I46" s="18"/>
      <c r="J46" s="18"/>
      <c r="K46" s="18"/>
      <c r="L46" s="18"/>
    </row>
    <row r="47" spans="1:12" s="12" customFormat="1">
      <c r="A47" s="29" t="s">
        <v>39</v>
      </c>
      <c r="B47" s="73"/>
      <c r="C47" s="73"/>
      <c r="D47" s="74">
        <f>B47-C47</f>
        <v>0</v>
      </c>
      <c r="E47" s="60">
        <f>D47/$J$4</f>
        <v>0</v>
      </c>
      <c r="F47" s="74"/>
      <c r="G47" s="104">
        <f>F47/$J$4</f>
        <v>0</v>
      </c>
      <c r="K47" s="18"/>
      <c r="L47" s="18"/>
    </row>
    <row r="48" spans="1:12" s="12" customFormat="1">
      <c r="A48" s="29" t="s">
        <v>40</v>
      </c>
      <c r="B48" s="58"/>
      <c r="C48" s="35"/>
      <c r="D48" s="35">
        <f>B48-C48</f>
        <v>0</v>
      </c>
      <c r="E48" s="60">
        <f t="shared" si="5"/>
        <v>0</v>
      </c>
      <c r="F48" s="35"/>
      <c r="G48" s="60"/>
      <c r="K48" s="18"/>
      <c r="L48" s="18"/>
    </row>
    <row r="49" spans="1:12" s="12" customFormat="1" ht="17.25" customHeight="1" thickBot="1">
      <c r="A49" s="29" t="s">
        <v>136</v>
      </c>
      <c r="B49" s="58">
        <f>326.01+469.64</f>
        <v>795.65</v>
      </c>
      <c r="C49" s="58">
        <f>85+471.3</f>
        <v>556.29999999999995</v>
      </c>
      <c r="D49" s="35">
        <f>B49-C49</f>
        <v>239.35000000000002</v>
      </c>
      <c r="E49" s="60">
        <f t="shared" si="5"/>
        <v>239.35000000000002</v>
      </c>
      <c r="F49" s="35"/>
      <c r="G49" s="63"/>
      <c r="H49" s="18"/>
      <c r="I49" s="18"/>
      <c r="J49" s="18"/>
      <c r="K49" s="18"/>
      <c r="L49" s="18"/>
    </row>
    <row r="50" spans="1:12" s="12" customFormat="1" ht="13.5" thickBot="1">
      <c r="A50" s="67" t="s">
        <v>91</v>
      </c>
      <c r="B50" s="68">
        <f>SUM(B44:B46,B48)+(B47/$J$4)+(B49/$J$5)</f>
        <v>725.29626253418417</v>
      </c>
      <c r="C50" s="68">
        <f>SUM(C44:C46,C48)+(C47/$J$4)+(C49/$J$5)</f>
        <v>507.1103008204193</v>
      </c>
      <c r="D50" s="68"/>
      <c r="E50" s="69">
        <f>SUM(E44:E49)</f>
        <v>239.35000000000002</v>
      </c>
      <c r="F50" s="68"/>
      <c r="G50" s="69">
        <f>SUM(G44:G49)</f>
        <v>0</v>
      </c>
      <c r="H50" s="18"/>
      <c r="I50" s="18"/>
      <c r="J50" s="18"/>
      <c r="K50" s="18"/>
      <c r="L50" s="18"/>
    </row>
    <row r="51" spans="1:12" s="12" customFormat="1" ht="13.5" thickBot="1">
      <c r="B51" s="7"/>
      <c r="C51" s="24"/>
      <c r="D51" s="7"/>
      <c r="E51" s="7"/>
      <c r="F51" s="7"/>
      <c r="G51" s="23"/>
      <c r="K51" s="18"/>
      <c r="L51" s="18"/>
    </row>
    <row r="52" spans="1:12" s="12" customFormat="1" ht="32.25" thickBot="1">
      <c r="A52" s="8" t="s">
        <v>89</v>
      </c>
      <c r="B52" s="31" t="s">
        <v>1</v>
      </c>
      <c r="C52" s="34" t="s">
        <v>2</v>
      </c>
      <c r="D52" s="34" t="s">
        <v>80</v>
      </c>
      <c r="E52" s="38" t="s">
        <v>81</v>
      </c>
      <c r="F52" s="34" t="s">
        <v>82</v>
      </c>
      <c r="G52" s="38" t="s">
        <v>83</v>
      </c>
      <c r="H52" s="2"/>
    </row>
    <row r="53" spans="1:12" s="12" customFormat="1">
      <c r="A53" s="29" t="s">
        <v>11</v>
      </c>
      <c r="B53" s="58"/>
      <c r="C53" s="35"/>
      <c r="D53" s="35">
        <f t="shared" ref="D53:D61" si="6">B53-C53</f>
        <v>0</v>
      </c>
      <c r="E53" s="48">
        <f>D53</f>
        <v>0</v>
      </c>
      <c r="F53" s="35"/>
      <c r="G53" s="40"/>
      <c r="H53" s="18"/>
      <c r="I53" s="18"/>
      <c r="J53" s="18"/>
      <c r="K53" s="18"/>
      <c r="L53" s="18"/>
    </row>
    <row r="54" spans="1:12" s="12" customFormat="1">
      <c r="A54" s="29" t="s">
        <v>123</v>
      </c>
      <c r="B54" s="73"/>
      <c r="C54" s="74"/>
      <c r="D54" s="74">
        <f t="shared" si="6"/>
        <v>0</v>
      </c>
      <c r="E54" s="48">
        <f>D54/$J$4</f>
        <v>0</v>
      </c>
      <c r="F54" s="74"/>
      <c r="G54" s="104">
        <f>F54/$J$4</f>
        <v>0</v>
      </c>
      <c r="H54" s="18"/>
      <c r="I54" s="18"/>
      <c r="J54" s="18"/>
      <c r="K54" s="18"/>
      <c r="L54" s="18"/>
    </row>
    <row r="55" spans="1:12" s="12" customFormat="1">
      <c r="A55" s="29" t="s">
        <v>15</v>
      </c>
      <c r="B55" s="58"/>
      <c r="C55" s="35"/>
      <c r="D55" s="35">
        <f t="shared" si="6"/>
        <v>0</v>
      </c>
      <c r="E55" s="48">
        <f>D55</f>
        <v>0</v>
      </c>
      <c r="F55" s="35"/>
      <c r="G55" s="40"/>
      <c r="H55" s="18"/>
      <c r="I55" s="18"/>
      <c r="J55" s="18"/>
      <c r="K55" s="18"/>
      <c r="L55" s="18"/>
    </row>
    <row r="56" spans="1:12" s="12" customFormat="1">
      <c r="A56" s="29" t="s">
        <v>18</v>
      </c>
      <c r="B56" s="79">
        <f>1212.68+6385</f>
        <v>7597.68</v>
      </c>
      <c r="C56" s="80">
        <v>0</v>
      </c>
      <c r="D56" s="80">
        <f t="shared" si="6"/>
        <v>7597.68</v>
      </c>
      <c r="E56" s="48">
        <f>D56/$J$3</f>
        <v>460.11966764371022</v>
      </c>
      <c r="F56" s="80"/>
      <c r="G56" s="40"/>
      <c r="H56" s="18"/>
      <c r="I56" s="18"/>
      <c r="J56" s="18"/>
      <c r="K56" s="18"/>
      <c r="L56" s="18"/>
    </row>
    <row r="57" spans="1:12" s="12" customFormat="1">
      <c r="A57" s="56" t="s">
        <v>20</v>
      </c>
      <c r="B57" s="57">
        <f>488.55+816.17+240.62</f>
        <v>1545.3400000000001</v>
      </c>
      <c r="C57" s="35">
        <f>492.75+816.17+334+12.73</f>
        <v>1655.65</v>
      </c>
      <c r="D57" s="35">
        <f t="shared" si="6"/>
        <v>-110.30999999999995</v>
      </c>
      <c r="E57" s="48">
        <f>D57</f>
        <v>-110.30999999999995</v>
      </c>
      <c r="F57" s="35"/>
      <c r="G57" s="48"/>
      <c r="H57" s="18"/>
      <c r="I57" s="18"/>
      <c r="J57" s="18"/>
      <c r="K57" s="18"/>
      <c r="L57" s="18"/>
    </row>
    <row r="58" spans="1:12" s="12" customFormat="1">
      <c r="A58" s="56" t="s">
        <v>25</v>
      </c>
      <c r="B58" s="115">
        <f>736461.8+689049+51161.4</f>
        <v>1476672.2</v>
      </c>
      <c r="C58" s="116"/>
      <c r="D58" s="116">
        <f>B58-C58</f>
        <v>1476672.2</v>
      </c>
      <c r="E58" s="48">
        <f>D58/$J$2</f>
        <v>513.63225923143273</v>
      </c>
      <c r="F58" s="72"/>
      <c r="G58" s="105"/>
      <c r="H58" s="18"/>
      <c r="I58" s="18"/>
      <c r="J58" s="18"/>
      <c r="K58" s="18"/>
      <c r="L58" s="18"/>
    </row>
    <row r="59" spans="1:12" s="12" customFormat="1" ht="12.75" customHeight="1">
      <c r="A59" s="29" t="s">
        <v>28</v>
      </c>
      <c r="B59" s="58">
        <f>180.38+148.75</f>
        <v>329.13</v>
      </c>
      <c r="C59" s="35">
        <v>0</v>
      </c>
      <c r="D59" s="81">
        <f t="shared" si="6"/>
        <v>329.13</v>
      </c>
      <c r="E59" s="92">
        <f>D59</f>
        <v>329.13</v>
      </c>
      <c r="F59" s="81"/>
      <c r="G59" s="40"/>
      <c r="H59" s="5"/>
      <c r="I59" s="18"/>
      <c r="J59" s="18"/>
      <c r="K59" s="18"/>
      <c r="L59" s="18"/>
    </row>
    <row r="60" spans="1:12" s="12" customFormat="1" ht="12.75" customHeight="1">
      <c r="A60" s="29" t="s">
        <v>127</v>
      </c>
      <c r="B60" s="58"/>
      <c r="C60" s="35"/>
      <c r="D60" s="35">
        <f t="shared" si="6"/>
        <v>0</v>
      </c>
      <c r="E60" s="48">
        <f>D60</f>
        <v>0</v>
      </c>
      <c r="F60" s="81"/>
      <c r="G60" s="40"/>
      <c r="H60" s="5"/>
      <c r="I60" s="18"/>
      <c r="J60" s="18"/>
      <c r="K60" s="18"/>
      <c r="L60" s="18"/>
    </row>
    <row r="61" spans="1:12" s="12" customFormat="1" ht="12.75" customHeight="1" thickBot="1">
      <c r="A61" s="29" t="s">
        <v>30</v>
      </c>
      <c r="B61" s="58">
        <v>299.5</v>
      </c>
      <c r="C61" s="35">
        <v>0</v>
      </c>
      <c r="D61" s="81">
        <f t="shared" si="6"/>
        <v>299.5</v>
      </c>
      <c r="E61" s="92">
        <f>D61</f>
        <v>299.5</v>
      </c>
      <c r="F61" s="81"/>
      <c r="G61" s="40"/>
      <c r="H61" s="5"/>
      <c r="I61" s="18"/>
      <c r="J61" s="18"/>
      <c r="K61" s="18"/>
      <c r="L61" s="18"/>
    </row>
    <row r="62" spans="1:12" s="12" customFormat="1" ht="13.5" thickBot="1">
      <c r="A62" s="67" t="s">
        <v>91</v>
      </c>
      <c r="B62" s="68">
        <f>SUM(B53,B55,B57,B59,B61)+(B56/$J$3)+(B58/$J$5)+(B54/$J$4)</f>
        <v>1348734.5454561578</v>
      </c>
      <c r="C62" s="68"/>
      <c r="D62" s="68"/>
      <c r="E62" s="69">
        <f>SUM(E53:E61)</f>
        <v>1492.0719268751432</v>
      </c>
      <c r="F62" s="68"/>
      <c r="G62" s="69">
        <f>SUM(G53:G61)</f>
        <v>0</v>
      </c>
      <c r="H62" s="18"/>
      <c r="I62" s="18"/>
      <c r="J62" s="18"/>
      <c r="K62" s="18"/>
      <c r="L62" s="18"/>
    </row>
    <row r="63" spans="1:12" s="12" customFormat="1" ht="13.5" thickBot="1">
      <c r="A63" s="77"/>
      <c r="B63" s="78"/>
      <c r="C63" s="78"/>
      <c r="D63" s="78"/>
      <c r="E63" s="78"/>
      <c r="F63" s="78"/>
      <c r="G63" s="78"/>
      <c r="H63" s="18"/>
      <c r="I63" s="18"/>
      <c r="J63" s="18"/>
      <c r="K63" s="18"/>
      <c r="L63" s="18"/>
    </row>
    <row r="64" spans="1:12" ht="34.5" customHeight="1" thickBot="1">
      <c r="A64" s="8" t="s">
        <v>42</v>
      </c>
      <c r="B64" s="31" t="s">
        <v>1</v>
      </c>
      <c r="C64" s="34" t="s">
        <v>2</v>
      </c>
      <c r="D64" s="34" t="s">
        <v>80</v>
      </c>
      <c r="E64" s="38" t="s">
        <v>81</v>
      </c>
      <c r="F64" s="34" t="s">
        <v>82</v>
      </c>
      <c r="G64" s="38" t="s">
        <v>83</v>
      </c>
      <c r="H64" s="18"/>
      <c r="I64" s="18"/>
      <c r="J64" s="18"/>
      <c r="K64" s="18"/>
      <c r="L64" s="18"/>
    </row>
    <row r="65" spans="1:12" ht="19.5" customHeight="1" thickBot="1">
      <c r="A65" s="29" t="s">
        <v>121</v>
      </c>
      <c r="B65" s="70"/>
      <c r="C65" s="71"/>
      <c r="D65" s="83">
        <f>B65-C65</f>
        <v>0</v>
      </c>
      <c r="E65" s="48">
        <f>D65/$J$5</f>
        <v>0</v>
      </c>
      <c r="F65" s="70"/>
      <c r="G65" s="48"/>
      <c r="H65" s="110"/>
    </row>
    <row r="66" spans="1:12" s="12" customFormat="1" ht="13.5" thickBot="1">
      <c r="A66" s="67" t="s">
        <v>91</v>
      </c>
      <c r="B66" s="68">
        <f>B65/J5</f>
        <v>0</v>
      </c>
      <c r="C66" s="68">
        <f>C65</f>
        <v>0</v>
      </c>
      <c r="D66" s="68"/>
      <c r="E66" s="69">
        <f>E65</f>
        <v>0</v>
      </c>
      <c r="F66" s="68"/>
      <c r="G66" s="69">
        <f>G65</f>
        <v>0</v>
      </c>
      <c r="H66" s="18"/>
      <c r="I66" s="18"/>
      <c r="J66" s="18"/>
      <c r="K66" s="18"/>
      <c r="L66" s="18"/>
    </row>
    <row r="67" spans="1:12" ht="19.5" customHeight="1" thickBot="1">
      <c r="A67" s="12"/>
      <c r="B67" s="7"/>
      <c r="C67" s="24"/>
      <c r="D67" s="7"/>
      <c r="E67" s="7"/>
      <c r="F67" s="7"/>
      <c r="G67" s="6"/>
    </row>
    <row r="68" spans="1:12" ht="19.5" customHeight="1" thickBot="1">
      <c r="A68" s="8" t="s">
        <v>100</v>
      </c>
      <c r="B68" s="8" t="s">
        <v>43</v>
      </c>
      <c r="C68" s="6"/>
      <c r="D68" s="6"/>
      <c r="E68" s="6"/>
      <c r="F68" s="6"/>
      <c r="G68" s="6"/>
      <c r="H68" s="18"/>
      <c r="I68" s="18"/>
      <c r="J68" s="18"/>
      <c r="K68" s="18"/>
      <c r="L68" s="18"/>
    </row>
    <row r="69" spans="1:12" ht="30" customHeight="1">
      <c r="A69" s="56" t="s">
        <v>44</v>
      </c>
      <c r="B69" s="57"/>
      <c r="C69" s="6"/>
      <c r="D69" s="6"/>
      <c r="E69" s="6"/>
      <c r="F69" s="6"/>
      <c r="G69" s="6"/>
    </row>
    <row r="70" spans="1:12" ht="15.75">
      <c r="A70" s="56" t="s">
        <v>101</v>
      </c>
      <c r="B70" s="57"/>
      <c r="C70" s="6"/>
      <c r="D70" s="6"/>
      <c r="E70" s="6"/>
      <c r="F70" s="6"/>
      <c r="G70" s="6"/>
    </row>
    <row r="71" spans="1:12" ht="15.75">
      <c r="A71" s="56" t="s">
        <v>103</v>
      </c>
      <c r="B71" s="57"/>
      <c r="C71" s="6"/>
      <c r="D71" s="6"/>
      <c r="E71" s="6"/>
      <c r="F71" s="6"/>
      <c r="G71" s="6"/>
    </row>
    <row r="72" spans="1:12" ht="15.75">
      <c r="A72" s="56" t="s">
        <v>102</v>
      </c>
      <c r="B72" s="57"/>
      <c r="C72" s="6"/>
      <c r="D72" s="6"/>
      <c r="E72" s="6"/>
      <c r="F72" s="6"/>
      <c r="G72" s="6"/>
    </row>
    <row r="73" spans="1:12" ht="15.75">
      <c r="A73" s="29" t="s">
        <v>111</v>
      </c>
      <c r="B73" s="57"/>
      <c r="C73" s="6"/>
      <c r="D73" s="6"/>
      <c r="E73" s="6"/>
      <c r="F73" s="6"/>
      <c r="G73" s="6"/>
    </row>
    <row r="74" spans="1:12" ht="15.75">
      <c r="A74" s="29" t="s">
        <v>112</v>
      </c>
      <c r="B74" s="57"/>
      <c r="C74" s="6"/>
      <c r="D74" s="6"/>
      <c r="E74" s="6"/>
      <c r="F74" s="6"/>
      <c r="G74" s="6"/>
    </row>
    <row r="75" spans="1:12" ht="15.75">
      <c r="A75" s="29" t="s">
        <v>113</v>
      </c>
      <c r="B75" s="57"/>
      <c r="C75" s="6"/>
      <c r="D75" s="6"/>
      <c r="E75" s="6"/>
      <c r="F75" s="6"/>
      <c r="G75" s="6"/>
    </row>
    <row r="76" spans="1:12" ht="15.75">
      <c r="A76" s="29" t="s">
        <v>114</v>
      </c>
      <c r="B76" s="57"/>
      <c r="C76" s="6"/>
      <c r="D76" s="6"/>
      <c r="E76" s="6"/>
      <c r="F76" s="6"/>
      <c r="G76" s="6"/>
    </row>
    <row r="77" spans="1:12" ht="15.75">
      <c r="A77" s="94" t="s">
        <v>45</v>
      </c>
      <c r="B77" s="57"/>
      <c r="C77" s="6"/>
      <c r="D77" s="6"/>
      <c r="E77" s="6"/>
      <c r="F77" s="6"/>
      <c r="G77" s="6"/>
    </row>
    <row r="78" spans="1:12" ht="15.75">
      <c r="A78" s="94" t="s">
        <v>46</v>
      </c>
      <c r="B78" s="57"/>
      <c r="C78" s="6"/>
      <c r="D78" s="6"/>
      <c r="E78" s="6"/>
      <c r="F78" s="6"/>
      <c r="G78" s="6"/>
    </row>
    <row r="79" spans="1:12" ht="15.75">
      <c r="A79" s="56" t="s">
        <v>47</v>
      </c>
      <c r="B79" s="57"/>
      <c r="C79" s="6"/>
      <c r="D79" s="6"/>
      <c r="E79" s="6"/>
      <c r="F79" s="6"/>
      <c r="G79" s="6"/>
      <c r="J79" s="18"/>
      <c r="K79" s="18"/>
      <c r="L79" s="18"/>
    </row>
    <row r="80" spans="1:12" ht="15.75">
      <c r="A80" s="56" t="s">
        <v>48</v>
      </c>
      <c r="B80" s="57"/>
      <c r="C80" s="6"/>
      <c r="D80" s="6"/>
      <c r="E80" s="6"/>
      <c r="F80" s="6"/>
      <c r="G80" s="6"/>
    </row>
    <row r="81" spans="1:12" ht="15.75">
      <c r="A81" s="56" t="s">
        <v>49</v>
      </c>
      <c r="B81" s="57"/>
      <c r="C81" s="6"/>
      <c r="D81" s="6"/>
      <c r="E81" s="6"/>
      <c r="F81" s="6"/>
      <c r="G81" s="6"/>
    </row>
    <row r="82" spans="1:12" s="12" customFormat="1" ht="15.75">
      <c r="A82" s="56" t="s">
        <v>107</v>
      </c>
      <c r="B82" s="57"/>
      <c r="C82" s="6"/>
      <c r="D82" s="6"/>
      <c r="E82" s="6"/>
      <c r="F82" s="6"/>
      <c r="G82" s="6"/>
      <c r="H82" s="15"/>
      <c r="I82" s="15"/>
      <c r="J82" s="18"/>
      <c r="K82" s="18"/>
      <c r="L82" s="18"/>
    </row>
    <row r="83" spans="1:12" s="12" customFormat="1" ht="15.75">
      <c r="A83" s="94" t="s">
        <v>50</v>
      </c>
      <c r="B83" s="57"/>
      <c r="C83" s="6"/>
      <c r="D83" s="6"/>
      <c r="E83" s="6"/>
      <c r="F83" s="6"/>
      <c r="G83" s="6"/>
      <c r="H83" s="15"/>
      <c r="I83" s="15"/>
      <c r="J83" s="18"/>
      <c r="K83" s="18"/>
      <c r="L83" s="18"/>
    </row>
    <row r="84" spans="1:12" ht="15.75">
      <c r="A84" s="29" t="s">
        <v>51</v>
      </c>
      <c r="B84" s="57"/>
      <c r="C84" s="6"/>
      <c r="D84" s="6"/>
      <c r="E84" s="6"/>
      <c r="F84" s="6"/>
      <c r="G84" s="6"/>
    </row>
    <row r="85" spans="1:12" ht="15.75">
      <c r="A85" s="94" t="s">
        <v>52</v>
      </c>
      <c r="B85" s="57"/>
      <c r="C85" s="6"/>
      <c r="D85" s="6"/>
      <c r="E85" s="6"/>
      <c r="F85" s="6"/>
      <c r="G85" s="6"/>
    </row>
    <row r="86" spans="1:12" ht="15.75">
      <c r="A86" s="94" t="s">
        <v>53</v>
      </c>
      <c r="B86" s="57"/>
      <c r="C86" s="6"/>
      <c r="D86" s="6"/>
      <c r="E86" s="6"/>
      <c r="F86" s="6"/>
      <c r="G86" s="6"/>
    </row>
    <row r="87" spans="1:12" s="12" customFormat="1" ht="15.75">
      <c r="A87" s="94" t="s">
        <v>54</v>
      </c>
      <c r="B87" s="57"/>
      <c r="C87" s="6"/>
      <c r="D87" s="6"/>
      <c r="E87" s="6"/>
      <c r="F87" s="6"/>
      <c r="G87" s="6"/>
      <c r="H87" s="18"/>
      <c r="I87" s="18"/>
      <c r="J87" s="15"/>
      <c r="K87" s="15"/>
      <c r="L87" s="15"/>
    </row>
    <row r="88" spans="1:12" ht="15.75">
      <c r="A88" s="94" t="s">
        <v>55</v>
      </c>
      <c r="B88" s="57"/>
      <c r="C88" s="6"/>
      <c r="D88" s="6"/>
      <c r="E88" s="6"/>
      <c r="F88" s="6"/>
      <c r="G88" s="6"/>
      <c r="H88" s="18"/>
      <c r="I88" s="18"/>
    </row>
    <row r="89" spans="1:12" ht="15.75">
      <c r="A89" s="94" t="s">
        <v>56</v>
      </c>
      <c r="B89" s="57"/>
      <c r="C89" s="6"/>
      <c r="D89" s="6"/>
      <c r="E89" s="6"/>
      <c r="F89" s="6"/>
      <c r="G89" s="6"/>
    </row>
    <row r="90" spans="1:12" ht="15.75">
      <c r="A90" s="94" t="s">
        <v>57</v>
      </c>
      <c r="B90" s="57"/>
      <c r="C90" s="6"/>
      <c r="D90" s="6"/>
      <c r="E90" s="6"/>
      <c r="F90" s="6"/>
      <c r="G90" s="6"/>
    </row>
    <row r="91" spans="1:12" ht="15.75">
      <c r="A91" s="94" t="s">
        <v>58</v>
      </c>
      <c r="B91" s="57"/>
      <c r="C91" s="6"/>
      <c r="D91" s="6"/>
      <c r="E91" s="6"/>
      <c r="F91" s="6"/>
      <c r="G91" s="6"/>
    </row>
    <row r="92" spans="1:12">
      <c r="A92" s="94" t="s">
        <v>59</v>
      </c>
      <c r="B92" s="57"/>
      <c r="C92" s="25"/>
      <c r="D92" s="26"/>
      <c r="E92" s="26"/>
      <c r="F92" s="26"/>
    </row>
    <row r="93" spans="1:12">
      <c r="A93" s="94" t="s">
        <v>60</v>
      </c>
      <c r="B93" s="57"/>
      <c r="C93" s="25"/>
      <c r="D93" s="26"/>
      <c r="E93" s="26"/>
      <c r="F93" s="26"/>
    </row>
    <row r="94" spans="1:12">
      <c r="A94" s="94" t="s">
        <v>61</v>
      </c>
      <c r="B94" s="57"/>
      <c r="C94" s="25"/>
      <c r="D94" s="26"/>
      <c r="E94" s="26"/>
      <c r="F94" s="26"/>
    </row>
    <row r="95" spans="1:12">
      <c r="A95" s="94" t="s">
        <v>62</v>
      </c>
      <c r="B95" s="57"/>
      <c r="C95" s="25"/>
      <c r="D95" s="26"/>
      <c r="E95" s="26"/>
      <c r="F95" s="26"/>
    </row>
    <row r="96" spans="1:12">
      <c r="A96" s="94" t="s">
        <v>63</v>
      </c>
      <c r="B96" s="57"/>
      <c r="C96" s="25"/>
      <c r="D96" s="26"/>
      <c r="E96" s="26"/>
      <c r="F96" s="26"/>
    </row>
    <row r="97" spans="1:6">
      <c r="A97" s="94" t="s">
        <v>118</v>
      </c>
      <c r="B97" s="57"/>
      <c r="C97" s="25"/>
      <c r="D97" s="26"/>
      <c r="E97" s="26"/>
      <c r="F97" s="26"/>
    </row>
    <row r="98" spans="1:6">
      <c r="A98" s="94" t="s">
        <v>119</v>
      </c>
      <c r="B98" s="57"/>
      <c r="C98" s="25"/>
      <c r="D98" s="26"/>
      <c r="E98" s="26"/>
      <c r="F98" s="26"/>
    </row>
    <row r="99" spans="1:6">
      <c r="A99" s="94" t="s">
        <v>65</v>
      </c>
      <c r="B99" s="57"/>
      <c r="C99" s="25"/>
      <c r="D99" s="26"/>
      <c r="E99" s="26"/>
      <c r="F99" s="26"/>
    </row>
    <row r="100" spans="1:6">
      <c r="A100" s="94" t="s">
        <v>66</v>
      </c>
      <c r="B100" s="57"/>
      <c r="C100" s="25"/>
      <c r="D100" s="26"/>
      <c r="E100" s="26"/>
      <c r="F100" s="26"/>
    </row>
    <row r="101" spans="1:6">
      <c r="A101" s="94" t="s">
        <v>108</v>
      </c>
      <c r="B101" s="57"/>
      <c r="C101" s="25"/>
      <c r="D101" s="26"/>
      <c r="E101" s="26"/>
      <c r="F101" s="26"/>
    </row>
    <row r="102" spans="1:6">
      <c r="A102" s="94" t="s">
        <v>67</v>
      </c>
      <c r="B102" s="57"/>
      <c r="C102" s="25"/>
      <c r="D102" s="26"/>
      <c r="E102" s="26"/>
      <c r="F102" s="26"/>
    </row>
    <row r="103" spans="1:6">
      <c r="A103" s="94" t="s">
        <v>68</v>
      </c>
      <c r="B103" s="57"/>
      <c r="C103" s="25"/>
      <c r="D103" s="26"/>
      <c r="E103" s="26"/>
      <c r="F103" s="26"/>
    </row>
    <row r="104" spans="1:6">
      <c r="A104" s="94" t="s">
        <v>109</v>
      </c>
      <c r="B104" s="57"/>
      <c r="C104" s="25"/>
      <c r="D104" s="26"/>
      <c r="E104" s="26"/>
      <c r="F104" s="26"/>
    </row>
    <row r="105" spans="1:6">
      <c r="A105" s="94" t="s">
        <v>110</v>
      </c>
      <c r="B105" s="57"/>
      <c r="C105" s="25"/>
      <c r="D105" s="26"/>
      <c r="E105" s="26"/>
      <c r="F105" s="26"/>
    </row>
    <row r="106" spans="1:6">
      <c r="A106" s="94" t="s">
        <v>69</v>
      </c>
      <c r="B106" s="57"/>
      <c r="C106" s="25"/>
      <c r="D106" s="26"/>
      <c r="E106" s="26"/>
      <c r="F106" s="26"/>
    </row>
    <row r="107" spans="1:6">
      <c r="A107" s="94" t="s">
        <v>117</v>
      </c>
      <c r="B107" s="57"/>
      <c r="C107" s="25"/>
      <c r="D107" s="26"/>
      <c r="E107" s="26"/>
      <c r="F107" s="26"/>
    </row>
    <row r="108" spans="1:6" ht="25.5">
      <c r="A108" s="94" t="s">
        <v>115</v>
      </c>
      <c r="B108" s="57"/>
      <c r="C108" s="25"/>
      <c r="D108" s="26"/>
      <c r="E108" s="26"/>
      <c r="F108" s="26"/>
    </row>
    <row r="109" spans="1:6" ht="25.5">
      <c r="A109" s="94" t="s">
        <v>116</v>
      </c>
      <c r="B109" s="57"/>
      <c r="C109" s="25"/>
      <c r="D109" s="26"/>
      <c r="E109" s="26"/>
      <c r="F109" s="26"/>
    </row>
    <row r="110" spans="1:6">
      <c r="A110" s="95" t="s">
        <v>71</v>
      </c>
      <c r="B110" s="57"/>
      <c r="C110" s="25"/>
      <c r="D110" s="26"/>
      <c r="E110" s="26"/>
      <c r="F110" s="26"/>
    </row>
    <row r="111" spans="1:6">
      <c r="A111" s="95" t="s">
        <v>73</v>
      </c>
      <c r="B111" s="57"/>
      <c r="C111" s="25"/>
      <c r="D111" s="26"/>
      <c r="E111" s="26"/>
      <c r="F111" s="26"/>
    </row>
    <row r="112" spans="1:6">
      <c r="A112" s="95" t="s">
        <v>74</v>
      </c>
      <c r="B112" s="57"/>
      <c r="C112" s="25"/>
      <c r="D112" s="26"/>
      <c r="E112" s="26"/>
      <c r="F112" s="26"/>
    </row>
    <row r="113" spans="1:12">
      <c r="A113" s="95" t="s">
        <v>75</v>
      </c>
      <c r="B113" s="57"/>
      <c r="C113" s="25"/>
      <c r="D113" s="26"/>
      <c r="E113" s="26"/>
      <c r="F113" s="26"/>
    </row>
    <row r="114" spans="1:12">
      <c r="A114" s="95" t="s">
        <v>76</v>
      </c>
      <c r="B114" s="57"/>
      <c r="C114" s="25"/>
      <c r="D114" s="26"/>
      <c r="E114" s="26"/>
      <c r="F114" s="26"/>
    </row>
    <row r="115" spans="1:12" ht="13.5" thickBot="1">
      <c r="A115" s="96" t="s">
        <v>77</v>
      </c>
      <c r="B115" s="33"/>
      <c r="C115" s="25"/>
      <c r="D115" s="26"/>
      <c r="E115" s="26"/>
      <c r="F115" s="26"/>
    </row>
    <row r="116" spans="1:12" s="12" customFormat="1" ht="16.5" thickBot="1">
      <c r="A116" s="67" t="s">
        <v>120</v>
      </c>
      <c r="B116" s="68">
        <f>SUM(B69:B115)</f>
        <v>0</v>
      </c>
      <c r="C116" s="10"/>
      <c r="D116" s="11"/>
      <c r="E116" s="11"/>
      <c r="F116" s="11"/>
      <c r="G116" s="11"/>
      <c r="H116" s="18"/>
      <c r="I116" s="18"/>
      <c r="J116" s="18"/>
      <c r="K116" s="18"/>
      <c r="L116" s="18"/>
    </row>
    <row r="117" spans="1:12" s="12" customFormat="1" ht="15.75">
      <c r="A117" s="77"/>
      <c r="B117" s="78"/>
      <c r="C117" s="10"/>
      <c r="D117" s="11"/>
      <c r="E117" s="11"/>
      <c r="F117" s="11"/>
      <c r="G117" s="11"/>
      <c r="H117" s="18"/>
      <c r="I117" s="18"/>
      <c r="J117" s="18"/>
      <c r="K117" s="18"/>
      <c r="L117" s="18"/>
    </row>
    <row r="118" spans="1:12" s="12" customFormat="1" ht="16.5" thickBot="1">
      <c r="A118" s="77"/>
      <c r="B118" s="78"/>
      <c r="C118" s="10"/>
      <c r="D118" s="11"/>
      <c r="E118" s="11"/>
      <c r="F118" s="11"/>
      <c r="G118" s="11"/>
      <c r="H118" s="18"/>
      <c r="I118" s="18"/>
      <c r="J118" s="18"/>
      <c r="K118" s="18"/>
      <c r="L118" s="18"/>
    </row>
    <row r="119" spans="1:12" s="12" customFormat="1" ht="15.75">
      <c r="A119" s="97" t="s">
        <v>78</v>
      </c>
      <c r="B119" s="106">
        <f>SUM(B5,B12,B17,B41,B50,B62,B66)</f>
        <v>1350975.8417186919</v>
      </c>
      <c r="C119" s="11"/>
      <c r="D119" s="11"/>
      <c r="E119" s="11"/>
      <c r="F119" s="11"/>
      <c r="H119" s="18"/>
      <c r="I119" s="18"/>
      <c r="J119" s="18"/>
      <c r="K119" s="18"/>
      <c r="L119" s="18"/>
    </row>
    <row r="120" spans="1:12" ht="15.75">
      <c r="A120" s="98" t="s">
        <v>79</v>
      </c>
      <c r="B120" s="107">
        <f>SUM(G5,G12,G17,G41,G50,G62,G66)</f>
        <v>0</v>
      </c>
      <c r="C120" s="25"/>
      <c r="D120" s="26"/>
      <c r="E120" s="26"/>
      <c r="F120" s="26"/>
    </row>
    <row r="121" spans="1:12" ht="15.75">
      <c r="A121" s="98" t="s">
        <v>94</v>
      </c>
      <c r="B121" s="108">
        <f>B116</f>
        <v>0</v>
      </c>
      <c r="C121" s="25"/>
      <c r="D121" s="26"/>
      <c r="E121" s="26"/>
      <c r="F121" s="26"/>
    </row>
    <row r="122" spans="1:12" ht="16.5" thickBot="1">
      <c r="A122" s="99" t="s">
        <v>135</v>
      </c>
      <c r="B122" s="109">
        <f>SUM(B119:B121)</f>
        <v>1350975.8417186919</v>
      </c>
      <c r="C122" s="25"/>
      <c r="D122" s="26"/>
      <c r="E122" s="26"/>
      <c r="F122" s="26"/>
    </row>
    <row r="123" spans="1:12">
      <c r="B123" s="25"/>
      <c r="C123" s="25"/>
      <c r="D123" s="26"/>
      <c r="E123" s="26"/>
      <c r="F123" s="26"/>
    </row>
    <row r="124" spans="1:12">
      <c r="B124" s="25"/>
      <c r="C124" s="25"/>
      <c r="D124" s="25"/>
      <c r="E124" s="25"/>
      <c r="F124" s="25"/>
    </row>
    <row r="125" spans="1:12">
      <c r="B125" s="25"/>
      <c r="C125" s="25"/>
      <c r="D125" s="25"/>
      <c r="E125" s="25"/>
      <c r="F125" s="25"/>
    </row>
    <row r="126" spans="1:12">
      <c r="B126" s="25"/>
      <c r="C126" s="25"/>
      <c r="D126" s="25"/>
      <c r="E126" s="25"/>
      <c r="F126" s="25"/>
    </row>
    <row r="127" spans="1:12">
      <c r="B127" s="25"/>
      <c r="C127" s="25"/>
      <c r="D127" s="25"/>
      <c r="E127" s="25"/>
      <c r="F127" s="25"/>
    </row>
    <row r="128" spans="1:12" s="25" customFormat="1">
      <c r="A128" s="15"/>
      <c r="G128" s="16"/>
      <c r="H128" s="15"/>
      <c r="I128" s="15"/>
      <c r="J128" s="15"/>
      <c r="K128" s="15"/>
      <c r="L128" s="15"/>
    </row>
    <row r="129" spans="1:12" s="25" customFormat="1">
      <c r="A129" s="15"/>
      <c r="G129" s="16"/>
      <c r="H129" s="15"/>
      <c r="I129" s="15"/>
      <c r="J129" s="15"/>
      <c r="K129" s="15"/>
      <c r="L129" s="15"/>
    </row>
    <row r="130" spans="1:12">
      <c r="B130" s="2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GENNAIO</vt:lpstr>
      <vt:lpstr>FEBBRAIO</vt:lpstr>
      <vt:lpstr>MARZO</vt:lpstr>
      <vt:lpstr>APRILE</vt:lpstr>
      <vt:lpstr>MAGGIO</vt:lpstr>
      <vt:lpstr>GIUGNO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</dc:creator>
  <cp:lastModifiedBy>Simonetta</cp:lastModifiedBy>
  <dcterms:created xsi:type="dcterms:W3CDTF">2015-01-27T08:57:04Z</dcterms:created>
  <dcterms:modified xsi:type="dcterms:W3CDTF">2015-07-03T07:00:10Z</dcterms:modified>
</cp:coreProperties>
</file>