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7785" tabRatio="597" firstSheet="1" activeTab="10"/>
  </bookViews>
  <sheets>
    <sheet name="GENNAIO" sheetId="1" r:id="rId1"/>
    <sheet name="FEBBRAIO" sheetId="14" r:id="rId2"/>
    <sheet name="MARZO" sheetId="15" r:id="rId3"/>
    <sheet name="APRILE" sheetId="17" r:id="rId4"/>
    <sheet name="MAGGIO" sheetId="18" r:id="rId5"/>
    <sheet name="GIUGNO" sheetId="16" r:id="rId6"/>
    <sheet name="LUGLIO" sheetId="20" r:id="rId7"/>
    <sheet name="AGOSTO" sheetId="22" r:id="rId8"/>
    <sheet name="SETTEMBRE" sheetId="21" r:id="rId9"/>
    <sheet name="OTTOBRE" sheetId="19" r:id="rId10"/>
    <sheet name="NOVEMBRE" sheetId="23" r:id="rId11"/>
    <sheet name="DICEMBRE" sheetId="25" r:id="rId12"/>
  </sheets>
  <definedNames>
    <definedName name="_xlnm.Print_Area" localSheetId="0">GENNAIO!$A$1:$I$93</definedName>
  </definedNames>
  <calcPr calcId="125725"/>
</workbook>
</file>

<file path=xl/calcChain.xml><?xml version="1.0" encoding="utf-8"?>
<calcChain xmlns="http://schemas.openxmlformats.org/spreadsheetml/2006/main">
  <c r="H128" i="23"/>
  <c r="H10" i="19"/>
  <c r="H146"/>
  <c r="H142"/>
  <c r="H139"/>
  <c r="H6"/>
  <c r="H17"/>
  <c r="H89" i="21"/>
  <c r="H127"/>
  <c r="H7" i="23"/>
  <c r="H150" i="25"/>
  <c r="H11" i="23"/>
  <c r="D80"/>
  <c r="D82"/>
  <c r="B83"/>
  <c r="D6" i="19"/>
  <c r="D37"/>
  <c r="H37"/>
  <c r="B38"/>
  <c r="H149"/>
  <c r="B150"/>
  <c r="B181"/>
  <c r="H78" i="16"/>
  <c r="H129" i="23"/>
  <c r="H64" i="25"/>
  <c r="H10" i="14"/>
  <c r="H85" i="15"/>
  <c r="H78" i="25"/>
  <c r="H85" i="23"/>
  <c r="H100" i="25"/>
  <c r="D61"/>
  <c r="D197"/>
  <c r="B198"/>
  <c r="B62"/>
  <c r="H102"/>
  <c r="B103"/>
  <c r="H80"/>
  <c r="B81"/>
  <c r="H71"/>
  <c r="B72"/>
  <c r="H153"/>
  <c r="B154"/>
  <c r="B200"/>
  <c r="D112"/>
  <c r="D113"/>
  <c r="D114"/>
  <c r="F113"/>
  <c r="F112"/>
  <c r="H29" i="19"/>
  <c r="H124" i="25"/>
  <c r="D124"/>
  <c r="D123"/>
  <c r="D122"/>
  <c r="F122"/>
  <c r="F22" i="23"/>
  <c r="H163" i="25"/>
  <c r="D161"/>
  <c r="D162"/>
  <c r="H136"/>
  <c r="D134"/>
  <c r="D135"/>
  <c r="D27"/>
  <c r="D28"/>
  <c r="F136"/>
  <c r="F134"/>
  <c r="F91"/>
  <c r="F90"/>
  <c r="F29"/>
  <c r="F27"/>
  <c r="F143"/>
  <c r="D96"/>
  <c r="H98"/>
  <c r="D98"/>
  <c r="F98"/>
  <c r="B99"/>
  <c r="D42"/>
  <c r="D83"/>
  <c r="D82"/>
  <c r="D85"/>
  <c r="H85"/>
  <c r="F85"/>
  <c r="D178"/>
  <c r="H181"/>
  <c r="D181"/>
  <c r="F179"/>
  <c r="F178"/>
  <c r="F181"/>
  <c r="H43"/>
  <c r="D41"/>
  <c r="B86"/>
  <c r="B182"/>
  <c r="D149"/>
  <c r="D150"/>
  <c r="D37"/>
  <c r="D38"/>
  <c r="H151"/>
  <c r="D151"/>
  <c r="F149"/>
  <c r="H39"/>
  <c r="D39"/>
  <c r="F37"/>
  <c r="H58"/>
  <c r="H34"/>
  <c r="H54"/>
  <c r="H168"/>
  <c r="H167"/>
  <c r="H126"/>
  <c r="H131"/>
  <c r="H130"/>
  <c r="H73"/>
  <c r="H19"/>
  <c r="H18"/>
  <c r="H20"/>
  <c r="H190" i="23"/>
  <c r="H139"/>
  <c r="H157"/>
  <c r="H46" i="25"/>
  <c r="H42"/>
  <c r="H145" i="19"/>
  <c r="H127"/>
  <c r="H189" i="25"/>
  <c r="H188"/>
  <c r="H191"/>
  <c r="F191"/>
  <c r="D191"/>
  <c r="H109"/>
  <c r="H145"/>
  <c r="H140"/>
  <c r="H108"/>
  <c r="H162"/>
  <c r="H161"/>
  <c r="H143"/>
  <c r="H149"/>
  <c r="F153"/>
  <c r="H105"/>
  <c r="H104"/>
  <c r="H113"/>
  <c r="H135"/>
  <c r="H134"/>
  <c r="H119"/>
  <c r="H118"/>
  <c r="H112"/>
  <c r="H123"/>
  <c r="H122"/>
  <c r="H68"/>
  <c r="H67"/>
  <c r="H77"/>
  <c r="H12"/>
  <c r="H11"/>
  <c r="H136" i="23"/>
  <c r="H77"/>
  <c r="H38" i="25"/>
  <c r="H62" i="21"/>
  <c r="H72"/>
  <c r="H16" i="25"/>
  <c r="H15"/>
  <c r="H193" i="23"/>
  <c r="D193"/>
  <c r="D153" i="25"/>
  <c r="B192"/>
  <c r="H101" i="23"/>
  <c r="H100"/>
  <c r="H99"/>
  <c r="F71"/>
  <c r="D178" i="19"/>
  <c r="D164"/>
  <c r="F136"/>
  <c r="F101"/>
  <c r="D101"/>
  <c r="D58"/>
  <c r="H171" i="23"/>
  <c r="H172"/>
  <c r="H20" i="19"/>
  <c r="H24" i="25"/>
  <c r="H162" i="23"/>
  <c r="H189"/>
  <c r="H130"/>
  <c r="H135"/>
  <c r="H155"/>
  <c r="H154"/>
  <c r="H138"/>
  <c r="H111"/>
  <c r="H110"/>
  <c r="H150"/>
  <c r="H149"/>
  <c r="H175"/>
  <c r="H51" i="25"/>
  <c r="H50"/>
  <c r="H104" i="20"/>
  <c r="H155" i="25"/>
  <c r="H159"/>
  <c r="H158"/>
  <c r="H185" i="23"/>
  <c r="H65"/>
  <c r="H177"/>
  <c r="H180"/>
  <c r="H183"/>
  <c r="F185"/>
  <c r="F183"/>
  <c r="F177"/>
  <c r="F180"/>
  <c r="H7" i="25"/>
  <c r="H6"/>
  <c r="F7"/>
  <c r="H27"/>
  <c r="H166" i="23"/>
  <c r="H59"/>
  <c r="H125"/>
  <c r="H124"/>
  <c r="H97"/>
  <c r="H96"/>
  <c r="H134"/>
  <c r="H106"/>
  <c r="H89"/>
  <c r="H88"/>
  <c r="H107"/>
  <c r="H74"/>
  <c r="H73"/>
  <c r="H76"/>
  <c r="H84"/>
  <c r="H145"/>
  <c r="H124" i="21"/>
  <c r="H48" i="19"/>
  <c r="H107"/>
  <c r="H108"/>
  <c r="H23" i="22"/>
  <c r="H100" i="20"/>
  <c r="D102" i="25"/>
  <c r="F102"/>
  <c r="H156"/>
  <c r="F165"/>
  <c r="D165"/>
  <c r="F187" i="23"/>
  <c r="H132"/>
  <c r="H82"/>
  <c r="H104"/>
  <c r="H165" i="25"/>
  <c r="B166"/>
  <c r="F24"/>
  <c r="D24"/>
  <c r="D31"/>
  <c r="F31"/>
  <c r="H31"/>
  <c r="D195"/>
  <c r="D193"/>
  <c r="F197"/>
  <c r="H197"/>
  <c r="H59"/>
  <c r="D57"/>
  <c r="F57"/>
  <c r="D58"/>
  <c r="H57"/>
  <c r="H33"/>
  <c r="H37"/>
  <c r="H41"/>
  <c r="H45"/>
  <c r="H47"/>
  <c r="H53"/>
  <c r="H61"/>
  <c r="F55"/>
  <c r="F54"/>
  <c r="F53"/>
  <c r="F88"/>
  <c r="F87"/>
  <c r="D93"/>
  <c r="H93"/>
  <c r="F48"/>
  <c r="D46"/>
  <c r="D45"/>
  <c r="D47"/>
  <c r="F47"/>
  <c r="F46"/>
  <c r="F45"/>
  <c r="D149" i="21"/>
  <c r="D150"/>
  <c r="D140"/>
  <c r="D139"/>
  <c r="D46"/>
  <c r="D45"/>
  <c r="F45"/>
  <c r="H140"/>
  <c r="D141"/>
  <c r="F139"/>
  <c r="F67"/>
  <c r="F66"/>
  <c r="D66"/>
  <c r="D28"/>
  <c r="F145" i="19"/>
  <c r="D147"/>
  <c r="D145"/>
  <c r="D127"/>
  <c r="D71"/>
  <c r="D73"/>
  <c r="D128" i="23"/>
  <c r="H3"/>
  <c r="D7"/>
  <c r="D15"/>
  <c r="D11"/>
  <c r="F7"/>
  <c r="F8"/>
  <c r="H8"/>
  <c r="H15"/>
  <c r="H12"/>
  <c r="F13"/>
  <c r="F12"/>
  <c r="F11"/>
  <c r="F9"/>
  <c r="F128"/>
  <c r="D129"/>
  <c r="D92"/>
  <c r="D18" i="25"/>
  <c r="H22"/>
  <c r="D138"/>
  <c r="F138"/>
  <c r="H138"/>
  <c r="D2"/>
  <c r="D4"/>
  <c r="F4"/>
  <c r="H4"/>
  <c r="F174"/>
  <c r="F173"/>
  <c r="F176"/>
  <c r="D176"/>
  <c r="H176"/>
  <c r="D118"/>
  <c r="H120"/>
  <c r="H128"/>
  <c r="D119"/>
  <c r="F119"/>
  <c r="D120"/>
  <c r="H69"/>
  <c r="D67"/>
  <c r="D69"/>
  <c r="D68"/>
  <c r="F118"/>
  <c r="F128"/>
  <c r="D110"/>
  <c r="D109"/>
  <c r="D108"/>
  <c r="D65"/>
  <c r="D63"/>
  <c r="D64"/>
  <c r="F71"/>
  <c r="D16"/>
  <c r="D15"/>
  <c r="D104"/>
  <c r="D105"/>
  <c r="D106"/>
  <c r="D11"/>
  <c r="D12"/>
  <c r="D13"/>
  <c r="F116"/>
  <c r="H116"/>
  <c r="F22"/>
  <c r="H75"/>
  <c r="D73"/>
  <c r="D74"/>
  <c r="D80"/>
  <c r="D167"/>
  <c r="D140"/>
  <c r="D141"/>
  <c r="D147"/>
  <c r="H169"/>
  <c r="H171"/>
  <c r="D169"/>
  <c r="F167"/>
  <c r="D168"/>
  <c r="F171"/>
  <c r="F147"/>
  <c r="H147"/>
  <c r="F73"/>
  <c r="F80"/>
  <c r="D33"/>
  <c r="D172" i="23"/>
  <c r="D171"/>
  <c r="F34" i="25"/>
  <c r="F33"/>
  <c r="F173" i="23"/>
  <c r="F172"/>
  <c r="F171"/>
  <c r="D20" i="19"/>
  <c r="F6" i="25"/>
  <c r="F9"/>
  <c r="D7"/>
  <c r="D6"/>
  <c r="D186"/>
  <c r="F186"/>
  <c r="H186"/>
  <c r="B187"/>
  <c r="D9"/>
  <c r="H9"/>
  <c r="H48" i="23"/>
  <c r="D46"/>
  <c r="D47"/>
  <c r="D161"/>
  <c r="D162"/>
  <c r="H163"/>
  <c r="D100"/>
  <c r="D99"/>
  <c r="D148"/>
  <c r="H112"/>
  <c r="D110"/>
  <c r="D111"/>
  <c r="F110"/>
  <c r="F114"/>
  <c r="D149"/>
  <c r="H181"/>
  <c r="D180"/>
  <c r="D181"/>
  <c r="D41"/>
  <c r="D42"/>
  <c r="D38"/>
  <c r="D39"/>
  <c r="F44"/>
  <c r="H44"/>
  <c r="F119"/>
  <c r="F120"/>
  <c r="D119"/>
  <c r="H178"/>
  <c r="H187"/>
  <c r="D177"/>
  <c r="H167"/>
  <c r="D166"/>
  <c r="D165"/>
  <c r="H52"/>
  <c r="D51"/>
  <c r="D50"/>
  <c r="D97"/>
  <c r="D96"/>
  <c r="D167"/>
  <c r="F169"/>
  <c r="H20"/>
  <c r="H26"/>
  <c r="D76"/>
  <c r="D88"/>
  <c r="D90"/>
  <c r="D77"/>
  <c r="D89"/>
  <c r="F88"/>
  <c r="F94"/>
  <c r="F76"/>
  <c r="F82"/>
  <c r="D154"/>
  <c r="H156"/>
  <c r="H159"/>
  <c r="D155"/>
  <c r="H140"/>
  <c r="D139"/>
  <c r="D138"/>
  <c r="H34"/>
  <c r="D33"/>
  <c r="D32"/>
  <c r="D116"/>
  <c r="F117"/>
  <c r="D189"/>
  <c r="D190"/>
  <c r="D191"/>
  <c r="F189"/>
  <c r="F193"/>
  <c r="F154"/>
  <c r="F159"/>
  <c r="F138"/>
  <c r="D69"/>
  <c r="D68"/>
  <c r="F116"/>
  <c r="H122"/>
  <c r="D22"/>
  <c r="F21"/>
  <c r="F20"/>
  <c r="D21"/>
  <c r="D20"/>
  <c r="F32"/>
  <c r="D156"/>
  <c r="D134"/>
  <c r="D135"/>
  <c r="F134"/>
  <c r="F135"/>
  <c r="F57"/>
  <c r="F56"/>
  <c r="D56"/>
  <c r="D57"/>
  <c r="H60"/>
  <c r="H62"/>
  <c r="F60"/>
  <c r="F59"/>
  <c r="D18"/>
  <c r="D17"/>
  <c r="H86"/>
  <c r="H94"/>
  <c r="D86"/>
  <c r="D84"/>
  <c r="D85"/>
  <c r="D126"/>
  <c r="D124"/>
  <c r="D125"/>
  <c r="D29"/>
  <c r="H30"/>
  <c r="D28"/>
  <c r="F124"/>
  <c r="F132"/>
  <c r="F29"/>
  <c r="F28"/>
  <c r="D30"/>
  <c r="D73"/>
  <c r="D74"/>
  <c r="D176" i="19"/>
  <c r="D175"/>
  <c r="D174"/>
  <c r="F178"/>
  <c r="H178"/>
  <c r="H108" i="23"/>
  <c r="D107"/>
  <c r="D106"/>
  <c r="F146"/>
  <c r="F145"/>
  <c r="F144"/>
  <c r="H146"/>
  <c r="D144"/>
  <c r="H33"/>
  <c r="H32"/>
  <c r="H64"/>
  <c r="H29"/>
  <c r="H28"/>
  <c r="H148"/>
  <c r="H144"/>
  <c r="H51"/>
  <c r="H50"/>
  <c r="H47"/>
  <c r="H46"/>
  <c r="H66"/>
  <c r="D64"/>
  <c r="F104"/>
  <c r="F54"/>
  <c r="D9" i="19"/>
  <c r="D10"/>
  <c r="H5" i="23"/>
  <c r="F5"/>
  <c r="D84" i="19"/>
  <c r="D83"/>
  <c r="F9"/>
  <c r="H157"/>
  <c r="H151"/>
  <c r="H159"/>
  <c r="H153"/>
  <c r="H155"/>
  <c r="D151"/>
  <c r="D152"/>
  <c r="F156"/>
  <c r="F159"/>
  <c r="F157"/>
  <c r="D155"/>
  <c r="D156"/>
  <c r="H104"/>
  <c r="H42"/>
  <c r="H39"/>
  <c r="H43" i="21"/>
  <c r="H133" i="19"/>
  <c r="H132"/>
  <c r="H62"/>
  <c r="H61"/>
  <c r="H111"/>
  <c r="H162"/>
  <c r="H161"/>
  <c r="H164"/>
  <c r="H112"/>
  <c r="H166"/>
  <c r="H167"/>
  <c r="D172"/>
  <c r="F172"/>
  <c r="H119"/>
  <c r="H77" i="18"/>
  <c r="H34" i="19"/>
  <c r="H74" i="18"/>
  <c r="H95" i="19"/>
  <c r="H101"/>
  <c r="H67"/>
  <c r="H57"/>
  <c r="H58"/>
  <c r="H116"/>
  <c r="H115"/>
  <c r="H53"/>
  <c r="H51"/>
  <c r="H47"/>
  <c r="H137" i="20"/>
  <c r="H27" i="22"/>
  <c r="F75" i="19"/>
  <c r="D75"/>
  <c r="D76"/>
  <c r="D84" i="20"/>
  <c r="F21" i="19"/>
  <c r="F19"/>
  <c r="D80"/>
  <c r="D79"/>
  <c r="D103"/>
  <c r="D104"/>
  <c r="F164"/>
  <c r="F80"/>
  <c r="F79"/>
  <c r="H30"/>
  <c r="D30"/>
  <c r="D27"/>
  <c r="D28"/>
  <c r="H35"/>
  <c r="D32"/>
  <c r="H60" i="22"/>
  <c r="H59"/>
  <c r="F58"/>
  <c r="D58"/>
  <c r="D30"/>
  <c r="D59"/>
  <c r="H31"/>
  <c r="F32"/>
  <c r="F31"/>
  <c r="F30"/>
  <c r="D32"/>
  <c r="D31"/>
  <c r="F142" i="19"/>
  <c r="F149"/>
  <c r="D141"/>
  <c r="D142"/>
  <c r="H69"/>
  <c r="H4"/>
  <c r="D3"/>
  <c r="F67"/>
  <c r="F73"/>
  <c r="F2"/>
  <c r="D2"/>
  <c r="D4"/>
  <c r="D115"/>
  <c r="D116"/>
  <c r="F115"/>
  <c r="F121"/>
  <c r="D113"/>
  <c r="H113"/>
  <c r="D111"/>
  <c r="D112"/>
  <c r="D132"/>
  <c r="D136"/>
  <c r="D133"/>
  <c r="D134"/>
  <c r="H63"/>
  <c r="D61"/>
  <c r="D62"/>
  <c r="D63"/>
  <c r="D39"/>
  <c r="D40"/>
  <c r="F39"/>
  <c r="F45"/>
  <c r="H109"/>
  <c r="D108"/>
  <c r="D109"/>
  <c r="D107"/>
  <c r="D57"/>
  <c r="F57"/>
  <c r="F65"/>
  <c r="D139"/>
  <c r="D138"/>
  <c r="H125"/>
  <c r="D123"/>
  <c r="D124"/>
  <c r="H137" i="21"/>
  <c r="D147"/>
  <c r="D136"/>
  <c r="D145"/>
  <c r="D137"/>
  <c r="D146"/>
  <c r="D89" i="19"/>
  <c r="D90"/>
  <c r="F91"/>
  <c r="F90"/>
  <c r="F89"/>
  <c r="H93"/>
  <c r="F24"/>
  <c r="F23"/>
  <c r="H49"/>
  <c r="D47"/>
  <c r="D48"/>
  <c r="D15"/>
  <c r="D13"/>
  <c r="H15"/>
  <c r="D14"/>
  <c r="D49"/>
  <c r="F55"/>
  <c r="H138" i="20"/>
  <c r="D138"/>
  <c r="D137"/>
  <c r="D136"/>
  <c r="F136"/>
  <c r="F27" i="19"/>
  <c r="D126" i="21"/>
  <c r="D127"/>
  <c r="D19"/>
  <c r="D20"/>
  <c r="F19"/>
  <c r="H24" i="19"/>
  <c r="H23"/>
  <c r="H19"/>
  <c r="H33"/>
  <c r="H32"/>
  <c r="H28"/>
  <c r="H27"/>
  <c r="H14"/>
  <c r="H13"/>
  <c r="H9"/>
  <c r="H103"/>
  <c r="H128"/>
  <c r="H3"/>
  <c r="H2"/>
  <c r="H141"/>
  <c r="H138"/>
  <c r="H124"/>
  <c r="H123"/>
  <c r="F130"/>
  <c r="H80"/>
  <c r="H79"/>
  <c r="H76"/>
  <c r="H75"/>
  <c r="H153" i="21"/>
  <c r="H143"/>
  <c r="F143"/>
  <c r="D143"/>
  <c r="H130"/>
  <c r="H114"/>
  <c r="F114"/>
  <c r="D114"/>
  <c r="H100"/>
  <c r="F100"/>
  <c r="D100"/>
  <c r="D82"/>
  <c r="F77"/>
  <c r="F60"/>
  <c r="F13"/>
  <c r="D42" i="22"/>
  <c r="F8"/>
  <c r="H36" i="21"/>
  <c r="H74" i="20"/>
  <c r="H26" i="21"/>
  <c r="H25"/>
  <c r="H150"/>
  <c r="H149"/>
  <c r="H139"/>
  <c r="H103"/>
  <c r="H102"/>
  <c r="H58"/>
  <c r="H51"/>
  <c r="H60"/>
  <c r="H54"/>
  <c r="H66"/>
  <c r="H32"/>
  <c r="H40"/>
  <c r="H88"/>
  <c r="H33"/>
  <c r="H46"/>
  <c r="H45"/>
  <c r="H16"/>
  <c r="H15"/>
  <c r="H95"/>
  <c r="H94"/>
  <c r="H6" i="22"/>
  <c r="H23" i="20"/>
  <c r="H29"/>
  <c r="B30"/>
  <c r="H6" i="18"/>
  <c r="H117" i="21"/>
  <c r="H116"/>
  <c r="H123"/>
  <c r="H126"/>
  <c r="H20"/>
  <c r="H19"/>
  <c r="H146"/>
  <c r="H145"/>
  <c r="H107"/>
  <c r="H106"/>
  <c r="H111"/>
  <c r="H110"/>
  <c r="H136"/>
  <c r="H132"/>
  <c r="H63"/>
  <c r="H122"/>
  <c r="H69"/>
  <c r="H85"/>
  <c r="H84"/>
  <c r="H92"/>
  <c r="H49"/>
  <c r="H42"/>
  <c r="H69" i="22"/>
  <c r="H15"/>
  <c r="H11"/>
  <c r="H37"/>
  <c r="H98" i="16"/>
  <c r="D103" i="20"/>
  <c r="D104"/>
  <c r="H105"/>
  <c r="D141"/>
  <c r="D140"/>
  <c r="D44"/>
  <c r="D43"/>
  <c r="D41"/>
  <c r="B42"/>
  <c r="F43"/>
  <c r="D119" i="21"/>
  <c r="D120"/>
  <c r="D89"/>
  <c r="D90"/>
  <c r="D88"/>
  <c r="H90"/>
  <c r="F96"/>
  <c r="F95"/>
  <c r="F94"/>
  <c r="H96"/>
  <c r="D94"/>
  <c r="D54"/>
  <c r="F15"/>
  <c r="H17"/>
  <c r="H86"/>
  <c r="D85"/>
  <c r="D92"/>
  <c r="D84"/>
  <c r="F92"/>
  <c r="D116"/>
  <c r="D117"/>
  <c r="D133"/>
  <c r="D132"/>
  <c r="H112"/>
  <c r="D110"/>
  <c r="D112"/>
  <c r="D51"/>
  <c r="F130"/>
  <c r="H73"/>
  <c r="D71"/>
  <c r="D77"/>
  <c r="D72"/>
  <c r="D108"/>
  <c r="D106"/>
  <c r="H108"/>
  <c r="D107"/>
  <c r="H104"/>
  <c r="D102"/>
  <c r="D103"/>
  <c r="D104"/>
  <c r="F102"/>
  <c r="F32"/>
  <c r="F40"/>
  <c r="H34"/>
  <c r="D32"/>
  <c r="D40"/>
  <c r="D62"/>
  <c r="D69"/>
  <c r="F62"/>
  <c r="F69"/>
  <c r="H13"/>
  <c r="D13"/>
  <c r="H82"/>
  <c r="F82"/>
  <c r="D42"/>
  <c r="D49"/>
  <c r="D43"/>
  <c r="F49"/>
  <c r="D26"/>
  <c r="D25"/>
  <c r="F30"/>
  <c r="H71"/>
  <c r="F153"/>
  <c r="D153"/>
  <c r="D23"/>
  <c r="D4"/>
  <c r="D2"/>
  <c r="F8"/>
  <c r="H8"/>
  <c r="D49" i="22"/>
  <c r="D48"/>
  <c r="H54"/>
  <c r="H62"/>
  <c r="H77" i="20"/>
  <c r="H64" i="22"/>
  <c r="H75"/>
  <c r="H65"/>
  <c r="H154" i="20"/>
  <c r="H115" i="16"/>
  <c r="H77"/>
  <c r="H150" i="17"/>
  <c r="H27" i="18"/>
  <c r="H25"/>
  <c r="H68" i="22"/>
  <c r="H73"/>
  <c r="H72"/>
  <c r="H133" i="20"/>
  <c r="H40" i="22"/>
  <c r="H111" i="16"/>
  <c r="H146" i="17"/>
  <c r="H157" i="20"/>
  <c r="F157"/>
  <c r="D157"/>
  <c r="H144"/>
  <c r="F47"/>
  <c r="D47"/>
  <c r="H46" i="22"/>
  <c r="D44"/>
  <c r="D52"/>
  <c r="D45"/>
  <c r="H44"/>
  <c r="H155" i="20"/>
  <c r="H12" i="22"/>
  <c r="D11"/>
  <c r="F154" i="20"/>
  <c r="D153"/>
  <c r="D10" i="22"/>
  <c r="F10"/>
  <c r="H56"/>
  <c r="H55"/>
  <c r="H3"/>
  <c r="D54"/>
  <c r="D62"/>
  <c r="H28"/>
  <c r="F55"/>
  <c r="F54"/>
  <c r="F62"/>
  <c r="D28"/>
  <c r="D4"/>
  <c r="D2"/>
  <c r="D3"/>
  <c r="D69"/>
  <c r="D68"/>
  <c r="F68"/>
  <c r="F75"/>
  <c r="F69"/>
  <c r="H70"/>
  <c r="D70"/>
  <c r="F70"/>
  <c r="H25"/>
  <c r="D24"/>
  <c r="D23"/>
  <c r="D34"/>
  <c r="H66"/>
  <c r="D66"/>
  <c r="D65"/>
  <c r="D64"/>
  <c r="D75"/>
  <c r="D17"/>
  <c r="D19"/>
  <c r="H19"/>
  <c r="D18"/>
  <c r="F14"/>
  <c r="H48"/>
  <c r="H78" i="20"/>
  <c r="H45" i="17"/>
  <c r="H49" i="22"/>
  <c r="H17"/>
  <c r="H150" i="20"/>
  <c r="H149"/>
  <c r="H123"/>
  <c r="H122"/>
  <c r="H30" i="22"/>
  <c r="H103" i="20"/>
  <c r="H114"/>
  <c r="H113"/>
  <c r="H109"/>
  <c r="H43"/>
  <c r="H47"/>
  <c r="F31"/>
  <c r="H22"/>
  <c r="H100" i="16"/>
  <c r="H66" i="20"/>
  <c r="H7" i="18"/>
  <c r="H78"/>
  <c r="H130" i="15"/>
  <c r="H45" i="22"/>
  <c r="H14"/>
  <c r="H10"/>
  <c r="F34"/>
  <c r="H132" i="20"/>
  <c r="H136"/>
  <c r="H147"/>
  <c r="H146"/>
  <c r="H153"/>
  <c r="H39" i="22"/>
  <c r="H127" i="20"/>
  <c r="H126"/>
  <c r="H36" i="22"/>
  <c r="H42"/>
  <c r="F52"/>
  <c r="F42"/>
  <c r="H99" i="20"/>
  <c r="H97"/>
  <c r="H96"/>
  <c r="H117"/>
  <c r="H116"/>
  <c r="H50"/>
  <c r="H49"/>
  <c r="F33"/>
  <c r="F35"/>
  <c r="H81"/>
  <c r="H126" i="15"/>
  <c r="H53" i="20"/>
  <c r="H54"/>
  <c r="D133"/>
  <c r="D132"/>
  <c r="H151"/>
  <c r="F151"/>
  <c r="F150"/>
  <c r="F149"/>
  <c r="D149"/>
  <c r="F146"/>
  <c r="D69"/>
  <c r="H71"/>
  <c r="F71"/>
  <c r="F70"/>
  <c r="F69"/>
  <c r="D116"/>
  <c r="F118"/>
  <c r="F117"/>
  <c r="F116"/>
  <c r="D114"/>
  <c r="D113"/>
  <c r="F114"/>
  <c r="F113"/>
  <c r="D127"/>
  <c r="F126"/>
  <c r="F130"/>
  <c r="D126"/>
  <c r="H18"/>
  <c r="D17"/>
  <c r="D16"/>
  <c r="H8"/>
  <c r="D6"/>
  <c r="D7"/>
  <c r="H4"/>
  <c r="D2"/>
  <c r="D3"/>
  <c r="H14"/>
  <c r="D12"/>
  <c r="D13"/>
  <c r="H124"/>
  <c r="H130"/>
  <c r="D122"/>
  <c r="D130"/>
  <c r="D123"/>
  <c r="F86"/>
  <c r="F85"/>
  <c r="F84"/>
  <c r="F6" i="16"/>
  <c r="H101" i="20"/>
  <c r="H107"/>
  <c r="B108"/>
  <c r="B160"/>
  <c r="D100"/>
  <c r="D99"/>
  <c r="D101"/>
  <c r="F99"/>
  <c r="F100"/>
  <c r="D33"/>
  <c r="D22"/>
  <c r="D23"/>
  <c r="D24"/>
  <c r="D110"/>
  <c r="D109"/>
  <c r="H111"/>
  <c r="H120"/>
  <c r="D65"/>
  <c r="H67"/>
  <c r="F109"/>
  <c r="D66"/>
  <c r="F66"/>
  <c r="F65"/>
  <c r="F23"/>
  <c r="F22"/>
  <c r="H75"/>
  <c r="D73"/>
  <c r="D74"/>
  <c r="D80"/>
  <c r="D81"/>
  <c r="D61"/>
  <c r="H63"/>
  <c r="F62"/>
  <c r="F63"/>
  <c r="F61"/>
  <c r="F38"/>
  <c r="F37"/>
  <c r="D31"/>
  <c r="D35"/>
  <c r="B36"/>
  <c r="D55"/>
  <c r="D97"/>
  <c r="D96"/>
  <c r="D54"/>
  <c r="D53"/>
  <c r="D97" i="18"/>
  <c r="H51" i="20"/>
  <c r="H59"/>
  <c r="D49"/>
  <c r="D59"/>
  <c r="D50"/>
  <c r="H129" i="16"/>
  <c r="D130"/>
  <c r="D129"/>
  <c r="D128"/>
  <c r="D51" i="20"/>
  <c r="F49"/>
  <c r="F59"/>
  <c r="F129" i="16"/>
  <c r="F12"/>
  <c r="F11"/>
  <c r="F10"/>
  <c r="H90" i="20"/>
  <c r="H94"/>
  <c r="H7"/>
  <c r="H6"/>
  <c r="H3"/>
  <c r="H2"/>
  <c r="H17"/>
  <c r="H16"/>
  <c r="H13"/>
  <c r="H12"/>
  <c r="H85"/>
  <c r="H84"/>
  <c r="H73"/>
  <c r="H70"/>
  <c r="H69"/>
  <c r="H65"/>
  <c r="H62"/>
  <c r="H61"/>
  <c r="F144"/>
  <c r="H41"/>
  <c r="H35"/>
  <c r="F94"/>
  <c r="D94"/>
  <c r="F10"/>
  <c r="F20"/>
  <c r="B46" i="16"/>
  <c r="B51"/>
  <c r="B57"/>
  <c r="B69"/>
  <c r="B91"/>
  <c r="B109"/>
  <c r="B127"/>
  <c r="H132"/>
  <c r="F132"/>
  <c r="D132"/>
  <c r="H126"/>
  <c r="D126"/>
  <c r="H118"/>
  <c r="B119"/>
  <c r="F118"/>
  <c r="D118"/>
  <c r="H108"/>
  <c r="F108"/>
  <c r="D108"/>
  <c r="H102"/>
  <c r="B103"/>
  <c r="H85"/>
  <c r="B86"/>
  <c r="B135"/>
  <c r="H96"/>
  <c r="H90"/>
  <c r="D90"/>
  <c r="F85"/>
  <c r="D85"/>
  <c r="H68"/>
  <c r="F68"/>
  <c r="D68"/>
  <c r="H56"/>
  <c r="F52"/>
  <c r="F56"/>
  <c r="D56"/>
  <c r="H50"/>
  <c r="H45"/>
  <c r="F45"/>
  <c r="D45"/>
  <c r="H39"/>
  <c r="F39"/>
  <c r="B40"/>
  <c r="D39"/>
  <c r="H27"/>
  <c r="H26"/>
  <c r="D52"/>
  <c r="H54"/>
  <c r="D53"/>
  <c r="D54"/>
  <c r="B133"/>
  <c r="F115"/>
  <c r="D121"/>
  <c r="D120"/>
  <c r="D88"/>
  <c r="D78"/>
  <c r="D87"/>
  <c r="H87"/>
  <c r="D77"/>
  <c r="F90"/>
  <c r="H116"/>
  <c r="F116"/>
  <c r="F114"/>
  <c r="F20"/>
  <c r="F19"/>
  <c r="F18"/>
  <c r="H81"/>
  <c r="D14"/>
  <c r="H73"/>
  <c r="D74"/>
  <c r="H75"/>
  <c r="D73"/>
  <c r="H7" i="15"/>
  <c r="H6"/>
  <c r="H124" i="16"/>
  <c r="H123"/>
  <c r="H121"/>
  <c r="H120"/>
  <c r="F126"/>
  <c r="H66"/>
  <c r="H65"/>
  <c r="H58"/>
  <c r="H59"/>
  <c r="H21" i="15"/>
  <c r="H26" i="14"/>
  <c r="H114" i="16"/>
  <c r="H70"/>
  <c r="H42"/>
  <c r="H53"/>
  <c r="H61"/>
  <c r="H62"/>
  <c r="H63"/>
  <c r="H94"/>
  <c r="H41"/>
  <c r="H3" i="18"/>
  <c r="H11"/>
  <c r="H14" i="14"/>
  <c r="H16" i="15"/>
  <c r="H128" i="16"/>
  <c r="F77"/>
  <c r="H110"/>
  <c r="F42"/>
  <c r="H104"/>
  <c r="F102"/>
  <c r="D102"/>
  <c r="H92"/>
  <c r="F96"/>
  <c r="D96"/>
  <c r="H103" i="18"/>
  <c r="H102"/>
  <c r="D70" i="16"/>
  <c r="F70"/>
  <c r="D71"/>
  <c r="D104"/>
  <c r="D82"/>
  <c r="H83"/>
  <c r="D81"/>
  <c r="F61"/>
  <c r="D62"/>
  <c r="D61"/>
  <c r="F28"/>
  <c r="F27"/>
  <c r="F26"/>
  <c r="H28"/>
  <c r="D26"/>
  <c r="D27"/>
  <c r="B97"/>
  <c r="H104" i="18"/>
  <c r="D102"/>
  <c r="D103"/>
  <c r="F128" i="16"/>
  <c r="D105"/>
  <c r="F104"/>
  <c r="H112"/>
  <c r="F112"/>
  <c r="F111"/>
  <c r="F110"/>
  <c r="D110"/>
  <c r="D104" i="18"/>
  <c r="H23" i="16"/>
  <c r="D23"/>
  <c r="D22"/>
  <c r="H24"/>
  <c r="F114" i="18"/>
  <c r="F113"/>
  <c r="F110"/>
  <c r="D110"/>
  <c r="F100"/>
  <c r="D70"/>
  <c r="D6"/>
  <c r="H8"/>
  <c r="D7"/>
  <c r="H108"/>
  <c r="D106"/>
  <c r="D107"/>
  <c r="D8"/>
  <c r="D43" i="16"/>
  <c r="D42"/>
  <c r="F41"/>
  <c r="H43"/>
  <c r="D41"/>
  <c r="F120" i="18"/>
  <c r="F50" i="16"/>
  <c r="D50"/>
  <c r="H48"/>
  <c r="H47"/>
  <c r="H98" i="18"/>
  <c r="D96"/>
  <c r="D34"/>
  <c r="D35"/>
  <c r="D75"/>
  <c r="F75"/>
  <c r="F80"/>
  <c r="D74"/>
  <c r="D73"/>
  <c r="D80"/>
  <c r="H75"/>
  <c r="H11" i="16"/>
  <c r="H10"/>
  <c r="H7"/>
  <c r="H6"/>
  <c r="H3"/>
  <c r="H2"/>
  <c r="H20"/>
  <c r="H19"/>
  <c r="H18"/>
  <c r="H52"/>
  <c r="H33"/>
  <c r="H22"/>
  <c r="H31"/>
  <c r="H30"/>
  <c r="H37"/>
  <c r="H14"/>
  <c r="H74"/>
  <c r="H71"/>
  <c r="D58"/>
  <c r="D59"/>
  <c r="H4"/>
  <c r="D3"/>
  <c r="D2"/>
  <c r="F60" i="18"/>
  <c r="D60"/>
  <c r="D127"/>
  <c r="D126"/>
  <c r="F126"/>
  <c r="D128"/>
  <c r="F127"/>
  <c r="F92" i="17"/>
  <c r="F91"/>
  <c r="F90"/>
  <c r="F94"/>
  <c r="B95"/>
  <c r="H25"/>
  <c r="H61" i="14"/>
  <c r="H65"/>
  <c r="H75"/>
  <c r="H74"/>
  <c r="H78" i="15"/>
  <c r="H117" i="18"/>
  <c r="H116"/>
  <c r="H127"/>
  <c r="H126"/>
  <c r="H107"/>
  <c r="H106"/>
  <c r="H87"/>
  <c r="H86"/>
  <c r="H66"/>
  <c r="H10"/>
  <c r="H54"/>
  <c r="H53"/>
  <c r="H34"/>
  <c r="H50"/>
  <c r="H73"/>
  <c r="H111" i="14"/>
  <c r="H107"/>
  <c r="H97" i="18"/>
  <c r="H57" i="15"/>
  <c r="H71" i="14"/>
  <c r="H113" i="18"/>
  <c r="H112"/>
  <c r="H123"/>
  <c r="H122"/>
  <c r="H71"/>
  <c r="H70"/>
  <c r="H83"/>
  <c r="H82"/>
  <c r="H64"/>
  <c r="H68"/>
  <c r="D68"/>
  <c r="F68"/>
  <c r="H49"/>
  <c r="H31"/>
  <c r="H37"/>
  <c r="H2"/>
  <c r="H17"/>
  <c r="H153" i="15"/>
  <c r="H4" i="18"/>
  <c r="D3"/>
  <c r="D2"/>
  <c r="D4"/>
  <c r="F2"/>
  <c r="D123"/>
  <c r="D94"/>
  <c r="D93"/>
  <c r="D92"/>
  <c r="D100"/>
  <c r="D31"/>
  <c r="F31"/>
  <c r="F37"/>
  <c r="D32"/>
  <c r="D10"/>
  <c r="D11"/>
  <c r="F11"/>
  <c r="D116"/>
  <c r="D117"/>
  <c r="D43"/>
  <c r="D44"/>
  <c r="D87"/>
  <c r="D86"/>
  <c r="F43"/>
  <c r="F47"/>
  <c r="D112"/>
  <c r="H114"/>
  <c r="D113"/>
  <c r="D49"/>
  <c r="D56"/>
  <c r="F50"/>
  <c r="F56"/>
  <c r="F135" i="17"/>
  <c r="D39" i="18"/>
  <c r="D47"/>
  <c r="D82"/>
  <c r="H84"/>
  <c r="F82"/>
  <c r="F90"/>
  <c r="D40"/>
  <c r="D41"/>
  <c r="F20"/>
  <c r="H44"/>
  <c r="H43"/>
  <c r="H18"/>
  <c r="D17"/>
  <c r="D16"/>
  <c r="F18"/>
  <c r="F17"/>
  <c r="F16"/>
  <c r="H16"/>
  <c r="H40"/>
  <c r="H39"/>
  <c r="F29"/>
  <c r="D29"/>
  <c r="H96"/>
  <c r="H93"/>
  <c r="H92"/>
  <c r="F58"/>
  <c r="F62"/>
  <c r="B63"/>
  <c r="D58"/>
  <c r="D62"/>
  <c r="H62"/>
  <c r="B158" i="17"/>
  <c r="H153"/>
  <c r="B154"/>
  <c r="B160"/>
  <c r="D153"/>
  <c r="B144"/>
  <c r="H143"/>
  <c r="F143"/>
  <c r="D143"/>
  <c r="H137"/>
  <c r="F137"/>
  <c r="D137"/>
  <c r="B132"/>
  <c r="D125"/>
  <c r="B126"/>
  <c r="H119"/>
  <c r="F119"/>
  <c r="D119"/>
  <c r="D110"/>
  <c r="B111"/>
  <c r="B101"/>
  <c r="D94"/>
  <c r="B83"/>
  <c r="H78"/>
  <c r="F78"/>
  <c r="D78"/>
  <c r="H64"/>
  <c r="F64"/>
  <c r="D64"/>
  <c r="B43"/>
  <c r="B34"/>
  <c r="H27"/>
  <c r="B28"/>
  <c r="B23"/>
  <c r="D16"/>
  <c r="B17"/>
  <c r="D96"/>
  <c r="H19"/>
  <c r="H3"/>
  <c r="B138"/>
  <c r="B120"/>
  <c r="B79"/>
  <c r="B65"/>
  <c r="D8"/>
  <c r="H50"/>
  <c r="D49"/>
  <c r="D48"/>
  <c r="F89"/>
  <c r="F88"/>
  <c r="D89"/>
  <c r="D88"/>
  <c r="D90"/>
  <c r="D50"/>
  <c r="D60"/>
  <c r="D57"/>
  <c r="D56"/>
  <c r="H58"/>
  <c r="D72"/>
  <c r="D71"/>
  <c r="D70"/>
  <c r="H72"/>
  <c r="H127"/>
  <c r="H131"/>
  <c r="H151"/>
  <c r="D107"/>
  <c r="D106"/>
  <c r="H108"/>
  <c r="H106"/>
  <c r="F131"/>
  <c r="D131"/>
  <c r="D151"/>
  <c r="D150"/>
  <c r="D14"/>
  <c r="H141"/>
  <c r="D140"/>
  <c r="H140"/>
  <c r="D139"/>
  <c r="F140"/>
  <c r="D141"/>
  <c r="H89" i="1"/>
  <c r="H75" i="17"/>
  <c r="H139"/>
  <c r="H102"/>
  <c r="H107"/>
  <c r="H88"/>
  <c r="H70"/>
  <c r="H40"/>
  <c r="H39"/>
  <c r="H74"/>
  <c r="H61"/>
  <c r="H134"/>
  <c r="H133"/>
  <c r="H121"/>
  <c r="H125"/>
  <c r="H103"/>
  <c r="H84"/>
  <c r="H94"/>
  <c r="H96"/>
  <c r="H100"/>
  <c r="H145"/>
  <c r="H29"/>
  <c r="H35"/>
  <c r="H36"/>
  <c r="D2"/>
  <c r="D3"/>
  <c r="F2"/>
  <c r="F16"/>
  <c r="H46"/>
  <c r="D44"/>
  <c r="D46"/>
  <c r="D45"/>
  <c r="F44"/>
  <c r="D145"/>
  <c r="D146"/>
  <c r="H147"/>
  <c r="H104"/>
  <c r="D102"/>
  <c r="D103"/>
  <c r="D121"/>
  <c r="F121"/>
  <c r="H68"/>
  <c r="F66"/>
  <c r="D68"/>
  <c r="D67"/>
  <c r="D66"/>
  <c r="D122"/>
  <c r="F125"/>
  <c r="F110"/>
  <c r="H76"/>
  <c r="F74"/>
  <c r="D75"/>
  <c r="D74"/>
  <c r="D147"/>
  <c r="F153"/>
  <c r="D12"/>
  <c r="D11"/>
  <c r="D117"/>
  <c r="D116"/>
  <c r="F117"/>
  <c r="D40"/>
  <c r="D39"/>
  <c r="H54"/>
  <c r="D52"/>
  <c r="D53"/>
  <c r="D54"/>
  <c r="F52"/>
  <c r="D18"/>
  <c r="D22"/>
  <c r="H20"/>
  <c r="F20"/>
  <c r="F19"/>
  <c r="D19"/>
  <c r="F18"/>
  <c r="H97"/>
  <c r="D100"/>
  <c r="F100"/>
  <c r="D135"/>
  <c r="H135"/>
  <c r="D133"/>
  <c r="D134"/>
  <c r="H31"/>
  <c r="D29"/>
  <c r="D31"/>
  <c r="D30"/>
  <c r="D33"/>
  <c r="F133"/>
  <c r="F29"/>
  <c r="F33"/>
  <c r="H33"/>
  <c r="D84"/>
  <c r="F86"/>
  <c r="F85"/>
  <c r="F84"/>
  <c r="D35"/>
  <c r="D36"/>
  <c r="D42"/>
  <c r="D37"/>
  <c r="H37"/>
  <c r="H114"/>
  <c r="D112"/>
  <c r="F37"/>
  <c r="F36"/>
  <c r="F42"/>
  <c r="F35"/>
  <c r="H42"/>
  <c r="D114"/>
  <c r="F112"/>
  <c r="D113"/>
  <c r="H80"/>
  <c r="H82"/>
  <c r="F82"/>
  <c r="D82"/>
  <c r="H71"/>
  <c r="H67"/>
  <c r="H66"/>
  <c r="H117"/>
  <c r="H116"/>
  <c r="H113"/>
  <c r="H112"/>
  <c r="H24"/>
  <c r="F27"/>
  <c r="D27"/>
  <c r="H155"/>
  <c r="H8"/>
  <c r="H5"/>
  <c r="H2"/>
  <c r="H18"/>
  <c r="H22"/>
  <c r="H60"/>
  <c r="H57"/>
  <c r="H56"/>
  <c r="H53"/>
  <c r="H52"/>
  <c r="H49"/>
  <c r="H48"/>
  <c r="H157"/>
  <c r="D157"/>
  <c r="H155" i="15"/>
  <c r="B156"/>
  <c r="H68"/>
  <c r="B69"/>
  <c r="H87"/>
  <c r="B88"/>
  <c r="F106"/>
  <c r="H106"/>
  <c r="H20"/>
  <c r="H26"/>
  <c r="H135"/>
  <c r="F103"/>
  <c r="F143"/>
  <c r="H119"/>
  <c r="H120"/>
  <c r="H103"/>
  <c r="F157" i="17"/>
  <c r="H117" i="15"/>
  <c r="H116"/>
  <c r="H115"/>
  <c r="F148"/>
  <c r="H125"/>
  <c r="H129"/>
  <c r="H70"/>
  <c r="H76"/>
  <c r="H15"/>
  <c r="H139"/>
  <c r="H112"/>
  <c r="H110"/>
  <c r="H111"/>
  <c r="H121"/>
  <c r="D121"/>
  <c r="D120"/>
  <c r="D119"/>
  <c r="F123"/>
  <c r="H66"/>
  <c r="H64"/>
  <c r="H65"/>
  <c r="F155"/>
  <c r="D155"/>
  <c r="H97"/>
  <c r="H100"/>
  <c r="F100"/>
  <c r="D100"/>
  <c r="D82" i="14"/>
  <c r="B101" i="15"/>
  <c r="H123"/>
  <c r="D149"/>
  <c r="D148"/>
  <c r="H151"/>
  <c r="F151"/>
  <c r="D151"/>
  <c r="B152"/>
  <c r="D21"/>
  <c r="D20"/>
  <c r="D38"/>
  <c r="D129"/>
  <c r="D157"/>
  <c r="D158"/>
  <c r="D39"/>
  <c r="D125"/>
  <c r="D133"/>
  <c r="D126"/>
  <c r="H127"/>
  <c r="D144"/>
  <c r="D143"/>
  <c r="D141"/>
  <c r="H140"/>
  <c r="H146"/>
  <c r="D140"/>
  <c r="F139"/>
  <c r="D139"/>
  <c r="F137"/>
  <c r="D137"/>
  <c r="F136"/>
  <c r="D136"/>
  <c r="F135"/>
  <c r="D135"/>
  <c r="H52"/>
  <c r="D50"/>
  <c r="D51"/>
  <c r="F146"/>
  <c r="D146"/>
  <c r="D116"/>
  <c r="D115"/>
  <c r="B147"/>
  <c r="D104" i="14"/>
  <c r="D98"/>
  <c r="D88"/>
  <c r="D78"/>
  <c r="H68"/>
  <c r="B69"/>
  <c r="D68"/>
  <c r="D58"/>
  <c r="D48"/>
  <c r="D40"/>
  <c r="B41"/>
  <c r="D30"/>
  <c r="H16"/>
  <c r="F16"/>
  <c r="D16"/>
  <c r="B8"/>
  <c r="D10" i="15"/>
  <c r="D9"/>
  <c r="B17" i="14"/>
  <c r="D2" i="15"/>
  <c r="D13"/>
  <c r="D3"/>
  <c r="D111"/>
  <c r="D110"/>
  <c r="H93"/>
  <c r="D91"/>
  <c r="D95"/>
  <c r="D64"/>
  <c r="D112"/>
  <c r="F92"/>
  <c r="F93"/>
  <c r="D123"/>
  <c r="B124"/>
  <c r="H61"/>
  <c r="H81"/>
  <c r="H13" i="14"/>
  <c r="H9"/>
  <c r="D18"/>
  <c r="H35"/>
  <c r="H19"/>
  <c r="H36"/>
  <c r="H10" i="15"/>
  <c r="H50" i="14"/>
  <c r="H46" i="15"/>
  <c r="H3"/>
  <c r="H2"/>
  <c r="H13"/>
  <c r="B14"/>
  <c r="F18"/>
  <c r="H17"/>
  <c r="H24"/>
  <c r="F17"/>
  <c r="D17"/>
  <c r="D16"/>
  <c r="D15"/>
  <c r="D24"/>
  <c r="F24"/>
  <c r="H56"/>
  <c r="H81" i="14"/>
  <c r="H80"/>
  <c r="H70"/>
  <c r="H33"/>
  <c r="D35" i="15"/>
  <c r="D34"/>
  <c r="D102"/>
  <c r="H104"/>
  <c r="D104"/>
  <c r="F102"/>
  <c r="D103"/>
  <c r="D108"/>
  <c r="B25"/>
  <c r="H108"/>
  <c r="F108"/>
  <c r="B109"/>
  <c r="F81"/>
  <c r="D81"/>
  <c r="D82"/>
  <c r="D78"/>
  <c r="D87"/>
  <c r="D30"/>
  <c r="H32"/>
  <c r="D31"/>
  <c r="F79"/>
  <c r="F87"/>
  <c r="D32"/>
  <c r="F32"/>
  <c r="F31"/>
  <c r="F30"/>
  <c r="D27"/>
  <c r="H28"/>
  <c r="H54"/>
  <c r="D26"/>
  <c r="D62"/>
  <c r="H60"/>
  <c r="D61"/>
  <c r="D60"/>
  <c r="H89"/>
  <c r="H95"/>
  <c r="F95"/>
  <c r="F27"/>
  <c r="D28"/>
  <c r="D54"/>
  <c r="F26"/>
  <c r="H58"/>
  <c r="F58"/>
  <c r="F57"/>
  <c r="F56"/>
  <c r="D56"/>
  <c r="B96"/>
  <c r="F54"/>
  <c r="B55"/>
  <c r="F68"/>
  <c r="D68"/>
  <c r="D70"/>
  <c r="D76"/>
  <c r="D71"/>
  <c r="F72"/>
  <c r="F71"/>
  <c r="F70"/>
  <c r="H160"/>
  <c r="F160"/>
  <c r="D160"/>
  <c r="H133"/>
  <c r="B134"/>
  <c r="B163"/>
  <c r="F133"/>
  <c r="F76"/>
  <c r="B77"/>
  <c r="B161"/>
  <c r="F13"/>
  <c r="D37" i="14"/>
  <c r="D106"/>
  <c r="D107"/>
  <c r="H108"/>
  <c r="D35"/>
  <c r="D36"/>
  <c r="D108"/>
  <c r="F107"/>
  <c r="F106"/>
  <c r="D74"/>
  <c r="D76"/>
  <c r="D75"/>
  <c r="F74"/>
  <c r="H76"/>
  <c r="D70"/>
  <c r="D80"/>
  <c r="D71"/>
  <c r="F70"/>
  <c r="D81"/>
  <c r="H72"/>
  <c r="H78"/>
  <c r="B79"/>
  <c r="F78"/>
  <c r="H82"/>
  <c r="H88"/>
  <c r="B89"/>
  <c r="H114"/>
  <c r="B115"/>
  <c r="F88"/>
  <c r="D3"/>
  <c r="D2"/>
  <c r="D55"/>
  <c r="D54"/>
  <c r="H55"/>
  <c r="H56"/>
  <c r="H54"/>
  <c r="H2"/>
  <c r="H7"/>
  <c r="F7"/>
  <c r="D7"/>
  <c r="F20" i="1"/>
  <c r="D19"/>
  <c r="D20"/>
  <c r="D57"/>
  <c r="D55"/>
  <c r="D56"/>
  <c r="H56"/>
  <c r="H57"/>
  <c r="H19"/>
  <c r="H24" i="14"/>
  <c r="D22"/>
  <c r="D94"/>
  <c r="F45"/>
  <c r="D46"/>
  <c r="H94"/>
  <c r="H90"/>
  <c r="D23"/>
  <c r="H40"/>
  <c r="F40"/>
  <c r="D112"/>
  <c r="D110"/>
  <c r="D111"/>
  <c r="F110"/>
  <c r="D64"/>
  <c r="D65"/>
  <c r="H66"/>
  <c r="H62"/>
  <c r="D61"/>
  <c r="D60"/>
  <c r="D62"/>
  <c r="F61"/>
  <c r="F68"/>
  <c r="H92"/>
  <c r="D90"/>
  <c r="H20"/>
  <c r="D19"/>
  <c r="D92"/>
  <c r="D91"/>
  <c r="H98"/>
  <c r="B99"/>
  <c r="F98"/>
  <c r="D42"/>
  <c r="D43"/>
  <c r="H52"/>
  <c r="H58"/>
  <c r="B59"/>
  <c r="D52"/>
  <c r="F50"/>
  <c r="F58"/>
  <c r="D50"/>
  <c r="D20"/>
  <c r="D100"/>
  <c r="D101"/>
  <c r="F102"/>
  <c r="F101"/>
  <c r="F100"/>
  <c r="H110"/>
  <c r="H106"/>
  <c r="H27"/>
  <c r="H23"/>
  <c r="H30"/>
  <c r="B31"/>
  <c r="F114"/>
  <c r="D114"/>
  <c r="H104"/>
  <c r="F104"/>
  <c r="F48"/>
  <c r="H48"/>
  <c r="F30"/>
  <c r="B49"/>
  <c r="B105"/>
  <c r="H9" i="1"/>
  <c r="D98"/>
  <c r="D99"/>
  <c r="D100"/>
  <c r="D6"/>
  <c r="H124"/>
  <c r="D122"/>
  <c r="D131"/>
  <c r="H132"/>
  <c r="H129"/>
  <c r="F132"/>
  <c r="F131"/>
  <c r="D123"/>
  <c r="F123"/>
  <c r="F149"/>
  <c r="D82"/>
  <c r="F82"/>
  <c r="D68"/>
  <c r="F68"/>
  <c r="D26"/>
  <c r="H34"/>
  <c r="H166"/>
  <c r="D164"/>
  <c r="D165"/>
  <c r="F166"/>
  <c r="D33"/>
  <c r="F32"/>
  <c r="D32"/>
  <c r="F19"/>
  <c r="H23"/>
  <c r="H20"/>
  <c r="H16"/>
  <c r="H12"/>
  <c r="H15"/>
  <c r="F6"/>
  <c r="H11"/>
  <c r="F2"/>
  <c r="F9"/>
  <c r="D2"/>
  <c r="D3"/>
  <c r="F36"/>
  <c r="D36"/>
  <c r="D37"/>
  <c r="H38"/>
  <c r="H22"/>
  <c r="H24"/>
  <c r="D22"/>
  <c r="D24"/>
  <c r="F22"/>
  <c r="H98"/>
  <c r="D9"/>
  <c r="B10"/>
  <c r="F30"/>
  <c r="H30"/>
  <c r="D23"/>
  <c r="H141"/>
  <c r="H51"/>
  <c r="H137"/>
  <c r="H82"/>
  <c r="H55"/>
  <c r="H36"/>
  <c r="H150"/>
  <c r="H149"/>
  <c r="H123"/>
  <c r="H122"/>
  <c r="H53"/>
  <c r="H52"/>
  <c r="H131"/>
  <c r="H165"/>
  <c r="H164"/>
  <c r="F168"/>
  <c r="D168"/>
  <c r="H95"/>
  <c r="H75"/>
  <c r="H74"/>
  <c r="H79"/>
  <c r="H78"/>
  <c r="H49"/>
  <c r="F47"/>
  <c r="F46"/>
  <c r="D46"/>
  <c r="F42"/>
  <c r="D42"/>
  <c r="D49"/>
  <c r="H145"/>
  <c r="H146"/>
  <c r="H115"/>
  <c r="H111"/>
  <c r="H147"/>
  <c r="D145"/>
  <c r="D146"/>
  <c r="D64"/>
  <c r="F147"/>
  <c r="F146"/>
  <c r="F145"/>
  <c r="F80"/>
  <c r="F79"/>
  <c r="F78"/>
  <c r="F66"/>
  <c r="F65"/>
  <c r="F64"/>
  <c r="F49"/>
  <c r="B50"/>
  <c r="H168"/>
  <c r="B169"/>
  <c r="D136"/>
  <c r="D137"/>
  <c r="H136"/>
  <c r="H139"/>
  <c r="F139"/>
  <c r="D139"/>
  <c r="B140"/>
  <c r="D61"/>
  <c r="D62"/>
  <c r="H76"/>
  <c r="D74"/>
  <c r="D75"/>
  <c r="D119"/>
  <c r="F119"/>
  <c r="F126"/>
  <c r="D120"/>
  <c r="D126"/>
  <c r="H126"/>
  <c r="F74"/>
  <c r="F86"/>
  <c r="H86"/>
  <c r="D72"/>
  <c r="F61"/>
  <c r="F72"/>
  <c r="H72"/>
  <c r="D141"/>
  <c r="D142"/>
  <c r="D143"/>
  <c r="H153"/>
  <c r="F153"/>
  <c r="D15"/>
  <c r="D16"/>
  <c r="D94"/>
  <c r="D95"/>
  <c r="H102"/>
  <c r="F102"/>
  <c r="D17"/>
  <c r="D113"/>
  <c r="D114"/>
  <c r="F113"/>
  <c r="H40"/>
  <c r="F40"/>
  <c r="D40"/>
  <c r="D102"/>
  <c r="D153"/>
  <c r="B154"/>
  <c r="D86"/>
  <c r="B127"/>
  <c r="B87"/>
  <c r="B73"/>
  <c r="B103"/>
  <c r="B41"/>
  <c r="D155"/>
  <c r="D162"/>
  <c r="F156"/>
  <c r="F155"/>
  <c r="H162"/>
  <c r="F117"/>
  <c r="H117"/>
  <c r="D117"/>
  <c r="F162"/>
  <c r="B163"/>
  <c r="B118"/>
  <c r="D51"/>
  <c r="D52"/>
  <c r="D128"/>
  <c r="D134"/>
  <c r="F134"/>
  <c r="H134"/>
  <c r="H59"/>
  <c r="F59"/>
  <c r="D11"/>
  <c r="D12"/>
  <c r="H105"/>
  <c r="H107"/>
  <c r="D105"/>
  <c r="D104"/>
  <c r="H90"/>
  <c r="F88"/>
  <c r="D88"/>
  <c r="D89"/>
  <c r="F107"/>
  <c r="D107"/>
  <c r="D30"/>
  <c r="B31"/>
  <c r="B135"/>
  <c r="D59"/>
  <c r="B60"/>
  <c r="B108"/>
  <c r="F92"/>
  <c r="H92"/>
  <c r="D92"/>
  <c r="B93"/>
  <c r="B171"/>
  <c r="H16" i="17"/>
  <c r="F22"/>
  <c r="H110"/>
  <c r="B117" i="14"/>
  <c r="H130" i="18"/>
  <c r="H100"/>
  <c r="B101"/>
  <c r="D37"/>
  <c r="H29"/>
  <c r="B30"/>
  <c r="F23"/>
  <c r="H56"/>
  <c r="H90"/>
  <c r="H110"/>
  <c r="B111"/>
  <c r="D90"/>
  <c r="D130"/>
  <c r="B131"/>
  <c r="H80"/>
  <c r="B81"/>
  <c r="H47"/>
  <c r="D120"/>
  <c r="B121"/>
  <c r="H120"/>
  <c r="F130"/>
  <c r="H23"/>
  <c r="D23"/>
  <c r="D14"/>
  <c r="H14"/>
  <c r="F14"/>
  <c r="B48"/>
  <c r="B38"/>
  <c r="B69"/>
  <c r="B91"/>
  <c r="B15"/>
  <c r="B24"/>
  <c r="B57"/>
  <c r="F41" i="20"/>
  <c r="F29"/>
  <c r="F107"/>
  <c r="D10"/>
  <c r="F120"/>
  <c r="B121"/>
  <c r="D120"/>
  <c r="B95"/>
  <c r="H20"/>
  <c r="B60"/>
  <c r="H88"/>
  <c r="D29"/>
  <c r="D20"/>
  <c r="B21"/>
  <c r="H10"/>
  <c r="B11"/>
  <c r="F88"/>
  <c r="D88"/>
  <c r="B131"/>
  <c r="B158"/>
  <c r="B133" i="18"/>
  <c r="B89" i="20"/>
  <c r="D130" i="21"/>
  <c r="F23"/>
  <c r="H30"/>
  <c r="D60"/>
  <c r="H77"/>
  <c r="D30"/>
  <c r="B83"/>
  <c r="H23"/>
  <c r="B14"/>
  <c r="B78"/>
  <c r="D8"/>
  <c r="B9"/>
  <c r="B154"/>
  <c r="B61"/>
  <c r="B50"/>
  <c r="H21" i="22"/>
  <c r="H52"/>
  <c r="F21"/>
  <c r="H34"/>
  <c r="B35"/>
  <c r="B78"/>
  <c r="D21"/>
  <c r="D8"/>
  <c r="H8"/>
  <c r="B43"/>
  <c r="B41" i="21"/>
  <c r="B31"/>
  <c r="B93"/>
  <c r="B101"/>
  <c r="B115"/>
  <c r="B70"/>
  <c r="B22" i="22"/>
  <c r="D107" i="20"/>
  <c r="D144"/>
  <c r="B145"/>
  <c r="B48"/>
  <c r="B24" i="21"/>
  <c r="B131"/>
  <c r="B144"/>
  <c r="B76" i="22"/>
  <c r="B53"/>
  <c r="B9"/>
  <c r="B63"/>
  <c r="B139" i="25"/>
  <c r="B148"/>
  <c r="D22"/>
  <c r="D116"/>
  <c r="B117"/>
  <c r="F61"/>
  <c r="D128"/>
  <c r="B129"/>
  <c r="B5"/>
  <c r="F93"/>
  <c r="B94"/>
  <c r="B32"/>
  <c r="B10"/>
  <c r="B177"/>
  <c r="D171"/>
  <c r="B172"/>
  <c r="D71"/>
  <c r="B156" i="21"/>
  <c r="B23" i="25"/>
  <c r="D187" i="23"/>
  <c r="D62"/>
  <c r="F142"/>
  <c r="D122"/>
  <c r="F175"/>
  <c r="H114"/>
  <c r="F122"/>
  <c r="D175"/>
  <c r="D132"/>
  <c r="B133"/>
  <c r="D159"/>
  <c r="B160"/>
  <c r="D169"/>
  <c r="H71"/>
  <c r="H142"/>
  <c r="H169"/>
  <c r="F152"/>
  <c r="D142"/>
  <c r="D152"/>
  <c r="H152"/>
  <c r="D114"/>
  <c r="F62"/>
  <c r="D71"/>
  <c r="H36"/>
  <c r="D94"/>
  <c r="B95"/>
  <c r="D104"/>
  <c r="B105"/>
  <c r="D44"/>
  <c r="B45"/>
  <c r="D26"/>
  <c r="H54"/>
  <c r="D54"/>
  <c r="D5"/>
  <c r="B6"/>
  <c r="D36"/>
  <c r="F26"/>
  <c r="B188"/>
  <c r="F36"/>
  <c r="B194"/>
  <c r="F15"/>
  <c r="B16"/>
  <c r="D130" i="19"/>
  <c r="D87"/>
  <c r="D149"/>
  <c r="H136"/>
  <c r="D159"/>
  <c r="D121"/>
  <c r="H121"/>
  <c r="H130"/>
  <c r="F93"/>
  <c r="D93"/>
  <c r="H73"/>
  <c r="H87"/>
  <c r="B102"/>
  <c r="B165"/>
  <c r="H45"/>
  <c r="F87"/>
  <c r="D65"/>
  <c r="D45"/>
  <c r="H172"/>
  <c r="B173"/>
  <c r="H65"/>
  <c r="D55"/>
  <c r="H55"/>
  <c r="F37"/>
  <c r="B179"/>
  <c r="B74"/>
  <c r="B122"/>
  <c r="B143" i="23"/>
  <c r="B123"/>
  <c r="B63"/>
  <c r="B176"/>
  <c r="B170"/>
  <c r="B115"/>
  <c r="B72"/>
  <c r="B153"/>
  <c r="B55"/>
  <c r="B27"/>
  <c r="B37"/>
  <c r="B46" i="19"/>
  <c r="B56"/>
  <c r="B66"/>
  <c r="B131"/>
  <c r="B94"/>
  <c r="B137"/>
  <c r="B88"/>
  <c r="B160"/>
  <c r="B196" i="23"/>
</calcChain>
</file>

<file path=xl/sharedStrings.xml><?xml version="1.0" encoding="utf-8"?>
<sst xmlns="http://schemas.openxmlformats.org/spreadsheetml/2006/main" count="3348" uniqueCount="440">
  <si>
    <t>TRASFERTA</t>
  </si>
  <si>
    <t>DIPENDENTE</t>
  </si>
  <si>
    <t>GG TRASFERTA</t>
  </si>
  <si>
    <t>PRENOTAZIONI/PAGAMENTI ANTICIPATI (alberghi, meeting room ecc)</t>
  </si>
  <si>
    <t>TOT. PARZIALE</t>
  </si>
  <si>
    <t xml:space="preserve">TOT. COMPLESSIVO </t>
  </si>
  <si>
    <t>SPESE X VIAGGIO (autostrada/auto/treno ecc)</t>
  </si>
  <si>
    <t>SPESE VARIE in trasferta (pranzi, taxi ecc)</t>
  </si>
  <si>
    <t>TOTALE  MESE</t>
  </si>
  <si>
    <t>Russo</t>
  </si>
  <si>
    <t>Vincenzetti</t>
  </si>
  <si>
    <t>Woon</t>
  </si>
  <si>
    <t>Maglietta</t>
  </si>
  <si>
    <t>Pelliccione</t>
  </si>
  <si>
    <t>Taxi</t>
  </si>
  <si>
    <t>Extra Hotel</t>
  </si>
  <si>
    <t>Pranzi/Cene</t>
  </si>
  <si>
    <t>USA</t>
  </si>
  <si>
    <t>Bus</t>
  </si>
  <si>
    <t>Mexico</t>
  </si>
  <si>
    <t>Rodriguez</t>
  </si>
  <si>
    <t>14-18/01/2014</t>
  </si>
  <si>
    <t>Queretaro</t>
  </si>
  <si>
    <t>18-24/01/2014</t>
  </si>
  <si>
    <t>FBI</t>
  </si>
  <si>
    <t xml:space="preserve">Hotel + Extra </t>
  </si>
  <si>
    <t>08-10/01/2014</t>
  </si>
  <si>
    <t>Milano</t>
  </si>
  <si>
    <t>Meeting annuale HQ</t>
  </si>
  <si>
    <t>Extra Vari</t>
  </si>
  <si>
    <t>Demo - POC</t>
  </si>
  <si>
    <t>Metro</t>
  </si>
  <si>
    <t>Treno</t>
  </si>
  <si>
    <t>26-31/01/2014</t>
  </si>
  <si>
    <t>Delivery</t>
  </si>
  <si>
    <t>Cipro</t>
  </si>
  <si>
    <t>19-24/01/2014</t>
  </si>
  <si>
    <t>Follow-up</t>
  </si>
  <si>
    <t>Egitto</t>
  </si>
  <si>
    <t>Furlan</t>
  </si>
  <si>
    <t>28-29/01/2014</t>
  </si>
  <si>
    <t>Catanzaro</t>
  </si>
  <si>
    <t>Benzina</t>
  </si>
  <si>
    <t>Parcheggio</t>
  </si>
  <si>
    <t xml:space="preserve">Hotel </t>
  </si>
  <si>
    <t>Hotel</t>
  </si>
  <si>
    <t>Di Pasquale</t>
  </si>
  <si>
    <t>12-17/01/2014</t>
  </si>
  <si>
    <t>Sudan</t>
  </si>
  <si>
    <t>Scarafile</t>
  </si>
  <si>
    <t>Autostrada</t>
  </si>
  <si>
    <t>15-16/01/2014</t>
  </si>
  <si>
    <t xml:space="preserve">Demo - POC </t>
  </si>
  <si>
    <t>Vietnam</t>
  </si>
  <si>
    <t>27-31/01/2014</t>
  </si>
  <si>
    <t>Demo</t>
  </si>
  <si>
    <t>Qatar - Kuwait</t>
  </si>
  <si>
    <t>Shehata</t>
  </si>
  <si>
    <t>13-14/01/2014</t>
  </si>
  <si>
    <t>Lituania</t>
  </si>
  <si>
    <t>23-24/01/2014</t>
  </si>
  <si>
    <t>Albania</t>
  </si>
  <si>
    <t>Romania</t>
  </si>
  <si>
    <t>27-30/01/2014</t>
  </si>
  <si>
    <t>Turchia</t>
  </si>
  <si>
    <t>Maanna</t>
  </si>
  <si>
    <t>de Giovanni</t>
  </si>
  <si>
    <t>Volo</t>
  </si>
  <si>
    <t>12-15/01/2014</t>
  </si>
  <si>
    <t>Croazia</t>
  </si>
  <si>
    <t>Catino</t>
  </si>
  <si>
    <t>Luppi</t>
  </si>
  <si>
    <t>28-31/01/2014</t>
  </si>
  <si>
    <t>Marocco</t>
  </si>
  <si>
    <t xml:space="preserve">Volo  </t>
  </si>
  <si>
    <t>Iannelli</t>
  </si>
  <si>
    <t>Bettini</t>
  </si>
  <si>
    <t>Velasco</t>
  </si>
  <si>
    <t>13-18/01/2014</t>
  </si>
  <si>
    <t>Meeting</t>
  </si>
  <si>
    <t>Svizzera</t>
  </si>
  <si>
    <t>Hotel + Extra</t>
  </si>
  <si>
    <t>06-09/02/2014</t>
  </si>
  <si>
    <t>DEFEXPO - Fiera</t>
  </si>
  <si>
    <t>India</t>
  </si>
  <si>
    <t>27-28/02/2014</t>
  </si>
  <si>
    <t>COUNTER TERROR - Fiera</t>
  </si>
  <si>
    <t>Londra</t>
  </si>
  <si>
    <t>16-21/02/2014</t>
  </si>
  <si>
    <t>Messico</t>
  </si>
  <si>
    <t>26-28/02/2014</t>
  </si>
  <si>
    <t>Airshow</t>
  </si>
  <si>
    <t>Singapore</t>
  </si>
  <si>
    <t>24-25/02/2014</t>
  </si>
  <si>
    <t>Bangladesh</t>
  </si>
  <si>
    <t>17-18/02/2014</t>
  </si>
  <si>
    <t>Area C</t>
  </si>
  <si>
    <t xml:space="preserve">Bus </t>
  </si>
  <si>
    <t>10-12/02/2014</t>
  </si>
  <si>
    <t>Saudi</t>
  </si>
  <si>
    <t>Tickets</t>
  </si>
  <si>
    <t>Visto</t>
  </si>
  <si>
    <t>13-28/01/2014</t>
  </si>
  <si>
    <t>14-21/02/2014</t>
  </si>
  <si>
    <t>03-05/02/2014</t>
  </si>
  <si>
    <t>Follow up</t>
  </si>
  <si>
    <t>Colombia</t>
  </si>
  <si>
    <t>Pranzi/cene</t>
  </si>
  <si>
    <t>23-28/02/2014</t>
  </si>
  <si>
    <t>Ecuador</t>
  </si>
  <si>
    <t>18-19/02/2014</t>
  </si>
  <si>
    <t>Brasile</t>
  </si>
  <si>
    <t>Pranzi/Cena</t>
  </si>
  <si>
    <t>05-07/03/2014</t>
  </si>
  <si>
    <t>Pre-Sales</t>
  </si>
  <si>
    <t>Libano</t>
  </si>
  <si>
    <t>09-14/03/2014</t>
  </si>
  <si>
    <t>Extra Hotel + Pickup</t>
  </si>
  <si>
    <t>03-15/03/2014</t>
  </si>
  <si>
    <t>Pre-sales</t>
  </si>
  <si>
    <t xml:space="preserve">Training </t>
  </si>
  <si>
    <t>Treno Roma x visto</t>
  </si>
  <si>
    <t>03-05/03/2014</t>
  </si>
  <si>
    <t>ISS Fiera</t>
  </si>
  <si>
    <t>Dubai</t>
  </si>
  <si>
    <t>24-26/03/2014</t>
  </si>
  <si>
    <t>Giordania</t>
  </si>
  <si>
    <t>Rinnovo Passaporto</t>
  </si>
  <si>
    <t>10-13/03/2014</t>
  </si>
  <si>
    <t>HOSDB Fiera</t>
  </si>
  <si>
    <t>UK</t>
  </si>
  <si>
    <t>(Roma ritiro visto)</t>
  </si>
  <si>
    <t>18-24/03/2014</t>
  </si>
  <si>
    <t>Training Sudan</t>
  </si>
  <si>
    <t>Italia</t>
  </si>
  <si>
    <t>Milan</t>
  </si>
  <si>
    <t>02-07/03/2014</t>
  </si>
  <si>
    <t>04-05/02/2014</t>
  </si>
  <si>
    <t>12-14/03/2014</t>
  </si>
  <si>
    <t>19-26/03/2014</t>
  </si>
  <si>
    <t>Visti</t>
  </si>
  <si>
    <t>Telepass</t>
  </si>
  <si>
    <t>23-27/03/2014</t>
  </si>
  <si>
    <t>Mongolia</t>
  </si>
  <si>
    <t>South Korea</t>
  </si>
  <si>
    <t>Conference</t>
  </si>
  <si>
    <t>23-28/03/2014</t>
  </si>
  <si>
    <t>Roma</t>
  </si>
  <si>
    <t>14-21/03/2014</t>
  </si>
  <si>
    <t>Training</t>
  </si>
  <si>
    <t>UAE</t>
  </si>
  <si>
    <t>Volpatto</t>
  </si>
  <si>
    <t>Quarta</t>
  </si>
  <si>
    <t>30/03 - 04/04/2014</t>
  </si>
  <si>
    <t>Del Gobbo</t>
  </si>
  <si>
    <t>Transfer</t>
  </si>
  <si>
    <t>Extra Hotel + Transfer</t>
  </si>
  <si>
    <t>de Giovanni (annullato)</t>
  </si>
  <si>
    <t>Clienti</t>
  </si>
  <si>
    <t>Landi</t>
  </si>
  <si>
    <t>Speziale</t>
  </si>
  <si>
    <t>Giubertoni</t>
  </si>
  <si>
    <t>De Fulgentis</t>
  </si>
  <si>
    <t>08-10/04/2014</t>
  </si>
  <si>
    <t>LAAD</t>
  </si>
  <si>
    <t xml:space="preserve">Figueroida </t>
  </si>
  <si>
    <t>(hostess)</t>
  </si>
  <si>
    <t>31/03 - 04/04/2014</t>
  </si>
  <si>
    <t xml:space="preserve"> </t>
  </si>
  <si>
    <t>Conference + training</t>
  </si>
  <si>
    <t>27/04 - 02/05/2014</t>
  </si>
  <si>
    <t>06-13/04/2014</t>
  </si>
  <si>
    <t>22-24/04/2014</t>
  </si>
  <si>
    <t>13-17/04/2014</t>
  </si>
  <si>
    <t>DSA</t>
  </si>
  <si>
    <t>Malaysia</t>
  </si>
  <si>
    <t>13-18/04/2014</t>
  </si>
  <si>
    <t>06-10/04/2014</t>
  </si>
  <si>
    <t>POC</t>
  </si>
  <si>
    <t>Kuwait</t>
  </si>
  <si>
    <t>Bahrein</t>
  </si>
  <si>
    <t>Honduras</t>
  </si>
  <si>
    <t>26/04 - 03/05/2014</t>
  </si>
  <si>
    <t>Tassa Aeroportuale</t>
  </si>
  <si>
    <t>Visto + Bagaglio aggiuntivo</t>
  </si>
  <si>
    <t>21-24/04/2014</t>
  </si>
  <si>
    <t>Support</t>
  </si>
  <si>
    <t>27-30/04/2014</t>
  </si>
  <si>
    <t>Visto + fototessere</t>
  </si>
  <si>
    <t>21-23/04/2014</t>
  </si>
  <si>
    <t>Korea</t>
  </si>
  <si>
    <t>Autobus</t>
  </si>
  <si>
    <t>26/04 - 08/05/2014</t>
  </si>
  <si>
    <t>Egitto - Saudi</t>
  </si>
  <si>
    <t>Valleri</t>
  </si>
  <si>
    <t>Cornelli</t>
  </si>
  <si>
    <t>Ornaghi</t>
  </si>
  <si>
    <t>(annullato)</t>
  </si>
  <si>
    <t>Hotel+Extra</t>
  </si>
  <si>
    <t>Thailandia</t>
  </si>
  <si>
    <t>Spedizione stand</t>
  </si>
  <si>
    <t>19-21/05/2014</t>
  </si>
  <si>
    <t>Pozzi</t>
  </si>
  <si>
    <t>25-27/05/2014</t>
  </si>
  <si>
    <t>Fiera</t>
  </si>
  <si>
    <t>Sydney</t>
  </si>
  <si>
    <t>06-07/05/2014</t>
  </si>
  <si>
    <t xml:space="preserve">Moldavia </t>
  </si>
  <si>
    <t>(annullata)</t>
  </si>
  <si>
    <t>07-09/05/2014</t>
  </si>
  <si>
    <t>04-18/05/2014</t>
  </si>
  <si>
    <t xml:space="preserve">Paraguay </t>
  </si>
  <si>
    <t>Chile</t>
  </si>
  <si>
    <t>05-08/05/2014</t>
  </si>
  <si>
    <t>Demo/Follow up</t>
  </si>
  <si>
    <t>Abu Dhabi</t>
  </si>
  <si>
    <t>12-14/05/2014</t>
  </si>
  <si>
    <t>Arabia Saudita</t>
  </si>
  <si>
    <t>26-28/05/2014</t>
  </si>
  <si>
    <t>Hotel Extra</t>
  </si>
  <si>
    <t>12-17/05/2014</t>
  </si>
  <si>
    <t>27-29/05/2014</t>
  </si>
  <si>
    <t xml:space="preserve">Meeting </t>
  </si>
  <si>
    <t>Israele</t>
  </si>
  <si>
    <t>Uruguay</t>
  </si>
  <si>
    <t>25/05 -03/06/2014</t>
  </si>
  <si>
    <t>Panama</t>
  </si>
  <si>
    <t>06/05-08/05/2014</t>
  </si>
  <si>
    <t>19-20/05/2014</t>
  </si>
  <si>
    <t>Moldavia</t>
  </si>
  <si>
    <t>Hotel + Pickup</t>
  </si>
  <si>
    <t>Pardo</t>
  </si>
  <si>
    <t xml:space="preserve">Hotel + Pickup </t>
  </si>
  <si>
    <t>Romeo</t>
  </si>
  <si>
    <t>03-05/06/2014</t>
  </si>
  <si>
    <t>ISS</t>
  </si>
  <si>
    <t>Praga</t>
  </si>
  <si>
    <t>CyberWarfare Conf.</t>
  </si>
  <si>
    <t>16-19/06/2014</t>
  </si>
  <si>
    <t xml:space="preserve">IDEC </t>
  </si>
  <si>
    <t>Hotel (annullato)</t>
  </si>
  <si>
    <t>10-13/06/2014</t>
  </si>
  <si>
    <t>Chingkinwah</t>
  </si>
  <si>
    <t>Volo (annullato)</t>
  </si>
  <si>
    <t>11-19/06/2014</t>
  </si>
  <si>
    <t>Istanbul Card</t>
  </si>
  <si>
    <t>07-22/06/2014</t>
  </si>
  <si>
    <t>Visto + assicurazione</t>
  </si>
  <si>
    <t>22-23/06/2014</t>
  </si>
  <si>
    <t>Hotel + Hotel Milano</t>
  </si>
  <si>
    <t>17-20/06/2014</t>
  </si>
  <si>
    <t>29/06 - 05/07/2014</t>
  </si>
  <si>
    <t>16-18/06/2014</t>
  </si>
  <si>
    <t>Treno Milano (NO FIERA)</t>
  </si>
  <si>
    <t>Hotel + pickup</t>
  </si>
  <si>
    <t>23-24/06/2014</t>
  </si>
  <si>
    <t>Busatto</t>
  </si>
  <si>
    <t>Cattani</t>
  </si>
  <si>
    <t>Hotel (penale)</t>
  </si>
  <si>
    <t>Treno (no CWT)</t>
  </si>
  <si>
    <t>20-23/06/2014</t>
  </si>
  <si>
    <t>Levi</t>
  </si>
  <si>
    <t>Non addebitato</t>
  </si>
  <si>
    <t>15-17/07/2014</t>
  </si>
  <si>
    <t>Johannesburg</t>
  </si>
  <si>
    <t>Hotel (richiesto storno)</t>
  </si>
  <si>
    <t xml:space="preserve">Volo </t>
  </si>
  <si>
    <t>07-08/07/2014</t>
  </si>
  <si>
    <t>02-04/07/2014</t>
  </si>
  <si>
    <t>CDA</t>
  </si>
  <si>
    <t>13-18/07/2014</t>
  </si>
  <si>
    <t>20-23/07/2014</t>
  </si>
  <si>
    <t>Cantù</t>
  </si>
  <si>
    <t>07-10/07/2014</t>
  </si>
  <si>
    <t>20-24/07/2014</t>
  </si>
  <si>
    <t>Cile/Colombia</t>
  </si>
  <si>
    <t>23-24/07/2014</t>
  </si>
  <si>
    <t>Invernizzi</t>
  </si>
  <si>
    <t>31/07 - 01/08/2014</t>
  </si>
  <si>
    <t>Polonia</t>
  </si>
  <si>
    <t>29/07 - 01/08/2014</t>
  </si>
  <si>
    <t>20-25/07/2014</t>
  </si>
  <si>
    <t>05-08/08/2014</t>
  </si>
  <si>
    <t>NATIA</t>
  </si>
  <si>
    <t>08-15/08/2014</t>
  </si>
  <si>
    <t>10-15/08/2014</t>
  </si>
  <si>
    <t>04-07/08/2014</t>
  </si>
  <si>
    <t>13-14/08/2014</t>
  </si>
  <si>
    <t>20-26/08/2014</t>
  </si>
  <si>
    <t>13-15/08/2014</t>
  </si>
  <si>
    <t>Hotel annullato</t>
  </si>
  <si>
    <t>Qatar</t>
  </si>
  <si>
    <t>01-04/08/2014</t>
  </si>
  <si>
    <t>Blackhat</t>
  </si>
  <si>
    <t>13-16/08/2014</t>
  </si>
  <si>
    <t>Meeting room + extra</t>
  </si>
  <si>
    <t>Hotel stornato</t>
  </si>
  <si>
    <t>18-21/08/2014</t>
  </si>
  <si>
    <t>Hotel da addebitare eur 339,48</t>
  </si>
  <si>
    <t>Hotel + meeting room</t>
  </si>
  <si>
    <t xml:space="preserve">Volo annullato </t>
  </si>
  <si>
    <t>17-19/09/2014</t>
  </si>
  <si>
    <t>Spagna</t>
  </si>
  <si>
    <t>02-04/09/2014</t>
  </si>
  <si>
    <t>Demo + Training</t>
  </si>
  <si>
    <t>15-17/09/2014</t>
  </si>
  <si>
    <t>02-05/09/2014</t>
  </si>
  <si>
    <t>Upgrade</t>
  </si>
  <si>
    <t>09-11/09/2014</t>
  </si>
  <si>
    <t>13-18/09/2014</t>
  </si>
  <si>
    <t>Hotel (pag.to da Furlan)</t>
  </si>
  <si>
    <t>08-14/09/2014</t>
  </si>
  <si>
    <t>(Clienti Egitto)</t>
  </si>
  <si>
    <t>21-26/09/2014</t>
  </si>
  <si>
    <t>Extra Hotel + Meeting Room</t>
  </si>
  <si>
    <t>27/09 - 04/10/2014</t>
  </si>
  <si>
    <t>Francia</t>
  </si>
  <si>
    <t>21-27/09/2014</t>
  </si>
  <si>
    <t>16-19/09/2014</t>
  </si>
  <si>
    <t>Hotel + transfer</t>
  </si>
  <si>
    <t>ISS Washington</t>
  </si>
  <si>
    <t>Rabe</t>
  </si>
  <si>
    <t>691,68-25,3</t>
  </si>
  <si>
    <t>Noleggio auto</t>
  </si>
  <si>
    <t>Hotel Roma</t>
  </si>
  <si>
    <t>Treno Roma</t>
  </si>
  <si>
    <t>15-17/10/2014</t>
  </si>
  <si>
    <t>SEECAT</t>
  </si>
  <si>
    <t>Giappone</t>
  </si>
  <si>
    <t>20-22/10/2014</t>
  </si>
  <si>
    <t>MILIPOL</t>
  </si>
  <si>
    <t>23-24/10/2014</t>
  </si>
  <si>
    <t>Latin America &amp; Carribean Sec. Summit</t>
  </si>
  <si>
    <t>26-28/10/2014</t>
  </si>
  <si>
    <t>IACP</t>
  </si>
  <si>
    <t>07-08/10/2014</t>
  </si>
  <si>
    <t>Hotel (da stornare)</t>
  </si>
  <si>
    <t>Intelligence Service Conference</t>
  </si>
  <si>
    <t>Germany</t>
  </si>
  <si>
    <t>22-25/09/2014</t>
  </si>
  <si>
    <t>28-30/09/2014</t>
  </si>
  <si>
    <t>Extra Hotel Milan, Russo, Vincenzetti</t>
  </si>
  <si>
    <t>10-11/10/2014</t>
  </si>
  <si>
    <t>13-16/10/2014</t>
  </si>
  <si>
    <t>16-23/10/2014</t>
  </si>
  <si>
    <t>07-10/10/2014</t>
  </si>
  <si>
    <t>Training Clienti Egitto</t>
  </si>
  <si>
    <t>24-27/10/2014</t>
  </si>
  <si>
    <t>13-17/10/2014</t>
  </si>
  <si>
    <t>Meeting HQ</t>
  </si>
  <si>
    <t xml:space="preserve">Autostrada </t>
  </si>
  <si>
    <t>Noleggio Auto</t>
  </si>
  <si>
    <t>Hotel + meeting room + extra</t>
  </si>
  <si>
    <t>Meeting room</t>
  </si>
  <si>
    <t>Extra (Russo, Velasco, Vincenzetti)</t>
  </si>
  <si>
    <t>29-30/10/2014</t>
  </si>
  <si>
    <t xml:space="preserve">Cyberwarfare </t>
  </si>
  <si>
    <t>Extra Vari (Fatture fiera)</t>
  </si>
  <si>
    <t>Treno a/r Roma</t>
  </si>
  <si>
    <t>Hotel Stornato</t>
  </si>
  <si>
    <t>Cirulli</t>
  </si>
  <si>
    <t>Saldana</t>
  </si>
  <si>
    <t>ISS Washington + meeting New York</t>
  </si>
  <si>
    <t>Hotel NY</t>
  </si>
  <si>
    <t>Gottardi</t>
  </si>
  <si>
    <t>Volo (No Fiera)</t>
  </si>
  <si>
    <t>Kirtland</t>
  </si>
  <si>
    <t>Peeters</t>
  </si>
  <si>
    <t>28-29/10/2014</t>
  </si>
  <si>
    <t>Martinez</t>
  </si>
  <si>
    <t>Hotel + pickup da stornare</t>
  </si>
  <si>
    <t>08-22/11/2014</t>
  </si>
  <si>
    <t>04-08/11/2014</t>
  </si>
  <si>
    <t>Indodefence</t>
  </si>
  <si>
    <t>Indonesia</t>
  </si>
  <si>
    <t>17-18/11/2014</t>
  </si>
  <si>
    <t>25-27/11/2014</t>
  </si>
  <si>
    <t>Bulgaria</t>
  </si>
  <si>
    <t>02-08/11/2014</t>
  </si>
  <si>
    <t>Interpol</t>
  </si>
  <si>
    <t>Italy</t>
  </si>
  <si>
    <t>03-05/11/2014</t>
  </si>
  <si>
    <t>Morocco</t>
  </si>
  <si>
    <t>14-21/11/2014</t>
  </si>
  <si>
    <t>Delivery/Training</t>
  </si>
  <si>
    <t>17-21/11/2014</t>
  </si>
  <si>
    <t>Brazil</t>
  </si>
  <si>
    <t>29-31/10/2014</t>
  </si>
  <si>
    <t>Expodefensa Summit</t>
  </si>
  <si>
    <t>09-15/11/2014</t>
  </si>
  <si>
    <t>15-22/11/2014</t>
  </si>
  <si>
    <t>23-26/11/2014</t>
  </si>
  <si>
    <t>Canada</t>
  </si>
  <si>
    <t>03-10/11/2014</t>
  </si>
  <si>
    <t>07-13/11/2014</t>
  </si>
  <si>
    <t>Oman</t>
  </si>
  <si>
    <t>Gara</t>
  </si>
  <si>
    <t>Extra Vari (Visto)</t>
  </si>
  <si>
    <t>Minivan</t>
  </si>
  <si>
    <t>Switzerland</t>
  </si>
  <si>
    <t>29/11 - 01/12/2014</t>
  </si>
  <si>
    <t>Egypt</t>
  </si>
  <si>
    <t>25-26/11/2014</t>
  </si>
  <si>
    <t>Transfer clienti</t>
  </si>
  <si>
    <t>Australia</t>
  </si>
  <si>
    <t>Rome</t>
  </si>
  <si>
    <t>01-03/12/2014</t>
  </si>
  <si>
    <t>Eurostar Conference</t>
  </si>
  <si>
    <t>Ireland</t>
  </si>
  <si>
    <t>03-04/12/2014</t>
  </si>
  <si>
    <t>ISS Kuala Lumpur</t>
  </si>
  <si>
    <t>Meeting Polizia Genova</t>
  </si>
  <si>
    <t>Kazakistan</t>
  </si>
  <si>
    <t>09-12/12/2014</t>
  </si>
  <si>
    <t>17-23/12/2014</t>
  </si>
  <si>
    <t>02-06/12/2014</t>
  </si>
  <si>
    <t>13-19/12/2014</t>
  </si>
  <si>
    <t>08-12/12/2014</t>
  </si>
  <si>
    <t>13-21/12/2014</t>
  </si>
  <si>
    <t>14-17/12/2014</t>
  </si>
  <si>
    <t>Repubblica Dominicana</t>
  </si>
  <si>
    <t>Meeting Room</t>
  </si>
  <si>
    <t>Italy - AREA</t>
  </si>
  <si>
    <t>VISTI SAUDI</t>
  </si>
  <si>
    <t>Czech Republic</t>
  </si>
  <si>
    <t>Gallucci</t>
  </si>
  <si>
    <t>Tarissi</t>
  </si>
  <si>
    <t>Meeting (annullato)</t>
  </si>
  <si>
    <t>Vinci</t>
  </si>
  <si>
    <t xml:space="preserve">Auto con conducente </t>
  </si>
  <si>
    <t>Hotel + Extra (123,53 da stornare)</t>
  </si>
  <si>
    <t>Treno (100 da stornare)</t>
  </si>
  <si>
    <t>Volo (penale)</t>
  </si>
  <si>
    <t>Hotel da stornare</t>
  </si>
  <si>
    <t>15-16/12/2014</t>
  </si>
  <si>
    <t>Hall</t>
  </si>
  <si>
    <t>21-22/12/2014</t>
  </si>
  <si>
    <t>Hotel + Transfer</t>
  </si>
  <si>
    <t>Corso</t>
  </si>
  <si>
    <t>Bologna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</si>
</sst>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8" fontId="0" fillId="0" borderId="3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8" fontId="2" fillId="0" borderId="8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opLeftCell="A55" workbookViewId="0">
      <selection activeCell="H90" sqref="H90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11" s="1" customFormat="1">
      <c r="A2" s="43">
        <v>41642</v>
      </c>
      <c r="B2" s="8" t="s">
        <v>79</v>
      </c>
      <c r="C2" s="8" t="s">
        <v>9</v>
      </c>
      <c r="D2" s="14">
        <f>107</f>
        <v>107</v>
      </c>
      <c r="E2" s="15" t="s">
        <v>16</v>
      </c>
      <c r="F2" s="25">
        <f>246</f>
        <v>246</v>
      </c>
      <c r="G2" s="21" t="s">
        <v>32</v>
      </c>
      <c r="H2" s="29">
        <v>507.6</v>
      </c>
      <c r="I2" s="5" t="s">
        <v>67</v>
      </c>
    </row>
    <row r="3" spans="1:11" s="1" customFormat="1">
      <c r="A3" s="10"/>
      <c r="B3" s="37" t="s">
        <v>80</v>
      </c>
      <c r="C3" s="9"/>
      <c r="D3" s="16">
        <f>36.31</f>
        <v>36.31</v>
      </c>
      <c r="E3" s="17" t="s">
        <v>14</v>
      </c>
      <c r="F3" s="26"/>
      <c r="G3" s="22"/>
      <c r="H3" s="30">
        <v>293.31</v>
      </c>
      <c r="I3" s="6" t="s">
        <v>45</v>
      </c>
    </row>
    <row r="4" spans="1:11" s="1" customFormat="1">
      <c r="A4" s="9"/>
      <c r="B4" s="9"/>
      <c r="C4" s="10"/>
      <c r="D4" s="16"/>
      <c r="E4" s="17"/>
      <c r="F4" s="26"/>
      <c r="G4" s="22"/>
      <c r="H4" s="30"/>
      <c r="I4" s="6"/>
      <c r="K4" s="38"/>
    </row>
    <row r="5" spans="1:11" s="1" customFormat="1">
      <c r="A5" s="10"/>
      <c r="B5" s="13"/>
      <c r="C5" s="9"/>
      <c r="D5" s="16"/>
      <c r="E5" s="17"/>
      <c r="F5" s="26"/>
      <c r="G5" s="22"/>
      <c r="H5" s="30"/>
      <c r="I5" s="6"/>
      <c r="K5" s="38"/>
    </row>
    <row r="6" spans="1:11" s="1" customFormat="1">
      <c r="A6" s="10"/>
      <c r="B6" s="13"/>
      <c r="C6" s="9" t="s">
        <v>10</v>
      </c>
      <c r="D6" s="16">
        <f>19.6+26.44</f>
        <v>46.040000000000006</v>
      </c>
      <c r="E6" s="17" t="s">
        <v>16</v>
      </c>
      <c r="F6" s="26">
        <f>246</f>
        <v>246</v>
      </c>
      <c r="G6" s="22" t="s">
        <v>32</v>
      </c>
      <c r="H6" s="30"/>
      <c r="I6" s="6"/>
      <c r="K6" s="38"/>
    </row>
    <row r="7" spans="1:11" s="1" customFormat="1">
      <c r="A7" s="10"/>
      <c r="B7" s="13"/>
      <c r="C7" s="9"/>
      <c r="D7" s="16">
        <v>8</v>
      </c>
      <c r="E7" s="17" t="s">
        <v>14</v>
      </c>
      <c r="F7" s="26"/>
      <c r="G7" s="22"/>
      <c r="H7" s="30"/>
      <c r="I7" s="6"/>
    </row>
    <row r="8" spans="1:11" s="1" customFormat="1">
      <c r="A8" s="10"/>
      <c r="B8" s="13"/>
      <c r="C8" s="9"/>
      <c r="D8" s="16"/>
      <c r="E8" s="17"/>
      <c r="F8" s="26"/>
      <c r="G8" s="22"/>
      <c r="H8" s="30"/>
      <c r="I8" s="6"/>
    </row>
    <row r="9" spans="1:11" s="1" customFormat="1">
      <c r="A9" s="11" t="s">
        <v>4</v>
      </c>
      <c r="B9" s="10"/>
      <c r="C9" s="10"/>
      <c r="D9" s="18">
        <f>SUM(D2:D8)</f>
        <v>197.35000000000002</v>
      </c>
      <c r="E9" s="6"/>
      <c r="F9" s="27">
        <f>SUM(F2:F8)</f>
        <v>492</v>
      </c>
      <c r="G9" s="23"/>
      <c r="H9" s="31">
        <f>SUM(H2:H8)</f>
        <v>800.91000000000008</v>
      </c>
      <c r="I9" s="2"/>
    </row>
    <row r="10" spans="1:11" s="1" customFormat="1" ht="15.75" thickBot="1">
      <c r="A10" s="12" t="s">
        <v>5</v>
      </c>
      <c r="B10" s="34">
        <f>SUM(D9+F9+H9)</f>
        <v>1490.2600000000002</v>
      </c>
      <c r="C10" s="33"/>
      <c r="D10" s="19"/>
      <c r="E10" s="20"/>
      <c r="F10" s="28"/>
      <c r="G10" s="24"/>
      <c r="H10" s="32"/>
      <c r="I10" s="3"/>
    </row>
    <row r="11" spans="1:11" s="1" customFormat="1">
      <c r="A11" s="8" t="s">
        <v>26</v>
      </c>
      <c r="B11" s="8" t="s">
        <v>27</v>
      </c>
      <c r="C11" s="8" t="s">
        <v>20</v>
      </c>
      <c r="D11" s="14">
        <f>22.95</f>
        <v>22.95</v>
      </c>
      <c r="E11" s="15" t="s">
        <v>16</v>
      </c>
      <c r="F11" s="25"/>
      <c r="G11" s="21"/>
      <c r="H11" s="29">
        <f>325.45</f>
        <v>325.45</v>
      </c>
      <c r="I11" s="5" t="s">
        <v>67</v>
      </c>
    </row>
    <row r="12" spans="1:11" s="1" customFormat="1">
      <c r="A12" s="10"/>
      <c r="B12" s="37" t="s">
        <v>28</v>
      </c>
      <c r="C12" s="9"/>
      <c r="D12" s="16">
        <f>89</f>
        <v>89</v>
      </c>
      <c r="E12" s="17" t="s">
        <v>14</v>
      </c>
      <c r="F12" s="26"/>
      <c r="G12" s="22"/>
      <c r="H12" s="30">
        <f>737.5</f>
        <v>737.5</v>
      </c>
      <c r="I12" s="6" t="s">
        <v>45</v>
      </c>
    </row>
    <row r="13" spans="1:11" s="1" customFormat="1">
      <c r="A13" s="9"/>
      <c r="B13" s="9"/>
      <c r="C13" s="10"/>
      <c r="D13" s="16">
        <v>30</v>
      </c>
      <c r="E13" s="17" t="s">
        <v>29</v>
      </c>
      <c r="F13" s="26"/>
      <c r="G13" s="22"/>
      <c r="H13" s="30"/>
      <c r="I13" s="6"/>
      <c r="K13" s="38"/>
    </row>
    <row r="14" spans="1:11" s="1" customFormat="1">
      <c r="A14" s="10"/>
      <c r="B14" s="13"/>
      <c r="C14" s="9"/>
      <c r="D14" s="16"/>
      <c r="E14" s="17"/>
      <c r="F14" s="26"/>
      <c r="G14" s="22"/>
      <c r="H14" s="30"/>
      <c r="I14" s="6"/>
      <c r="K14" s="38"/>
    </row>
    <row r="15" spans="1:11" s="1" customFormat="1">
      <c r="A15" s="10"/>
      <c r="B15" s="13"/>
      <c r="C15" s="9" t="s">
        <v>11</v>
      </c>
      <c r="D15" s="16">
        <f>107.24+21.47</f>
        <v>128.70999999999998</v>
      </c>
      <c r="E15" s="17" t="s">
        <v>16</v>
      </c>
      <c r="F15" s="26">
        <v>13.8</v>
      </c>
      <c r="G15" s="22" t="s">
        <v>31</v>
      </c>
      <c r="H15" s="30">
        <f>1581.13</f>
        <v>1581.13</v>
      </c>
      <c r="I15" s="6" t="s">
        <v>67</v>
      </c>
      <c r="K15" s="38"/>
    </row>
    <row r="16" spans="1:11" s="1" customFormat="1">
      <c r="A16" s="10"/>
      <c r="B16" s="13"/>
      <c r="C16" s="9"/>
      <c r="D16" s="16">
        <f>29.8+258.3</f>
        <v>288.10000000000002</v>
      </c>
      <c r="E16" s="17" t="s">
        <v>14</v>
      </c>
      <c r="F16" s="26">
        <v>20</v>
      </c>
      <c r="G16" s="22" t="s">
        <v>18</v>
      </c>
      <c r="H16" s="30">
        <f>737.5</f>
        <v>737.5</v>
      </c>
      <c r="I16" s="6" t="s">
        <v>45</v>
      </c>
    </row>
    <row r="17" spans="1:11" s="1" customFormat="1">
      <c r="A17" s="10"/>
      <c r="B17" s="13"/>
      <c r="C17" s="9"/>
      <c r="D17" s="16">
        <f>8.68</f>
        <v>8.68</v>
      </c>
      <c r="E17" s="17" t="s">
        <v>29</v>
      </c>
      <c r="F17" s="26"/>
      <c r="G17" s="22"/>
      <c r="H17" s="30">
        <v>3</v>
      </c>
      <c r="I17" s="6" t="s">
        <v>15</v>
      </c>
    </row>
    <row r="18" spans="1:11" s="1" customFormat="1">
      <c r="A18" s="9"/>
      <c r="B18" s="9"/>
      <c r="C18" s="10"/>
      <c r="D18" s="16"/>
      <c r="E18" s="17"/>
      <c r="F18" s="26"/>
      <c r="G18" s="22"/>
      <c r="H18" s="30"/>
      <c r="I18" s="6"/>
      <c r="K18" s="39"/>
    </row>
    <row r="19" spans="1:11" s="1" customFormat="1">
      <c r="A19" s="9"/>
      <c r="B19" s="9"/>
      <c r="C19" s="10" t="s">
        <v>77</v>
      </c>
      <c r="D19" s="16">
        <f>269</f>
        <v>269</v>
      </c>
      <c r="E19" s="17" t="s">
        <v>16</v>
      </c>
      <c r="F19" s="26">
        <f>200</f>
        <v>200</v>
      </c>
      <c r="G19" s="22" t="s">
        <v>32</v>
      </c>
      <c r="H19" s="30">
        <f>699.22</f>
        <v>699.22</v>
      </c>
      <c r="I19" s="6" t="s">
        <v>67</v>
      </c>
      <c r="K19" s="39"/>
    </row>
    <row r="20" spans="1:11" s="1" customFormat="1">
      <c r="A20" s="9"/>
      <c r="B20" s="9"/>
      <c r="C20" s="10"/>
      <c r="D20" s="16">
        <f>219.9</f>
        <v>219.9</v>
      </c>
      <c r="E20" s="17" t="s">
        <v>14</v>
      </c>
      <c r="F20" s="26">
        <f>1.5</f>
        <v>1.5</v>
      </c>
      <c r="G20" s="22" t="s">
        <v>31</v>
      </c>
      <c r="H20" s="30">
        <f>737.5</f>
        <v>737.5</v>
      </c>
      <c r="I20" s="6" t="s">
        <v>45</v>
      </c>
      <c r="K20" s="39"/>
    </row>
    <row r="21" spans="1:11" s="1" customFormat="1">
      <c r="A21" s="9"/>
      <c r="B21" s="9"/>
      <c r="C21" s="10"/>
      <c r="D21" s="16"/>
      <c r="E21" s="17"/>
      <c r="F21" s="26"/>
      <c r="G21" s="22"/>
      <c r="H21" s="30"/>
      <c r="I21" s="6"/>
      <c r="K21" s="39"/>
    </row>
    <row r="22" spans="1:11" s="1" customFormat="1">
      <c r="A22" s="9"/>
      <c r="B22" s="9"/>
      <c r="C22" s="10" t="s">
        <v>12</v>
      </c>
      <c r="D22" s="16">
        <f>3.93+151.65</f>
        <v>155.58000000000001</v>
      </c>
      <c r="E22" s="17" t="s">
        <v>16</v>
      </c>
      <c r="F22" s="26">
        <f>11</f>
        <v>11</v>
      </c>
      <c r="G22" s="22" t="s">
        <v>32</v>
      </c>
      <c r="H22" s="30">
        <f>565.65+291</f>
        <v>856.65</v>
      </c>
      <c r="I22" s="6" t="s">
        <v>67</v>
      </c>
      <c r="K22" s="39"/>
    </row>
    <row r="23" spans="1:11" s="1" customFormat="1">
      <c r="A23" s="9"/>
      <c r="B23" s="9"/>
      <c r="C23" s="10"/>
      <c r="D23" s="16">
        <f>181.8</f>
        <v>181.8</v>
      </c>
      <c r="E23" s="17" t="s">
        <v>14</v>
      </c>
      <c r="F23" s="26"/>
      <c r="G23" s="22"/>
      <c r="H23" s="30">
        <f>737.5</f>
        <v>737.5</v>
      </c>
      <c r="I23" s="6" t="s">
        <v>45</v>
      </c>
      <c r="K23" s="39"/>
    </row>
    <row r="24" spans="1:11" s="1" customFormat="1">
      <c r="A24" s="9"/>
      <c r="B24" s="9"/>
      <c r="C24" s="10"/>
      <c r="D24" s="16">
        <f>49</f>
        <v>49</v>
      </c>
      <c r="E24" s="17" t="s">
        <v>29</v>
      </c>
      <c r="F24" s="26"/>
      <c r="G24" s="22"/>
      <c r="H24" s="30">
        <f>32</f>
        <v>32</v>
      </c>
      <c r="I24" s="6" t="s">
        <v>15</v>
      </c>
      <c r="K24" s="39"/>
    </row>
    <row r="25" spans="1:11" s="1" customFormat="1">
      <c r="A25" s="9"/>
      <c r="B25" s="9"/>
      <c r="C25" s="10"/>
      <c r="D25" s="16"/>
      <c r="E25" s="17"/>
      <c r="F25" s="26"/>
      <c r="G25" s="22"/>
      <c r="H25" s="30"/>
      <c r="I25" s="6"/>
      <c r="K25" s="39"/>
    </row>
    <row r="26" spans="1:11" s="1" customFormat="1">
      <c r="A26" s="9"/>
      <c r="B26" s="9"/>
      <c r="C26" s="10" t="s">
        <v>76</v>
      </c>
      <c r="D26" s="16">
        <f>148.4</f>
        <v>148.4</v>
      </c>
      <c r="E26" s="17" t="s">
        <v>16</v>
      </c>
      <c r="F26" s="26"/>
      <c r="G26" s="22"/>
      <c r="H26" s="30"/>
      <c r="I26" s="6"/>
      <c r="K26" s="39"/>
    </row>
    <row r="27" spans="1:11" s="1" customFormat="1">
      <c r="A27" s="9"/>
      <c r="B27" s="9"/>
      <c r="C27" s="10"/>
      <c r="D27" s="16"/>
      <c r="E27" s="17"/>
      <c r="F27" s="26"/>
      <c r="G27" s="22"/>
      <c r="H27" s="30"/>
      <c r="I27" s="6"/>
      <c r="K27" s="39"/>
    </row>
    <row r="28" spans="1:11" s="1" customFormat="1">
      <c r="A28" s="9"/>
      <c r="B28" s="9"/>
      <c r="C28" s="10" t="s">
        <v>9</v>
      </c>
      <c r="D28" s="16">
        <v>290</v>
      </c>
      <c r="E28" s="17" t="s">
        <v>16</v>
      </c>
      <c r="F28" s="26"/>
      <c r="G28" s="22"/>
      <c r="H28" s="30"/>
      <c r="I28" s="6"/>
      <c r="K28" s="39"/>
    </row>
    <row r="29" spans="1:11" s="1" customFormat="1">
      <c r="A29" s="9"/>
      <c r="B29" s="9"/>
      <c r="C29" s="9"/>
      <c r="D29" s="16"/>
      <c r="E29" s="17"/>
      <c r="F29" s="26"/>
      <c r="G29" s="22"/>
      <c r="H29" s="30"/>
      <c r="I29" s="2"/>
      <c r="K29" s="4"/>
    </row>
    <row r="30" spans="1:11" s="1" customFormat="1">
      <c r="A30" s="11" t="s">
        <v>4</v>
      </c>
      <c r="B30" s="10"/>
      <c r="C30" s="10"/>
      <c r="D30" s="18">
        <f>SUM(D11:D29)</f>
        <v>1881.12</v>
      </c>
      <c r="E30" s="6"/>
      <c r="F30" s="27">
        <f>SUM(F11:F29)</f>
        <v>246.3</v>
      </c>
      <c r="G30" s="23"/>
      <c r="H30" s="31">
        <f>SUM(H11:H29)</f>
        <v>6447.45</v>
      </c>
      <c r="I30" s="2"/>
    </row>
    <row r="31" spans="1:11" s="1" customFormat="1" ht="15.75" thickBot="1">
      <c r="A31" s="12" t="s">
        <v>5</v>
      </c>
      <c r="B31" s="34">
        <f>SUM(D30+F30+H30)</f>
        <v>8574.869999999999</v>
      </c>
      <c r="C31" s="33"/>
      <c r="D31" s="19"/>
      <c r="E31" s="20"/>
      <c r="F31" s="28"/>
      <c r="G31" s="24"/>
      <c r="H31" s="32"/>
      <c r="I31" s="3"/>
    </row>
    <row r="32" spans="1:11" s="1" customFormat="1">
      <c r="A32" s="8" t="s">
        <v>68</v>
      </c>
      <c r="B32" s="8" t="s">
        <v>55</v>
      </c>
      <c r="C32" s="8" t="s">
        <v>70</v>
      </c>
      <c r="D32" s="14">
        <f>15.1</f>
        <v>15.1</v>
      </c>
      <c r="E32" s="15" t="s">
        <v>16</v>
      </c>
      <c r="F32" s="25">
        <f>9.19</f>
        <v>9.19</v>
      </c>
      <c r="G32" s="21" t="s">
        <v>42</v>
      </c>
      <c r="H32" s="29">
        <v>507.6</v>
      </c>
      <c r="I32" s="5" t="s">
        <v>67</v>
      </c>
    </row>
    <row r="33" spans="1:11" s="1" customFormat="1">
      <c r="A33" s="10"/>
      <c r="B33" s="37" t="s">
        <v>69</v>
      </c>
      <c r="C33" s="9"/>
      <c r="D33" s="16">
        <f>95</f>
        <v>95</v>
      </c>
      <c r="E33" s="17" t="s">
        <v>14</v>
      </c>
      <c r="F33" s="26"/>
      <c r="G33" s="22"/>
      <c r="H33" s="30">
        <v>293.31</v>
      </c>
      <c r="I33" s="6" t="s">
        <v>45</v>
      </c>
    </row>
    <row r="34" spans="1:11" s="1" customFormat="1">
      <c r="A34" s="9"/>
      <c r="B34" s="9"/>
      <c r="C34" s="10"/>
      <c r="D34" s="16"/>
      <c r="E34" s="17"/>
      <c r="F34" s="26"/>
      <c r="G34" s="22"/>
      <c r="H34" s="30">
        <f>17.61</f>
        <v>17.61</v>
      </c>
      <c r="I34" s="6" t="s">
        <v>15</v>
      </c>
      <c r="K34" s="38"/>
    </row>
    <row r="35" spans="1:11" s="1" customFormat="1">
      <c r="A35" s="10"/>
      <c r="B35" s="13"/>
      <c r="C35" s="9"/>
      <c r="D35" s="16"/>
      <c r="E35" s="17"/>
      <c r="F35" s="26"/>
      <c r="G35" s="22"/>
      <c r="H35" s="30"/>
      <c r="I35" s="6"/>
      <c r="K35" s="38"/>
    </row>
    <row r="36" spans="1:11" s="1" customFormat="1">
      <c r="A36" s="10"/>
      <c r="B36" s="13"/>
      <c r="C36" s="9" t="s">
        <v>71</v>
      </c>
      <c r="D36" s="16">
        <f>13.5</f>
        <v>13.5</v>
      </c>
      <c r="E36" s="17" t="s">
        <v>16</v>
      </c>
      <c r="F36" s="26">
        <f>5.6</f>
        <v>5.6</v>
      </c>
      <c r="G36" s="22" t="s">
        <v>50</v>
      </c>
      <c r="H36" s="30">
        <f>472.6</f>
        <v>472.6</v>
      </c>
      <c r="I36" s="6" t="s">
        <v>67</v>
      </c>
      <c r="K36" s="38"/>
    </row>
    <row r="37" spans="1:11" s="1" customFormat="1">
      <c r="A37" s="10"/>
      <c r="B37" s="13"/>
      <c r="C37" s="9"/>
      <c r="D37" s="16">
        <f>131.41</f>
        <v>131.41</v>
      </c>
      <c r="E37" s="17" t="s">
        <v>14</v>
      </c>
      <c r="F37" s="26"/>
      <c r="G37" s="22"/>
      <c r="H37" s="30">
        <v>293.31</v>
      </c>
      <c r="I37" s="6" t="s">
        <v>45</v>
      </c>
    </row>
    <row r="38" spans="1:11" s="1" customFormat="1">
      <c r="A38" s="10"/>
      <c r="B38" s="13"/>
      <c r="C38" s="9"/>
      <c r="D38" s="16"/>
      <c r="E38" s="17"/>
      <c r="F38" s="26"/>
      <c r="G38" s="22"/>
      <c r="H38" s="30">
        <f>130.39</f>
        <v>130.38999999999999</v>
      </c>
      <c r="I38" s="6" t="s">
        <v>15</v>
      </c>
    </row>
    <row r="39" spans="1:11" s="1" customFormat="1">
      <c r="A39" s="9"/>
      <c r="B39" s="9"/>
      <c r="C39" s="9"/>
      <c r="D39" s="16"/>
      <c r="E39" s="17"/>
      <c r="F39" s="26"/>
      <c r="G39" s="22"/>
      <c r="H39" s="30"/>
      <c r="I39" s="2"/>
      <c r="K39" s="4"/>
    </row>
    <row r="40" spans="1:11" s="1" customFormat="1">
      <c r="A40" s="11" t="s">
        <v>4</v>
      </c>
      <c r="B40" s="10"/>
      <c r="C40" s="10"/>
      <c r="D40" s="18">
        <f>SUM(D32:D39)</f>
        <v>255.01</v>
      </c>
      <c r="E40" s="6"/>
      <c r="F40" s="27">
        <f>SUM(F32:F39)</f>
        <v>14.79</v>
      </c>
      <c r="G40" s="23"/>
      <c r="H40" s="31">
        <f>SUM(H32:H39)</f>
        <v>1714.8200000000002</v>
      </c>
      <c r="I40" s="2"/>
    </row>
    <row r="41" spans="1:11" s="1" customFormat="1" ht="15.75" thickBot="1">
      <c r="A41" s="12" t="s">
        <v>5</v>
      </c>
      <c r="B41" s="34">
        <f>SUM(D40+F40+H40)</f>
        <v>1984.6200000000001</v>
      </c>
      <c r="C41" s="33"/>
      <c r="D41" s="19"/>
      <c r="E41" s="20"/>
      <c r="F41" s="28"/>
      <c r="G41" s="24"/>
      <c r="H41" s="32"/>
      <c r="I41" s="3"/>
    </row>
    <row r="42" spans="1:11" s="1" customFormat="1">
      <c r="A42" s="8" t="s">
        <v>47</v>
      </c>
      <c r="B42" s="8" t="s">
        <v>37</v>
      </c>
      <c r="C42" s="8" t="s">
        <v>49</v>
      </c>
      <c r="D42" s="14">
        <f>27+3.78</f>
        <v>30.78</v>
      </c>
      <c r="E42" s="15" t="s">
        <v>16</v>
      </c>
      <c r="F42" s="25">
        <f>111.95</f>
        <v>111.95</v>
      </c>
      <c r="G42" s="21" t="s">
        <v>42</v>
      </c>
      <c r="H42" s="29">
        <v>703.7</v>
      </c>
      <c r="I42" s="5" t="s">
        <v>67</v>
      </c>
    </row>
    <row r="43" spans="1:11" s="1" customFormat="1">
      <c r="A43" s="10"/>
      <c r="B43" s="37" t="s">
        <v>48</v>
      </c>
      <c r="C43" s="9"/>
      <c r="D43" s="16"/>
      <c r="E43" s="17"/>
      <c r="F43" s="26">
        <v>10.4</v>
      </c>
      <c r="G43" s="22" t="s">
        <v>50</v>
      </c>
      <c r="H43" s="30"/>
      <c r="I43" s="6"/>
    </row>
    <row r="44" spans="1:11" s="1" customFormat="1">
      <c r="A44" s="9"/>
      <c r="B44" s="9"/>
      <c r="C44" s="10"/>
      <c r="D44" s="16"/>
      <c r="E44" s="17"/>
      <c r="F44" s="26">
        <v>68.400000000000006</v>
      </c>
      <c r="G44" s="22" t="s">
        <v>43</v>
      </c>
      <c r="H44" s="30"/>
      <c r="I44" s="6"/>
      <c r="K44" s="38"/>
    </row>
    <row r="45" spans="1:11" s="1" customFormat="1">
      <c r="A45" s="10"/>
      <c r="B45" s="13"/>
      <c r="C45" s="9"/>
      <c r="D45" s="16"/>
      <c r="E45" s="17"/>
      <c r="F45" s="26"/>
      <c r="G45" s="22"/>
      <c r="H45" s="30"/>
      <c r="I45" s="6"/>
      <c r="K45" s="38"/>
    </row>
    <row r="46" spans="1:11" s="1" customFormat="1">
      <c r="A46" s="10"/>
      <c r="B46" s="13"/>
      <c r="C46" s="9" t="s">
        <v>65</v>
      </c>
      <c r="D46" s="16">
        <f>18.96</f>
        <v>18.96</v>
      </c>
      <c r="E46" s="17" t="s">
        <v>16</v>
      </c>
      <c r="F46" s="26">
        <f>122.01</f>
        <v>122.01</v>
      </c>
      <c r="G46" s="22" t="s">
        <v>42</v>
      </c>
      <c r="H46" s="30">
        <v>731.5</v>
      </c>
      <c r="I46" s="6" t="s">
        <v>67</v>
      </c>
      <c r="K46" s="38"/>
    </row>
    <row r="47" spans="1:11" s="1" customFormat="1">
      <c r="A47" s="10"/>
      <c r="B47" s="13"/>
      <c r="C47" s="9"/>
      <c r="D47" s="16"/>
      <c r="E47" s="17"/>
      <c r="F47" s="26">
        <f>41.6</f>
        <v>41.6</v>
      </c>
      <c r="G47" s="22" t="s">
        <v>43</v>
      </c>
      <c r="H47" s="30"/>
      <c r="I47" s="6"/>
    </row>
    <row r="48" spans="1:11" s="1" customFormat="1">
      <c r="A48" s="9"/>
      <c r="B48" s="9"/>
      <c r="C48" s="9"/>
      <c r="D48" s="16"/>
      <c r="E48" s="17"/>
      <c r="F48" s="26"/>
      <c r="G48" s="22"/>
      <c r="H48" s="30"/>
      <c r="I48" s="2"/>
      <c r="K48" s="4"/>
    </row>
    <row r="49" spans="1:11" s="1" customFormat="1">
      <c r="A49" s="11" t="s">
        <v>4</v>
      </c>
      <c r="B49" s="10"/>
      <c r="C49" s="10"/>
      <c r="D49" s="18">
        <f>SUM(D42:D48)</f>
        <v>49.74</v>
      </c>
      <c r="E49" s="6"/>
      <c r="F49" s="27">
        <f>SUM(F42:F48)</f>
        <v>354.36</v>
      </c>
      <c r="G49" s="23"/>
      <c r="H49" s="31">
        <f>SUM(H42:H48)</f>
        <v>1435.2</v>
      </c>
      <c r="I49" s="2"/>
    </row>
    <row r="50" spans="1:11" s="1" customFormat="1" ht="15.75" thickBot="1">
      <c r="A50" s="12" t="s">
        <v>5</v>
      </c>
      <c r="B50" s="34">
        <f>SUM(D49+F49+H49)</f>
        <v>1839.3000000000002</v>
      </c>
      <c r="C50" s="33"/>
      <c r="D50" s="19"/>
      <c r="E50" s="20"/>
      <c r="F50" s="28"/>
      <c r="G50" s="24"/>
      <c r="H50" s="32"/>
      <c r="I50" s="3"/>
    </row>
    <row r="51" spans="1:11" s="1" customFormat="1">
      <c r="A51" s="8" t="s">
        <v>78</v>
      </c>
      <c r="B51" s="8" t="s">
        <v>30</v>
      </c>
      <c r="C51" s="8" t="s">
        <v>20</v>
      </c>
      <c r="D51" s="14">
        <f>19.65+30.6+25.93</f>
        <v>76.180000000000007</v>
      </c>
      <c r="E51" s="15" t="s">
        <v>16</v>
      </c>
      <c r="F51" s="25">
        <v>1.5</v>
      </c>
      <c r="G51" s="21" t="s">
        <v>31</v>
      </c>
      <c r="H51" s="29">
        <f>1563.51</f>
        <v>1563.51</v>
      </c>
      <c r="I51" s="5" t="s">
        <v>67</v>
      </c>
    </row>
    <row r="52" spans="1:11" s="1" customFormat="1">
      <c r="A52" s="10"/>
      <c r="B52" s="37" t="s">
        <v>19</v>
      </c>
      <c r="C52" s="9"/>
      <c r="D52" s="16">
        <f>90+111+12</f>
        <v>213</v>
      </c>
      <c r="E52" s="17" t="s">
        <v>14</v>
      </c>
      <c r="F52" s="26">
        <v>11</v>
      </c>
      <c r="G52" s="22" t="s">
        <v>32</v>
      </c>
      <c r="H52" s="30">
        <f>111.38</f>
        <v>111.38</v>
      </c>
      <c r="I52" s="6" t="s">
        <v>45</v>
      </c>
    </row>
    <row r="53" spans="1:11" s="1" customFormat="1">
      <c r="A53" s="9"/>
      <c r="B53" s="9"/>
      <c r="C53" s="10"/>
      <c r="D53" s="16">
        <v>32.119999999999997</v>
      </c>
      <c r="E53" s="17" t="s">
        <v>29</v>
      </c>
      <c r="F53" s="26"/>
      <c r="G53" s="22"/>
      <c r="H53" s="30">
        <f>222.12+441+138.89</f>
        <v>802.01</v>
      </c>
      <c r="I53" s="6" t="s">
        <v>15</v>
      </c>
      <c r="K53" s="38"/>
    </row>
    <row r="54" spans="1:11" s="1" customFormat="1">
      <c r="A54" s="10"/>
      <c r="B54" s="13"/>
      <c r="C54" s="9"/>
      <c r="D54" s="16"/>
      <c r="E54" s="17"/>
      <c r="F54" s="26"/>
      <c r="G54" s="22"/>
      <c r="H54" s="30"/>
      <c r="I54" s="6"/>
      <c r="K54" s="38"/>
    </row>
    <row r="55" spans="1:11" s="1" customFormat="1">
      <c r="A55" s="10" t="s">
        <v>102</v>
      </c>
      <c r="B55" s="13"/>
      <c r="C55" s="9" t="s">
        <v>77</v>
      </c>
      <c r="D55" s="16">
        <f>38.08+158.72</f>
        <v>196.8</v>
      </c>
      <c r="E55" s="17" t="s">
        <v>16</v>
      </c>
      <c r="F55" s="26"/>
      <c r="G55" s="22"/>
      <c r="H55" s="30">
        <f>409.37</f>
        <v>409.37</v>
      </c>
      <c r="I55" s="6" t="s">
        <v>67</v>
      </c>
      <c r="K55" s="38"/>
    </row>
    <row r="56" spans="1:11" s="1" customFormat="1">
      <c r="A56" s="10"/>
      <c r="B56" s="13"/>
      <c r="C56" s="9"/>
      <c r="D56" s="16">
        <f>678.5+115.96</f>
        <v>794.46</v>
      </c>
      <c r="E56" s="17" t="s">
        <v>14</v>
      </c>
      <c r="F56" s="26"/>
      <c r="G56" s="22"/>
      <c r="H56" s="30">
        <f>111.38+441+138.89+311.62+109.3</f>
        <v>1112.19</v>
      </c>
      <c r="I56" s="6" t="s">
        <v>45</v>
      </c>
    </row>
    <row r="57" spans="1:11" s="1" customFormat="1">
      <c r="A57" s="10"/>
      <c r="B57" s="13"/>
      <c r="C57" s="9"/>
      <c r="D57" s="16">
        <f>22.18</f>
        <v>22.18</v>
      </c>
      <c r="E57" s="17" t="s">
        <v>29</v>
      </c>
      <c r="F57" s="26"/>
      <c r="G57" s="22"/>
      <c r="H57" s="30">
        <f>23.66</f>
        <v>23.66</v>
      </c>
      <c r="I57" s="6" t="s">
        <v>15</v>
      </c>
    </row>
    <row r="58" spans="1:11" s="1" customFormat="1">
      <c r="A58" s="9"/>
      <c r="B58" s="9"/>
      <c r="C58" s="9"/>
      <c r="D58" s="16"/>
      <c r="E58" s="17"/>
      <c r="F58" s="26"/>
      <c r="G58" s="22"/>
      <c r="H58" s="30"/>
      <c r="I58" s="2"/>
      <c r="K58" s="4"/>
    </row>
    <row r="59" spans="1:11" s="1" customFormat="1">
      <c r="A59" s="11" t="s">
        <v>4</v>
      </c>
      <c r="B59" s="10"/>
      <c r="C59" s="10"/>
      <c r="D59" s="18">
        <f>SUM(D51:D58)</f>
        <v>1334.74</v>
      </c>
      <c r="E59" s="6"/>
      <c r="F59" s="27">
        <f>SUM(F51:F58)</f>
        <v>12.5</v>
      </c>
      <c r="G59" s="23"/>
      <c r="H59" s="31">
        <f>SUM(H51:H58)</f>
        <v>4022.1199999999994</v>
      </c>
      <c r="I59" s="2"/>
    </row>
    <row r="60" spans="1:11" s="1" customFormat="1" ht="15.75" thickBot="1">
      <c r="A60" s="12" t="s">
        <v>5</v>
      </c>
      <c r="B60" s="34">
        <f>SUM(D59+F59+H59)</f>
        <v>5369.36</v>
      </c>
      <c r="C60" s="33"/>
      <c r="D60" s="19"/>
      <c r="E60" s="20"/>
      <c r="F60" s="28"/>
      <c r="G60" s="24"/>
      <c r="H60" s="32"/>
      <c r="I60" s="3"/>
    </row>
    <row r="61" spans="1:11" s="1" customFormat="1">
      <c r="A61" s="8" t="s">
        <v>58</v>
      </c>
      <c r="B61" s="8" t="s">
        <v>55</v>
      </c>
      <c r="C61" s="8" t="s">
        <v>57</v>
      </c>
      <c r="D61" s="14">
        <f>9.3+140.38</f>
        <v>149.68</v>
      </c>
      <c r="E61" s="15" t="s">
        <v>16</v>
      </c>
      <c r="F61" s="25">
        <f>22</f>
        <v>22</v>
      </c>
      <c r="G61" s="21" t="s">
        <v>32</v>
      </c>
      <c r="H61" s="29">
        <v>487.15</v>
      </c>
      <c r="I61" s="5" t="s">
        <v>67</v>
      </c>
    </row>
    <row r="62" spans="1:11" s="1" customFormat="1">
      <c r="A62" s="10"/>
      <c r="B62" s="37" t="s">
        <v>59</v>
      </c>
      <c r="C62" s="9"/>
      <c r="D62" s="16">
        <f>24.5+17.29</f>
        <v>41.79</v>
      </c>
      <c r="E62" s="17" t="s">
        <v>14</v>
      </c>
      <c r="F62" s="26"/>
      <c r="G62" s="22"/>
      <c r="H62" s="30">
        <v>76</v>
      </c>
      <c r="I62" s="6" t="s">
        <v>45</v>
      </c>
    </row>
    <row r="63" spans="1:11" s="1" customFormat="1">
      <c r="A63" s="9"/>
      <c r="B63" s="9"/>
      <c r="C63" s="10"/>
      <c r="D63" s="16"/>
      <c r="E63" s="17"/>
      <c r="F63" s="26"/>
      <c r="G63" s="22"/>
      <c r="H63" s="30"/>
      <c r="I63" s="6"/>
      <c r="K63" s="38"/>
    </row>
    <row r="64" spans="1:11" s="1" customFormat="1">
      <c r="A64" s="10"/>
      <c r="B64" s="13"/>
      <c r="C64" s="9" t="s">
        <v>66</v>
      </c>
      <c r="D64" s="16">
        <f>33.9</f>
        <v>33.9</v>
      </c>
      <c r="E64" s="17" t="s">
        <v>29</v>
      </c>
      <c r="F64" s="26">
        <f>18.87</f>
        <v>18.87</v>
      </c>
      <c r="G64" s="22" t="s">
        <v>42</v>
      </c>
      <c r="H64" s="30">
        <v>487.15</v>
      </c>
      <c r="I64" s="6" t="s">
        <v>67</v>
      </c>
      <c r="K64" s="38"/>
    </row>
    <row r="65" spans="1:11" s="1" customFormat="1">
      <c r="A65" s="10"/>
      <c r="B65" s="13"/>
      <c r="C65" s="9"/>
      <c r="D65" s="16"/>
      <c r="E65" s="17"/>
      <c r="F65" s="26">
        <f>4.6</f>
        <v>4.5999999999999996</v>
      </c>
      <c r="G65" s="22" t="s">
        <v>50</v>
      </c>
      <c r="H65" s="30">
        <v>76</v>
      </c>
      <c r="I65" s="6" t="s">
        <v>45</v>
      </c>
      <c r="K65" s="38"/>
    </row>
    <row r="66" spans="1:11" s="1" customFormat="1">
      <c r="A66" s="10"/>
      <c r="B66" s="13"/>
      <c r="C66" s="9"/>
      <c r="D66" s="16"/>
      <c r="E66" s="17"/>
      <c r="F66" s="26">
        <f>55</f>
        <v>55</v>
      </c>
      <c r="G66" s="22" t="s">
        <v>43</v>
      </c>
      <c r="H66" s="30"/>
      <c r="I66" s="6"/>
    </row>
    <row r="67" spans="1:11" s="1" customFormat="1">
      <c r="A67" s="10"/>
      <c r="B67" s="13"/>
      <c r="C67" s="9"/>
      <c r="D67" s="16"/>
      <c r="E67" s="17"/>
      <c r="F67" s="26"/>
      <c r="G67" s="22"/>
      <c r="H67" s="30"/>
      <c r="I67" s="6"/>
    </row>
    <row r="68" spans="1:11" s="1" customFormat="1">
      <c r="A68" s="9"/>
      <c r="B68" s="9"/>
      <c r="C68" s="10" t="s">
        <v>76</v>
      </c>
      <c r="D68" s="16">
        <f>46.55</f>
        <v>46.55</v>
      </c>
      <c r="E68" s="17" t="s">
        <v>16</v>
      </c>
      <c r="F68" s="26">
        <f>16.84</f>
        <v>16.84</v>
      </c>
      <c r="G68" s="22" t="s">
        <v>42</v>
      </c>
      <c r="H68" s="30">
        <v>487.15</v>
      </c>
      <c r="I68" s="6" t="s">
        <v>67</v>
      </c>
      <c r="K68" s="39"/>
    </row>
    <row r="69" spans="1:11" s="1" customFormat="1">
      <c r="A69" s="9"/>
      <c r="B69" s="9"/>
      <c r="C69" s="10"/>
      <c r="D69" s="16"/>
      <c r="E69" s="17"/>
      <c r="F69" s="26">
        <v>6.6</v>
      </c>
      <c r="G69" s="22" t="s">
        <v>50</v>
      </c>
      <c r="H69" s="30">
        <v>76</v>
      </c>
      <c r="I69" s="6" t="s">
        <v>45</v>
      </c>
      <c r="K69" s="39"/>
    </row>
    <row r="70" spans="1:11" s="1" customFormat="1">
      <c r="A70" s="9"/>
      <c r="B70" s="9"/>
      <c r="C70" s="10"/>
      <c r="D70" s="16"/>
      <c r="E70" s="17"/>
      <c r="F70" s="26">
        <v>59</v>
      </c>
      <c r="G70" s="22" t="s">
        <v>43</v>
      </c>
      <c r="H70" s="30"/>
      <c r="I70" s="6"/>
      <c r="K70" s="39"/>
    </row>
    <row r="71" spans="1:11" s="1" customFormat="1">
      <c r="A71" s="9"/>
      <c r="B71" s="9"/>
      <c r="C71" s="9"/>
      <c r="D71" s="16"/>
      <c r="E71" s="17"/>
      <c r="F71" s="26"/>
      <c r="G71" s="22"/>
      <c r="H71" s="30"/>
      <c r="I71" s="2"/>
      <c r="K71" s="4"/>
    </row>
    <row r="72" spans="1:11" s="1" customFormat="1">
      <c r="A72" s="11" t="s">
        <v>4</v>
      </c>
      <c r="B72" s="10"/>
      <c r="C72" s="10"/>
      <c r="D72" s="18">
        <f>SUM(D61:D71)</f>
        <v>271.92</v>
      </c>
      <c r="E72" s="6"/>
      <c r="F72" s="27">
        <f>SUM(F61:F71)</f>
        <v>182.91</v>
      </c>
      <c r="G72" s="23"/>
      <c r="H72" s="31">
        <f>SUM(H61:H71)</f>
        <v>1689.4499999999998</v>
      </c>
      <c r="I72" s="2"/>
    </row>
    <row r="73" spans="1:11" s="1" customFormat="1" ht="15.75" thickBot="1">
      <c r="A73" s="12" t="s">
        <v>5</v>
      </c>
      <c r="B73" s="34">
        <f>SUM(D72+F72+H72)</f>
        <v>2144.2799999999997</v>
      </c>
      <c r="C73" s="33"/>
      <c r="D73" s="19"/>
      <c r="E73" s="20"/>
      <c r="F73" s="28"/>
      <c r="G73" s="24"/>
      <c r="H73" s="32"/>
      <c r="I73" s="3"/>
    </row>
    <row r="74" spans="1:11" s="1" customFormat="1">
      <c r="A74" s="8" t="s">
        <v>51</v>
      </c>
      <c r="B74" s="8" t="s">
        <v>55</v>
      </c>
      <c r="C74" s="8" t="s">
        <v>57</v>
      </c>
      <c r="D74" s="14">
        <f>13.8+86.47</f>
        <v>100.27</v>
      </c>
      <c r="E74" s="15" t="s">
        <v>16</v>
      </c>
      <c r="F74" s="25">
        <f>11</f>
        <v>11</v>
      </c>
      <c r="G74" s="21" t="s">
        <v>32</v>
      </c>
      <c r="H74" s="29">
        <f>485.84</f>
        <v>485.84</v>
      </c>
      <c r="I74" s="5" t="s">
        <v>67</v>
      </c>
    </row>
    <row r="75" spans="1:11" s="1" customFormat="1">
      <c r="A75" s="10"/>
      <c r="B75" s="37" t="s">
        <v>62</v>
      </c>
      <c r="C75" s="9"/>
      <c r="D75" s="16">
        <f>25+5.3</f>
        <v>30.3</v>
      </c>
      <c r="E75" s="17" t="s">
        <v>14</v>
      </c>
      <c r="F75" s="26"/>
      <c r="G75" s="22"/>
      <c r="H75" s="30">
        <f>75</f>
        <v>75</v>
      </c>
      <c r="I75" s="6" t="s">
        <v>45</v>
      </c>
    </row>
    <row r="76" spans="1:11" s="1" customFormat="1">
      <c r="A76" s="9"/>
      <c r="B76" s="9"/>
      <c r="C76" s="10"/>
      <c r="D76" s="16"/>
      <c r="E76" s="17"/>
      <c r="F76" s="26"/>
      <c r="G76" s="22"/>
      <c r="H76" s="30">
        <f>2.51</f>
        <v>2.5099999999999998</v>
      </c>
      <c r="I76" s="6" t="s">
        <v>15</v>
      </c>
      <c r="K76" s="38"/>
    </row>
    <row r="77" spans="1:11" s="1" customFormat="1">
      <c r="A77" s="10"/>
      <c r="B77" s="13"/>
      <c r="C77" s="9"/>
      <c r="D77" s="16"/>
      <c r="E77" s="17"/>
      <c r="F77" s="26"/>
      <c r="G77" s="22"/>
      <c r="H77" s="30"/>
      <c r="I77" s="6"/>
      <c r="K77" s="38"/>
    </row>
    <row r="78" spans="1:11" s="1" customFormat="1">
      <c r="A78" s="10"/>
      <c r="B78" s="13"/>
      <c r="C78" s="9" t="s">
        <v>66</v>
      </c>
      <c r="D78" s="16"/>
      <c r="E78" s="17"/>
      <c r="F78" s="26">
        <f>18.87</f>
        <v>18.87</v>
      </c>
      <c r="G78" s="22" t="s">
        <v>42</v>
      </c>
      <c r="H78" s="30">
        <f>485.84</f>
        <v>485.84</v>
      </c>
      <c r="I78" s="6" t="s">
        <v>67</v>
      </c>
      <c r="K78" s="38"/>
    </row>
    <row r="79" spans="1:11" s="1" customFormat="1">
      <c r="A79" s="10"/>
      <c r="B79" s="13"/>
      <c r="C79" s="9"/>
      <c r="D79" s="16"/>
      <c r="E79" s="17"/>
      <c r="F79" s="26">
        <f>5.8</f>
        <v>5.8</v>
      </c>
      <c r="G79" s="22" t="s">
        <v>50</v>
      </c>
      <c r="H79" s="30">
        <f>75</f>
        <v>75</v>
      </c>
      <c r="I79" s="6" t="s">
        <v>45</v>
      </c>
    </row>
    <row r="80" spans="1:11" s="1" customFormat="1">
      <c r="A80" s="10"/>
      <c r="B80" s="13"/>
      <c r="C80" s="9"/>
      <c r="D80" s="16"/>
      <c r="E80" s="17"/>
      <c r="F80" s="26">
        <f>59</f>
        <v>59</v>
      </c>
      <c r="G80" s="22" t="s">
        <v>43</v>
      </c>
      <c r="H80" s="30"/>
      <c r="I80" s="6"/>
    </row>
    <row r="81" spans="1:11" s="1" customFormat="1">
      <c r="A81" s="9"/>
      <c r="B81" s="9"/>
      <c r="C81" s="10"/>
      <c r="D81" s="16"/>
      <c r="E81" s="17"/>
      <c r="F81" s="26"/>
      <c r="G81" s="22"/>
      <c r="H81" s="30"/>
      <c r="I81" s="6"/>
      <c r="K81" s="39"/>
    </row>
    <row r="82" spans="1:11" s="1" customFormat="1">
      <c r="A82" s="9"/>
      <c r="B82" s="9"/>
      <c r="C82" s="10" t="s">
        <v>76</v>
      </c>
      <c r="D82" s="16">
        <f>50</f>
        <v>50</v>
      </c>
      <c r="E82" s="17" t="s">
        <v>14</v>
      </c>
      <c r="F82" s="26">
        <f>16.84</f>
        <v>16.84</v>
      </c>
      <c r="G82" s="22" t="s">
        <v>42</v>
      </c>
      <c r="H82" s="30">
        <f>485.84</f>
        <v>485.84</v>
      </c>
      <c r="I82" s="6" t="s">
        <v>67</v>
      </c>
      <c r="K82" s="39"/>
    </row>
    <row r="83" spans="1:11" s="1" customFormat="1">
      <c r="A83" s="9"/>
      <c r="B83" s="9"/>
      <c r="C83" s="10"/>
      <c r="D83" s="16"/>
      <c r="E83" s="17"/>
      <c r="F83" s="26">
        <v>5</v>
      </c>
      <c r="G83" s="22" t="s">
        <v>50</v>
      </c>
      <c r="H83" s="30">
        <v>75</v>
      </c>
      <c r="I83" s="6" t="s">
        <v>45</v>
      </c>
      <c r="K83" s="39"/>
    </row>
    <row r="84" spans="1:11" s="1" customFormat="1">
      <c r="A84" s="9"/>
      <c r="B84" s="9"/>
      <c r="C84" s="10"/>
      <c r="D84" s="16"/>
      <c r="E84" s="17"/>
      <c r="F84" s="26">
        <v>55</v>
      </c>
      <c r="G84" s="22" t="s">
        <v>43</v>
      </c>
      <c r="H84" s="30"/>
      <c r="I84" s="6"/>
      <c r="K84" s="39"/>
    </row>
    <row r="85" spans="1:11" s="1" customFormat="1">
      <c r="A85" s="9"/>
      <c r="B85" s="9"/>
      <c r="C85" s="9"/>
      <c r="D85" s="16"/>
      <c r="E85" s="17"/>
      <c r="F85" s="26"/>
      <c r="G85" s="22"/>
      <c r="H85" s="30"/>
      <c r="I85" s="2"/>
      <c r="K85" s="4"/>
    </row>
    <row r="86" spans="1:11" s="1" customFormat="1">
      <c r="A86" s="11" t="s">
        <v>4</v>
      </c>
      <c r="B86" s="10"/>
      <c r="C86" s="10"/>
      <c r="D86" s="18">
        <f>SUM(D74:D85)</f>
        <v>180.57</v>
      </c>
      <c r="E86" s="6"/>
      <c r="F86" s="27">
        <f>SUM(F74:F85)</f>
        <v>171.51</v>
      </c>
      <c r="G86" s="23"/>
      <c r="H86" s="31">
        <f>SUM(H74:H85)</f>
        <v>1685.0299999999997</v>
      </c>
      <c r="I86" s="2"/>
    </row>
    <row r="87" spans="1:11" s="1" customFormat="1" ht="15.75" thickBot="1">
      <c r="A87" s="12" t="s">
        <v>5</v>
      </c>
      <c r="B87" s="34">
        <f>SUM(D86+F86+H86)</f>
        <v>2037.1099999999997</v>
      </c>
      <c r="C87" s="33"/>
      <c r="D87" s="19"/>
      <c r="E87" s="20"/>
      <c r="F87" s="28"/>
      <c r="G87" s="24"/>
      <c r="H87" s="32"/>
      <c r="I87" s="3"/>
    </row>
    <row r="88" spans="1:11" s="1" customFormat="1">
      <c r="A88" s="8" t="s">
        <v>21</v>
      </c>
      <c r="B88" s="8" t="s">
        <v>22</v>
      </c>
      <c r="C88" s="8" t="s">
        <v>13</v>
      </c>
      <c r="D88" s="14">
        <f>2.8+688.89</f>
        <v>691.68999999999994</v>
      </c>
      <c r="E88" s="15" t="s">
        <v>16</v>
      </c>
      <c r="F88" s="25">
        <f>113.26</f>
        <v>113.26</v>
      </c>
      <c r="G88" s="21" t="s">
        <v>18</v>
      </c>
      <c r="H88" s="29"/>
      <c r="I88" s="5"/>
    </row>
    <row r="89" spans="1:11" s="1" customFormat="1">
      <c r="A89" s="10"/>
      <c r="B89" s="37" t="s">
        <v>19</v>
      </c>
      <c r="C89" s="9"/>
      <c r="D89" s="16">
        <f>35+36.73</f>
        <v>71.72999999999999</v>
      </c>
      <c r="E89" s="17" t="s">
        <v>14</v>
      </c>
      <c r="F89" s="26"/>
      <c r="G89" s="22"/>
      <c r="H89" s="30">
        <f>138.89+113.46+537</f>
        <v>789.34999999999991</v>
      </c>
      <c r="I89" s="6" t="s">
        <v>45</v>
      </c>
    </row>
    <row r="90" spans="1:11" s="1" customFormat="1">
      <c r="A90" s="9"/>
      <c r="B90" s="9"/>
      <c r="C90" s="10"/>
      <c r="D90" s="16"/>
      <c r="E90" s="17"/>
      <c r="F90" s="26"/>
      <c r="G90" s="22"/>
      <c r="H90" s="30">
        <f>60.73</f>
        <v>60.73</v>
      </c>
      <c r="I90" s="6" t="s">
        <v>15</v>
      </c>
      <c r="K90" s="38"/>
    </row>
    <row r="91" spans="1:11" s="1" customFormat="1">
      <c r="A91" s="9"/>
      <c r="B91" s="9"/>
      <c r="C91" s="9"/>
      <c r="D91" s="16"/>
      <c r="E91" s="17"/>
      <c r="F91" s="26"/>
      <c r="G91" s="22"/>
      <c r="H91" s="30"/>
      <c r="I91" s="2"/>
      <c r="K91" s="4"/>
    </row>
    <row r="92" spans="1:11" s="1" customFormat="1">
      <c r="A92" s="11" t="s">
        <v>4</v>
      </c>
      <c r="B92" s="10"/>
      <c r="C92" s="10"/>
      <c r="D92" s="18">
        <f>SUM(D88:D91)</f>
        <v>763.42</v>
      </c>
      <c r="E92" s="6"/>
      <c r="F92" s="27">
        <f>SUM(F88:F91)</f>
        <v>113.26</v>
      </c>
      <c r="G92" s="23"/>
      <c r="H92" s="31">
        <f>SUM(H88:H91)</f>
        <v>850.07999999999993</v>
      </c>
      <c r="I92" s="2"/>
    </row>
    <row r="93" spans="1:11" s="1" customFormat="1" ht="15.75" thickBot="1">
      <c r="A93" s="12" t="s">
        <v>5</v>
      </c>
      <c r="B93" s="34">
        <f>SUM(D92+F92+H92)</f>
        <v>1726.7599999999998</v>
      </c>
      <c r="C93" s="33"/>
      <c r="D93" s="19"/>
      <c r="E93" s="20"/>
      <c r="F93" s="28"/>
      <c r="G93" s="24"/>
      <c r="H93" s="32"/>
      <c r="I93" s="3"/>
    </row>
    <row r="94" spans="1:11" s="1" customFormat="1">
      <c r="A94" s="8" t="s">
        <v>51</v>
      </c>
      <c r="B94" s="8" t="s">
        <v>52</v>
      </c>
      <c r="C94" s="8" t="s">
        <v>11</v>
      </c>
      <c r="D94" s="14">
        <f>10.58</f>
        <v>10.58</v>
      </c>
      <c r="E94" s="15" t="s">
        <v>16</v>
      </c>
      <c r="F94" s="25"/>
      <c r="G94" s="21"/>
      <c r="H94" s="29">
        <v>495.11</v>
      </c>
      <c r="I94" s="5" t="s">
        <v>67</v>
      </c>
    </row>
    <row r="95" spans="1:11" s="1" customFormat="1">
      <c r="A95" s="10"/>
      <c r="B95" s="37" t="s">
        <v>53</v>
      </c>
      <c r="C95" s="9"/>
      <c r="D95" s="16">
        <f>42.61</f>
        <v>42.61</v>
      </c>
      <c r="E95" s="17" t="s">
        <v>14</v>
      </c>
      <c r="F95" s="26"/>
      <c r="G95" s="22"/>
      <c r="H95" s="30">
        <f>228.15</f>
        <v>228.15</v>
      </c>
      <c r="I95" s="6" t="s">
        <v>45</v>
      </c>
    </row>
    <row r="96" spans="1:11" s="1" customFormat="1">
      <c r="A96" s="9"/>
      <c r="B96" s="9"/>
      <c r="C96" s="10"/>
      <c r="D96" s="16"/>
      <c r="E96" s="17"/>
      <c r="F96" s="26"/>
      <c r="G96" s="22"/>
      <c r="H96" s="30">
        <v>11.25</v>
      </c>
      <c r="I96" s="6" t="s">
        <v>15</v>
      </c>
      <c r="K96" s="38"/>
    </row>
    <row r="97" spans="1:11" s="1" customFormat="1">
      <c r="A97" s="10"/>
      <c r="B97" s="13"/>
      <c r="C97" s="9"/>
      <c r="D97" s="16"/>
      <c r="E97" s="17"/>
      <c r="F97" s="26"/>
      <c r="G97" s="22"/>
      <c r="H97" s="30"/>
      <c r="I97" s="6"/>
      <c r="K97" s="38"/>
    </row>
    <row r="98" spans="1:11" s="1" customFormat="1">
      <c r="A98" s="10"/>
      <c r="B98" s="13"/>
      <c r="C98" s="9" t="s">
        <v>12</v>
      </c>
      <c r="D98" s="16">
        <f>57.24+4.66+5.41</f>
        <v>67.31</v>
      </c>
      <c r="E98" s="17" t="s">
        <v>14</v>
      </c>
      <c r="F98" s="26"/>
      <c r="G98" s="22"/>
      <c r="H98" s="30">
        <f>495.11</f>
        <v>495.11</v>
      </c>
      <c r="I98" s="6" t="s">
        <v>67</v>
      </c>
      <c r="K98" s="38"/>
    </row>
    <row r="99" spans="1:11" s="1" customFormat="1">
      <c r="A99" s="10"/>
      <c r="B99" s="13"/>
      <c r="C99" s="9"/>
      <c r="D99" s="16">
        <f>121.55</f>
        <v>121.55</v>
      </c>
      <c r="E99" s="17" t="s">
        <v>16</v>
      </c>
      <c r="F99" s="26"/>
      <c r="G99" s="22"/>
      <c r="H99" s="30">
        <v>228.15</v>
      </c>
      <c r="I99" s="6" t="s">
        <v>45</v>
      </c>
    </row>
    <row r="100" spans="1:11" s="1" customFormat="1">
      <c r="A100" s="10"/>
      <c r="B100" s="13"/>
      <c r="C100" s="9"/>
      <c r="D100" s="16">
        <f>7.17+51.51+73.98</f>
        <v>132.66</v>
      </c>
      <c r="E100" s="17" t="s">
        <v>29</v>
      </c>
      <c r="F100" s="26"/>
      <c r="G100" s="22"/>
      <c r="H100" s="30">
        <v>17.46</v>
      </c>
      <c r="I100" s="6" t="s">
        <v>15</v>
      </c>
    </row>
    <row r="101" spans="1:11" s="1" customFormat="1">
      <c r="A101" s="9"/>
      <c r="B101" s="9"/>
      <c r="C101" s="9"/>
      <c r="D101" s="16"/>
      <c r="E101" s="17"/>
      <c r="F101" s="26"/>
      <c r="G101" s="22"/>
      <c r="H101" s="30"/>
      <c r="I101" s="2"/>
      <c r="K101" s="4"/>
    </row>
    <row r="102" spans="1:11" s="1" customFormat="1">
      <c r="A102" s="11" t="s">
        <v>4</v>
      </c>
      <c r="B102" s="10"/>
      <c r="C102" s="10"/>
      <c r="D102" s="18">
        <f>SUM(D94:D101)</f>
        <v>374.71000000000004</v>
      </c>
      <c r="E102" s="6"/>
      <c r="F102" s="27">
        <f>SUM(F94:F101)</f>
        <v>0</v>
      </c>
      <c r="G102" s="23"/>
      <c r="H102" s="31">
        <f>SUM(H94:H101)</f>
        <v>1475.23</v>
      </c>
      <c r="I102" s="2"/>
    </row>
    <row r="103" spans="1:11" s="1" customFormat="1" ht="15.75" thickBot="1">
      <c r="A103" s="12" t="s">
        <v>5</v>
      </c>
      <c r="B103" s="34">
        <f>SUM(D102+F102+H102)</f>
        <v>1849.94</v>
      </c>
      <c r="C103" s="33"/>
      <c r="D103" s="19"/>
      <c r="E103" s="20"/>
      <c r="F103" s="28"/>
      <c r="G103" s="24"/>
      <c r="H103" s="32"/>
      <c r="I103" s="3"/>
    </row>
    <row r="104" spans="1:11" s="1" customFormat="1">
      <c r="A104" s="8" t="s">
        <v>23</v>
      </c>
      <c r="B104" s="8" t="s">
        <v>24</v>
      </c>
      <c r="C104" s="8" t="s">
        <v>13</v>
      </c>
      <c r="D104" s="14">
        <f>415.83</f>
        <v>415.83</v>
      </c>
      <c r="E104" s="15" t="s">
        <v>16</v>
      </c>
      <c r="F104" s="25"/>
      <c r="G104" s="21"/>
      <c r="H104" s="29">
        <v>1385.53</v>
      </c>
      <c r="I104" s="5" t="s">
        <v>67</v>
      </c>
    </row>
    <row r="105" spans="1:11" s="1" customFormat="1">
      <c r="A105" s="10"/>
      <c r="B105" s="37" t="s">
        <v>17</v>
      </c>
      <c r="C105" s="9"/>
      <c r="D105" s="16">
        <f>25+84.83</f>
        <v>109.83</v>
      </c>
      <c r="E105" s="17" t="s">
        <v>14</v>
      </c>
      <c r="F105" s="26"/>
      <c r="G105" s="22"/>
      <c r="H105" s="30">
        <f>562.66</f>
        <v>562.66</v>
      </c>
      <c r="I105" s="6" t="s">
        <v>25</v>
      </c>
    </row>
    <row r="106" spans="1:11" s="1" customFormat="1">
      <c r="A106" s="9"/>
      <c r="B106" s="9"/>
      <c r="C106" s="9"/>
      <c r="D106" s="16"/>
      <c r="E106" s="17"/>
      <c r="F106" s="26"/>
      <c r="G106" s="22"/>
      <c r="H106" s="30"/>
      <c r="I106" s="2"/>
      <c r="K106" s="4"/>
    </row>
    <row r="107" spans="1:11" s="1" customFormat="1">
      <c r="A107" s="11" t="s">
        <v>4</v>
      </c>
      <c r="B107" s="10"/>
      <c r="C107" s="10"/>
      <c r="D107" s="18">
        <f>SUM(D104:D106)</f>
        <v>525.66</v>
      </c>
      <c r="E107" s="6"/>
      <c r="F107" s="27">
        <f>SUM(F104:F106)</f>
        <v>0</v>
      </c>
      <c r="G107" s="23"/>
      <c r="H107" s="31">
        <f>SUM(H104:H106)</f>
        <v>1948.19</v>
      </c>
      <c r="I107" s="2"/>
    </row>
    <row r="108" spans="1:11" s="1" customFormat="1" ht="15.75" thickBot="1">
      <c r="A108" s="12" t="s">
        <v>5</v>
      </c>
      <c r="B108" s="34">
        <f>SUM(D107+F107+H107)</f>
        <v>2473.85</v>
      </c>
      <c r="C108" s="33"/>
      <c r="D108" s="19"/>
      <c r="E108" s="20"/>
      <c r="F108" s="28"/>
      <c r="G108" s="24"/>
      <c r="H108" s="32"/>
      <c r="I108" s="3"/>
    </row>
    <row r="109" spans="1:11" s="1" customFormat="1">
      <c r="A109" s="8" t="s">
        <v>36</v>
      </c>
      <c r="B109" s="8" t="s">
        <v>37</v>
      </c>
      <c r="C109" s="8" t="s">
        <v>39</v>
      </c>
      <c r="D109" s="14">
        <v>11.14</v>
      </c>
      <c r="E109" s="15" t="s">
        <v>29</v>
      </c>
      <c r="F109" s="25"/>
      <c r="G109" s="21"/>
      <c r="H109" s="29">
        <v>472.29</v>
      </c>
      <c r="I109" s="5" t="s">
        <v>67</v>
      </c>
    </row>
    <row r="110" spans="1:11" s="1" customFormat="1">
      <c r="A110" s="10"/>
      <c r="B110" s="37" t="s">
        <v>38</v>
      </c>
      <c r="C110" s="9"/>
      <c r="D110" s="16"/>
      <c r="E110" s="17"/>
      <c r="F110" s="26"/>
      <c r="G110" s="22"/>
      <c r="H110" s="30">
        <v>938.76</v>
      </c>
      <c r="I110" s="6" t="s">
        <v>45</v>
      </c>
    </row>
    <row r="111" spans="1:11" s="1" customFormat="1">
      <c r="A111" s="9"/>
      <c r="B111" s="9"/>
      <c r="C111" s="10"/>
      <c r="D111" s="16"/>
      <c r="E111" s="17"/>
      <c r="F111" s="26"/>
      <c r="G111" s="22"/>
      <c r="H111" s="30">
        <f>87.72+35</f>
        <v>122.72</v>
      </c>
      <c r="I111" s="6" t="s">
        <v>15</v>
      </c>
      <c r="K111" s="38"/>
    </row>
    <row r="112" spans="1:11" s="1" customFormat="1">
      <c r="A112" s="10"/>
      <c r="B112" s="13"/>
      <c r="C112" s="9"/>
      <c r="D112" s="16"/>
      <c r="E112" s="17"/>
      <c r="F112" s="26"/>
      <c r="G112" s="22"/>
      <c r="H112" s="30"/>
      <c r="I112" s="42"/>
      <c r="K112" s="38"/>
    </row>
    <row r="113" spans="1:11" s="1" customFormat="1">
      <c r="A113" s="10"/>
      <c r="B113" s="13"/>
      <c r="C113" s="9" t="s">
        <v>49</v>
      </c>
      <c r="D113" s="16">
        <f>22+4.29</f>
        <v>26.29</v>
      </c>
      <c r="E113" s="17" t="s">
        <v>16</v>
      </c>
      <c r="F113" s="26">
        <f>111.95</f>
        <v>111.95</v>
      </c>
      <c r="G113" s="22" t="s">
        <v>42</v>
      </c>
      <c r="H113" s="30">
        <v>522.29</v>
      </c>
      <c r="I113" s="6" t="s">
        <v>67</v>
      </c>
      <c r="K113" s="38"/>
    </row>
    <row r="114" spans="1:11" s="1" customFormat="1">
      <c r="A114" s="10"/>
      <c r="B114" s="13"/>
      <c r="C114" s="9"/>
      <c r="D114" s="16">
        <f>3.18</f>
        <v>3.18</v>
      </c>
      <c r="E114" s="17" t="s">
        <v>29</v>
      </c>
      <c r="F114" s="26">
        <v>10.4</v>
      </c>
      <c r="G114" s="22" t="s">
        <v>50</v>
      </c>
      <c r="H114" s="30">
        <v>938.76</v>
      </c>
      <c r="I114" s="6" t="s">
        <v>45</v>
      </c>
    </row>
    <row r="115" spans="1:11" s="1" customFormat="1">
      <c r="A115" s="10"/>
      <c r="B115" s="13"/>
      <c r="C115" s="9"/>
      <c r="D115" s="16"/>
      <c r="E115" s="17"/>
      <c r="F115" s="26">
        <v>68.400000000000006</v>
      </c>
      <c r="G115" s="22" t="s">
        <v>43</v>
      </c>
      <c r="H115" s="30">
        <f>220.73+35</f>
        <v>255.73</v>
      </c>
      <c r="I115" s="6" t="s">
        <v>15</v>
      </c>
    </row>
    <row r="116" spans="1:11" s="1" customFormat="1">
      <c r="A116" s="9"/>
      <c r="B116" s="9"/>
      <c r="C116" s="9"/>
      <c r="D116" s="16"/>
      <c r="E116" s="17"/>
      <c r="F116" s="26"/>
      <c r="G116" s="22"/>
      <c r="H116" s="30"/>
      <c r="I116" s="2"/>
      <c r="K116" s="4"/>
    </row>
    <row r="117" spans="1:11" s="1" customFormat="1">
      <c r="A117" s="11" t="s">
        <v>4</v>
      </c>
      <c r="B117" s="10"/>
      <c r="C117" s="10"/>
      <c r="D117" s="18">
        <f>SUM(D109:D116)</f>
        <v>40.61</v>
      </c>
      <c r="E117" s="6"/>
      <c r="F117" s="27">
        <f>SUM(F109:F116)</f>
        <v>190.75</v>
      </c>
      <c r="G117" s="23"/>
      <c r="H117" s="31">
        <f>SUM(H109:H116)</f>
        <v>3250.5499999999997</v>
      </c>
      <c r="I117" s="2"/>
    </row>
    <row r="118" spans="1:11" s="1" customFormat="1" ht="15.75" thickBot="1">
      <c r="A118" s="12" t="s">
        <v>5</v>
      </c>
      <c r="B118" s="34">
        <f>SUM(D117+F117+H117)</f>
        <v>3481.91</v>
      </c>
      <c r="C118" s="33"/>
      <c r="D118" s="19"/>
      <c r="E118" s="20"/>
      <c r="F118" s="28"/>
      <c r="G118" s="24"/>
      <c r="H118" s="32"/>
      <c r="I118" s="3"/>
    </row>
    <row r="119" spans="1:11" s="1" customFormat="1">
      <c r="A119" s="8" t="s">
        <v>60</v>
      </c>
      <c r="B119" s="8" t="s">
        <v>55</v>
      </c>
      <c r="C119" s="8" t="s">
        <v>57</v>
      </c>
      <c r="D119" s="14">
        <f>41.6</f>
        <v>41.6</v>
      </c>
      <c r="E119" s="15" t="s">
        <v>16</v>
      </c>
      <c r="F119" s="25">
        <f>20</f>
        <v>20</v>
      </c>
      <c r="G119" s="21" t="s">
        <v>32</v>
      </c>
      <c r="H119" s="29">
        <v>441.96</v>
      </c>
      <c r="I119" s="5" t="s">
        <v>67</v>
      </c>
    </row>
    <row r="120" spans="1:11" s="1" customFormat="1">
      <c r="A120" s="10"/>
      <c r="B120" s="37" t="s">
        <v>61</v>
      </c>
      <c r="C120" s="9"/>
      <c r="D120" s="16">
        <f>12.5</f>
        <v>12.5</v>
      </c>
      <c r="E120" s="17" t="s">
        <v>14</v>
      </c>
      <c r="F120" s="26"/>
      <c r="G120" s="22"/>
      <c r="H120" s="30">
        <v>114.1</v>
      </c>
      <c r="I120" s="6" t="s">
        <v>45</v>
      </c>
    </row>
    <row r="121" spans="1:11" s="1" customFormat="1">
      <c r="A121" s="9"/>
      <c r="B121" s="9"/>
      <c r="C121" s="10"/>
      <c r="D121" s="16"/>
      <c r="E121" s="17"/>
      <c r="F121" s="26"/>
      <c r="G121" s="22"/>
      <c r="H121" s="30"/>
      <c r="I121" s="6"/>
      <c r="K121" s="38"/>
    </row>
    <row r="122" spans="1:11" s="1" customFormat="1">
      <c r="A122" s="10"/>
      <c r="B122" s="13"/>
      <c r="C122" s="9" t="s">
        <v>75</v>
      </c>
      <c r="D122" s="16">
        <f>11+39.94</f>
        <v>50.94</v>
      </c>
      <c r="E122" s="17" t="s">
        <v>16</v>
      </c>
      <c r="F122" s="26"/>
      <c r="G122" s="22"/>
      <c r="H122" s="30">
        <f>441.96</f>
        <v>441.96</v>
      </c>
      <c r="I122" s="6" t="s">
        <v>67</v>
      </c>
      <c r="K122" s="38"/>
    </row>
    <row r="123" spans="1:11" s="1" customFormat="1">
      <c r="A123" s="10"/>
      <c r="B123" s="13"/>
      <c r="C123" s="9"/>
      <c r="D123" s="16">
        <f>76</f>
        <v>76</v>
      </c>
      <c r="E123" s="17" t="s">
        <v>14</v>
      </c>
      <c r="F123" s="26">
        <f>6.89</f>
        <v>6.89</v>
      </c>
      <c r="G123" s="22" t="s">
        <v>42</v>
      </c>
      <c r="H123" s="30">
        <f>114.1</f>
        <v>114.1</v>
      </c>
      <c r="I123" s="6" t="s">
        <v>45</v>
      </c>
      <c r="K123" s="38"/>
    </row>
    <row r="124" spans="1:11" s="1" customFormat="1">
      <c r="A124" s="10"/>
      <c r="B124" s="13"/>
      <c r="C124" s="9"/>
      <c r="D124" s="16"/>
      <c r="E124" s="17"/>
      <c r="F124" s="26">
        <v>2</v>
      </c>
      <c r="G124" s="22" t="s">
        <v>43</v>
      </c>
      <c r="H124" s="30">
        <f>14.21</f>
        <v>14.21</v>
      </c>
      <c r="I124" s="6" t="s">
        <v>15</v>
      </c>
    </row>
    <row r="125" spans="1:11" s="1" customFormat="1">
      <c r="A125" s="9"/>
      <c r="B125" s="9"/>
      <c r="C125" s="9"/>
      <c r="D125" s="16"/>
      <c r="E125" s="17"/>
      <c r="F125" s="26"/>
      <c r="G125" s="22"/>
      <c r="H125" s="30"/>
      <c r="I125" s="2"/>
      <c r="K125" s="4"/>
    </row>
    <row r="126" spans="1:11" s="1" customFormat="1">
      <c r="A126" s="11" t="s">
        <v>4</v>
      </c>
      <c r="B126" s="10"/>
      <c r="C126" s="10"/>
      <c r="D126" s="18">
        <f>SUM(D119:D125)</f>
        <v>181.04</v>
      </c>
      <c r="E126" s="6"/>
      <c r="F126" s="27">
        <f>SUM(F119:F125)</f>
        <v>28.89</v>
      </c>
      <c r="G126" s="23"/>
      <c r="H126" s="31">
        <f>SUM(H119:H125)</f>
        <v>1126.33</v>
      </c>
      <c r="I126" s="2"/>
    </row>
    <row r="127" spans="1:11" s="1" customFormat="1" ht="15.75" thickBot="1">
      <c r="A127" s="12" t="s">
        <v>5</v>
      </c>
      <c r="B127" s="34">
        <f>SUM(D126+F126+H126)</f>
        <v>1336.26</v>
      </c>
      <c r="C127" s="33"/>
      <c r="D127" s="19"/>
      <c r="E127" s="20"/>
      <c r="F127" s="28"/>
      <c r="G127" s="24"/>
      <c r="H127" s="32"/>
      <c r="I127" s="3"/>
    </row>
    <row r="128" spans="1:11" s="1" customFormat="1">
      <c r="A128" s="8" t="s">
        <v>33</v>
      </c>
      <c r="B128" s="8" t="s">
        <v>34</v>
      </c>
      <c r="C128" s="8" t="s">
        <v>20</v>
      </c>
      <c r="D128" s="14">
        <f>38.7</f>
        <v>38.700000000000003</v>
      </c>
      <c r="E128" s="15" t="s">
        <v>16</v>
      </c>
      <c r="F128" s="25"/>
      <c r="G128" s="21"/>
      <c r="H128" s="29">
        <v>476.33</v>
      </c>
      <c r="I128" s="5" t="s">
        <v>74</v>
      </c>
    </row>
    <row r="129" spans="1:11" s="1" customFormat="1">
      <c r="A129" s="10"/>
      <c r="B129" s="37" t="s">
        <v>35</v>
      </c>
      <c r="C129" s="9"/>
      <c r="D129" s="16"/>
      <c r="E129" s="17" t="s">
        <v>14</v>
      </c>
      <c r="F129" s="26"/>
      <c r="G129" s="22"/>
      <c r="H129" s="30">
        <f>446.3</f>
        <v>446.3</v>
      </c>
      <c r="I129" s="6" t="s">
        <v>81</v>
      </c>
    </row>
    <row r="130" spans="1:11" s="1" customFormat="1">
      <c r="A130" s="9"/>
      <c r="B130" s="9"/>
      <c r="C130" s="10"/>
      <c r="D130" s="16"/>
      <c r="E130" s="17"/>
      <c r="F130" s="26"/>
      <c r="G130" s="22"/>
      <c r="H130" s="30"/>
      <c r="I130" s="6"/>
      <c r="K130" s="38"/>
    </row>
    <row r="131" spans="1:11" s="1" customFormat="1">
      <c r="A131" s="10"/>
      <c r="B131" s="13"/>
      <c r="C131" s="9" t="s">
        <v>75</v>
      </c>
      <c r="D131" s="16">
        <f>34.39</f>
        <v>34.39</v>
      </c>
      <c r="E131" s="17" t="s">
        <v>16</v>
      </c>
      <c r="F131" s="26">
        <f>13.78</f>
        <v>13.78</v>
      </c>
      <c r="G131" s="22" t="s">
        <v>42</v>
      </c>
      <c r="H131" s="30">
        <f>650.01+51.5+44</f>
        <v>745.51</v>
      </c>
      <c r="I131" s="6" t="s">
        <v>67</v>
      </c>
      <c r="K131" s="38"/>
    </row>
    <row r="132" spans="1:11" s="1" customFormat="1">
      <c r="A132" s="10"/>
      <c r="B132" s="13"/>
      <c r="C132" s="9"/>
      <c r="D132" s="16">
        <v>39.9</v>
      </c>
      <c r="E132" s="17" t="s">
        <v>29</v>
      </c>
      <c r="F132" s="26">
        <f>6.9</f>
        <v>6.9</v>
      </c>
      <c r="G132" s="22" t="s">
        <v>43</v>
      </c>
      <c r="H132" s="30">
        <f>446.3</f>
        <v>446.3</v>
      </c>
      <c r="I132" s="6" t="s">
        <v>81</v>
      </c>
      <c r="K132" s="38"/>
    </row>
    <row r="133" spans="1:11" s="1" customFormat="1">
      <c r="A133" s="9"/>
      <c r="B133" s="9"/>
      <c r="C133" s="9"/>
      <c r="D133" s="16"/>
      <c r="E133" s="17"/>
      <c r="F133" s="26"/>
      <c r="G133" s="22"/>
      <c r="H133" s="30"/>
      <c r="I133" s="2"/>
      <c r="K133" s="4"/>
    </row>
    <row r="134" spans="1:11" s="1" customFormat="1">
      <c r="A134" s="11" t="s">
        <v>4</v>
      </c>
      <c r="B134" s="10"/>
      <c r="C134" s="10"/>
      <c r="D134" s="18">
        <f>SUM(D128:D133)</f>
        <v>112.99000000000001</v>
      </c>
      <c r="E134" s="6"/>
      <c r="F134" s="27">
        <f>SUM(F128:F133)</f>
        <v>20.68</v>
      </c>
      <c r="G134" s="23"/>
      <c r="H134" s="31">
        <f>SUM(H128:H133)</f>
        <v>2114.44</v>
      </c>
      <c r="I134" s="2"/>
    </row>
    <row r="135" spans="1:11" s="1" customFormat="1" ht="15.75" thickBot="1">
      <c r="A135" s="12" t="s">
        <v>5</v>
      </c>
      <c r="B135" s="34">
        <f>SUM(D134+F134+H134)</f>
        <v>2248.11</v>
      </c>
      <c r="C135" s="33"/>
      <c r="D135" s="19"/>
      <c r="E135" s="20"/>
      <c r="F135" s="28"/>
      <c r="G135" s="24"/>
      <c r="H135" s="32"/>
      <c r="I135" s="3"/>
    </row>
    <row r="136" spans="1:11" s="1" customFormat="1">
      <c r="A136" s="8" t="s">
        <v>63</v>
      </c>
      <c r="B136" s="8" t="s">
        <v>55</v>
      </c>
      <c r="C136" s="8" t="s">
        <v>65</v>
      </c>
      <c r="D136" s="14">
        <f>96.85+6.5</f>
        <v>103.35</v>
      </c>
      <c r="E136" s="15" t="s">
        <v>16</v>
      </c>
      <c r="F136" s="25"/>
      <c r="G136" s="21" t="s">
        <v>32</v>
      </c>
      <c r="H136" s="29">
        <f>455.81</f>
        <v>455.81</v>
      </c>
      <c r="I136" s="5" t="s">
        <v>45</v>
      </c>
    </row>
    <row r="137" spans="1:11" s="1" customFormat="1">
      <c r="A137" s="10"/>
      <c r="B137" s="37" t="s">
        <v>64</v>
      </c>
      <c r="C137" s="9"/>
      <c r="D137" s="16">
        <f>61.26+81</f>
        <v>142.26</v>
      </c>
      <c r="E137" s="17" t="s">
        <v>14</v>
      </c>
      <c r="F137" s="26"/>
      <c r="G137" s="22"/>
      <c r="H137" s="30">
        <f>291.14</f>
        <v>291.14</v>
      </c>
      <c r="I137" s="6" t="s">
        <v>67</v>
      </c>
    </row>
    <row r="138" spans="1:11" s="1" customFormat="1">
      <c r="A138" s="9"/>
      <c r="B138" s="9"/>
      <c r="C138" s="9"/>
      <c r="D138" s="16"/>
      <c r="E138" s="17"/>
      <c r="F138" s="26"/>
      <c r="G138" s="22"/>
      <c r="H138" s="30"/>
      <c r="I138" s="2"/>
      <c r="K138" s="4"/>
    </row>
    <row r="139" spans="1:11" s="1" customFormat="1">
      <c r="A139" s="11" t="s">
        <v>4</v>
      </c>
      <c r="B139" s="10"/>
      <c r="C139" s="10"/>
      <c r="D139" s="18">
        <f>SUM(D136:D138)</f>
        <v>245.60999999999999</v>
      </c>
      <c r="E139" s="6"/>
      <c r="F139" s="27">
        <f>SUM(F136:F138)</f>
        <v>0</v>
      </c>
      <c r="G139" s="23"/>
      <c r="H139" s="31">
        <f>SUM(H136:H138)</f>
        <v>746.95</v>
      </c>
      <c r="I139" s="2"/>
    </row>
    <row r="140" spans="1:11" s="1" customFormat="1" ht="15.75" thickBot="1">
      <c r="A140" s="12" t="s">
        <v>5</v>
      </c>
      <c r="B140" s="34">
        <f>SUM(D139+F139+H139)</f>
        <v>992.56000000000006</v>
      </c>
      <c r="C140" s="33"/>
      <c r="D140" s="19"/>
      <c r="E140" s="20"/>
      <c r="F140" s="28"/>
      <c r="G140" s="24"/>
      <c r="H140" s="32"/>
      <c r="I140" s="3"/>
    </row>
    <row r="141" spans="1:11" s="1" customFormat="1">
      <c r="A141" s="8" t="s">
        <v>54</v>
      </c>
      <c r="B141" s="8" t="s">
        <v>55</v>
      </c>
      <c r="C141" s="8" t="s">
        <v>57</v>
      </c>
      <c r="D141" s="14">
        <f>205.86+43.68+3.5</f>
        <v>253.04000000000002</v>
      </c>
      <c r="E141" s="15" t="s">
        <v>16</v>
      </c>
      <c r="F141" s="25">
        <v>21</v>
      </c>
      <c r="G141" s="21" t="s">
        <v>32</v>
      </c>
      <c r="H141" s="29">
        <f>755.72+50</f>
        <v>805.72</v>
      </c>
      <c r="I141" s="5" t="s">
        <v>67</v>
      </c>
    </row>
    <row r="142" spans="1:11" s="1" customFormat="1">
      <c r="A142" s="10"/>
      <c r="B142" s="37" t="s">
        <v>56</v>
      </c>
      <c r="C142" s="9"/>
      <c r="D142" s="16">
        <f>16.05+16.6</f>
        <v>32.650000000000006</v>
      </c>
      <c r="E142" s="17" t="s">
        <v>14</v>
      </c>
      <c r="F142" s="26"/>
      <c r="G142" s="22"/>
      <c r="H142" s="30">
        <v>143.49</v>
      </c>
      <c r="I142" s="6" t="s">
        <v>45</v>
      </c>
    </row>
    <row r="143" spans="1:11" s="1" customFormat="1">
      <c r="A143" s="9"/>
      <c r="B143" s="9"/>
      <c r="C143" s="10"/>
      <c r="D143" s="16">
        <f>2.78+20.47</f>
        <v>23.25</v>
      </c>
      <c r="E143" s="17" t="s">
        <v>29</v>
      </c>
      <c r="F143" s="26"/>
      <c r="G143" s="22"/>
      <c r="H143" s="30"/>
      <c r="I143" s="6"/>
      <c r="K143" s="38"/>
    </row>
    <row r="144" spans="1:11" s="1" customFormat="1">
      <c r="A144" s="10"/>
      <c r="B144" s="13"/>
      <c r="C144" s="9"/>
      <c r="D144" s="16"/>
      <c r="E144" s="17"/>
      <c r="F144" s="26"/>
      <c r="G144" s="22"/>
      <c r="H144" s="30"/>
      <c r="I144" s="6"/>
      <c r="K144" s="38"/>
    </row>
    <row r="145" spans="1:11" s="1" customFormat="1">
      <c r="A145" s="10"/>
      <c r="B145" s="13"/>
      <c r="C145" s="9" t="s">
        <v>66</v>
      </c>
      <c r="D145" s="16">
        <f>13.8+84.72</f>
        <v>98.52</v>
      </c>
      <c r="E145" s="17" t="s">
        <v>16</v>
      </c>
      <c r="F145" s="26">
        <f>18.87</f>
        <v>18.87</v>
      </c>
      <c r="G145" s="22" t="s">
        <v>42</v>
      </c>
      <c r="H145" s="30">
        <f>50+755.72</f>
        <v>805.72</v>
      </c>
      <c r="I145" s="6" t="s">
        <v>67</v>
      </c>
      <c r="K145" s="38"/>
    </row>
    <row r="146" spans="1:11" s="1" customFormat="1">
      <c r="A146" s="10"/>
      <c r="B146" s="13"/>
      <c r="C146" s="9"/>
      <c r="D146" s="16">
        <f>20.15</f>
        <v>20.149999999999999</v>
      </c>
      <c r="E146" s="17" t="s">
        <v>29</v>
      </c>
      <c r="F146" s="26">
        <f>5</f>
        <v>5</v>
      </c>
      <c r="G146" s="22" t="s">
        <v>50</v>
      </c>
      <c r="H146" s="30">
        <f>143.49</f>
        <v>143.49</v>
      </c>
      <c r="I146" s="6" t="s">
        <v>45</v>
      </c>
    </row>
    <row r="147" spans="1:11" s="1" customFormat="1">
      <c r="A147" s="10"/>
      <c r="B147" s="13"/>
      <c r="C147" s="9"/>
      <c r="D147" s="16"/>
      <c r="E147" s="17"/>
      <c r="F147" s="26">
        <f>39.1</f>
        <v>39.1</v>
      </c>
      <c r="G147" s="22" t="s">
        <v>43</v>
      </c>
      <c r="H147" s="30">
        <f>2.63</f>
        <v>2.63</v>
      </c>
      <c r="I147" s="6" t="s">
        <v>15</v>
      </c>
    </row>
    <row r="148" spans="1:11" s="1" customFormat="1">
      <c r="A148" s="9"/>
      <c r="B148" s="9"/>
      <c r="C148" s="10"/>
      <c r="D148" s="16"/>
      <c r="E148" s="17"/>
      <c r="F148" s="26"/>
      <c r="G148" s="22"/>
      <c r="H148" s="30"/>
      <c r="I148" s="6"/>
      <c r="K148" s="39"/>
    </row>
    <row r="149" spans="1:11" s="1" customFormat="1">
      <c r="A149" s="9"/>
      <c r="B149" s="9"/>
      <c r="C149" s="10" t="s">
        <v>76</v>
      </c>
      <c r="D149" s="16">
        <v>20.149999999999999</v>
      </c>
      <c r="E149" s="17" t="s">
        <v>29</v>
      </c>
      <c r="F149" s="26">
        <f>16.84</f>
        <v>16.84</v>
      </c>
      <c r="G149" s="22" t="s">
        <v>42</v>
      </c>
      <c r="H149" s="30">
        <f>50+755.72</f>
        <v>805.72</v>
      </c>
      <c r="I149" s="6" t="s">
        <v>67</v>
      </c>
      <c r="K149" s="39"/>
    </row>
    <row r="150" spans="1:11" s="1" customFormat="1">
      <c r="A150" s="9"/>
      <c r="B150" s="9"/>
      <c r="C150" s="10"/>
      <c r="D150" s="16"/>
      <c r="E150" s="17"/>
      <c r="F150" s="26">
        <v>6.6</v>
      </c>
      <c r="G150" s="22" t="s">
        <v>50</v>
      </c>
      <c r="H150" s="30">
        <f>160.64+143.49</f>
        <v>304.13</v>
      </c>
      <c r="I150" s="6" t="s">
        <v>45</v>
      </c>
      <c r="K150" s="39"/>
    </row>
    <row r="151" spans="1:11" s="1" customFormat="1">
      <c r="A151" s="9"/>
      <c r="B151" s="9"/>
      <c r="C151" s="10"/>
      <c r="D151" s="16"/>
      <c r="E151" s="17"/>
      <c r="F151" s="26">
        <v>39.1</v>
      </c>
      <c r="G151" s="22" t="s">
        <v>43</v>
      </c>
      <c r="H151" s="30"/>
      <c r="I151" s="6"/>
      <c r="K151" s="39"/>
    </row>
    <row r="152" spans="1:11" s="1" customFormat="1">
      <c r="A152" s="9"/>
      <c r="B152" s="9"/>
      <c r="C152" s="9"/>
      <c r="D152" s="16"/>
      <c r="E152" s="17"/>
      <c r="F152" s="26"/>
      <c r="G152" s="22"/>
      <c r="H152" s="30"/>
      <c r="I152" s="2"/>
      <c r="K152" s="4"/>
    </row>
    <row r="153" spans="1:11" s="1" customFormat="1">
      <c r="A153" s="11" t="s">
        <v>4</v>
      </c>
      <c r="B153" s="10"/>
      <c r="C153" s="10"/>
      <c r="D153" s="18">
        <f>SUM(D141:D152)</f>
        <v>447.76</v>
      </c>
      <c r="E153" s="6"/>
      <c r="F153" s="27">
        <f>SUM(F141:F152)</f>
        <v>146.51</v>
      </c>
      <c r="G153" s="23"/>
      <c r="H153" s="31">
        <f>SUM(H141:H152)</f>
        <v>3010.9000000000005</v>
      </c>
      <c r="I153" s="2"/>
    </row>
    <row r="154" spans="1:11" s="1" customFormat="1" ht="15.75" thickBot="1">
      <c r="A154" s="12" t="s">
        <v>5</v>
      </c>
      <c r="B154" s="34">
        <f>SUM(D153+F153+H153)</f>
        <v>3605.1700000000005</v>
      </c>
      <c r="C154" s="33"/>
      <c r="D154" s="19"/>
      <c r="E154" s="20"/>
      <c r="F154" s="28"/>
      <c r="G154" s="24"/>
      <c r="H154" s="32"/>
      <c r="I154" s="3"/>
    </row>
    <row r="155" spans="1:11" s="1" customFormat="1">
      <c r="A155" s="8" t="s">
        <v>40</v>
      </c>
      <c r="B155" s="8" t="s">
        <v>34</v>
      </c>
      <c r="C155" s="8" t="s">
        <v>39</v>
      </c>
      <c r="D155" s="14">
        <f>68</f>
        <v>68</v>
      </c>
      <c r="E155" s="15" t="s">
        <v>16</v>
      </c>
      <c r="F155" s="25">
        <f>6.44</f>
        <v>6.44</v>
      </c>
      <c r="G155" s="21" t="s">
        <v>42</v>
      </c>
      <c r="H155" s="29">
        <v>280.11</v>
      </c>
      <c r="I155" s="5" t="s">
        <v>67</v>
      </c>
    </row>
    <row r="156" spans="1:11" s="1" customFormat="1">
      <c r="A156" s="10"/>
      <c r="B156" s="37" t="s">
        <v>41</v>
      </c>
      <c r="C156" s="9"/>
      <c r="D156" s="16"/>
      <c r="E156" s="17"/>
      <c r="F156" s="26">
        <f>54</f>
        <v>54</v>
      </c>
      <c r="G156" s="22" t="s">
        <v>43</v>
      </c>
      <c r="H156" s="30">
        <v>67</v>
      </c>
      <c r="I156" s="6" t="s">
        <v>44</v>
      </c>
    </row>
    <row r="157" spans="1:11" s="1" customFormat="1">
      <c r="A157" s="9"/>
      <c r="B157" s="9"/>
      <c r="C157" s="10"/>
      <c r="D157" s="16"/>
      <c r="E157" s="17"/>
      <c r="F157" s="26"/>
      <c r="G157" s="22"/>
      <c r="H157" s="30"/>
      <c r="I157" s="6"/>
      <c r="K157" s="38"/>
    </row>
    <row r="158" spans="1:11" s="1" customFormat="1">
      <c r="A158" s="10"/>
      <c r="B158" s="13"/>
      <c r="C158" s="9"/>
      <c r="D158" s="16"/>
      <c r="E158" s="17"/>
      <c r="F158" s="26"/>
      <c r="G158" s="22"/>
      <c r="H158" s="30"/>
      <c r="I158" s="6"/>
      <c r="K158" s="38"/>
    </row>
    <row r="159" spans="1:11" s="1" customFormat="1">
      <c r="A159" s="10"/>
      <c r="B159" s="13"/>
      <c r="C159" s="9" t="s">
        <v>46</v>
      </c>
      <c r="D159" s="16"/>
      <c r="E159" s="17"/>
      <c r="F159" s="26"/>
      <c r="G159" s="22"/>
      <c r="H159" s="30">
        <v>280.11</v>
      </c>
      <c r="I159" s="6" t="s">
        <v>67</v>
      </c>
      <c r="K159" s="38"/>
    </row>
    <row r="160" spans="1:11" s="1" customFormat="1">
      <c r="A160" s="10"/>
      <c r="B160" s="13"/>
      <c r="C160" s="9"/>
      <c r="D160" s="16"/>
      <c r="E160" s="17"/>
      <c r="F160" s="26"/>
      <c r="G160" s="22"/>
      <c r="H160" s="30">
        <v>67</v>
      </c>
      <c r="I160" s="6" t="s">
        <v>45</v>
      </c>
    </row>
    <row r="161" spans="1:11" s="1" customFormat="1">
      <c r="A161" s="9"/>
      <c r="B161" s="9"/>
      <c r="C161" s="9"/>
      <c r="D161" s="16"/>
      <c r="E161" s="17"/>
      <c r="F161" s="26"/>
      <c r="G161" s="22"/>
      <c r="H161" s="30"/>
      <c r="I161" s="2"/>
      <c r="K161" s="4"/>
    </row>
    <row r="162" spans="1:11" s="1" customFormat="1">
      <c r="A162" s="11" t="s">
        <v>4</v>
      </c>
      <c r="B162" s="10"/>
      <c r="C162" s="10"/>
      <c r="D162" s="18">
        <f>SUM(D155:D161)</f>
        <v>68</v>
      </c>
      <c r="E162" s="6"/>
      <c r="F162" s="27">
        <f>SUM(F155:F161)</f>
        <v>60.44</v>
      </c>
      <c r="G162" s="23"/>
      <c r="H162" s="31">
        <f>SUM(H155:H161)</f>
        <v>694.22</v>
      </c>
      <c r="I162" s="2"/>
    </row>
    <row r="163" spans="1:11" s="1" customFormat="1" ht="15.75" thickBot="1">
      <c r="A163" s="12" t="s">
        <v>5</v>
      </c>
      <c r="B163" s="34">
        <f>SUM(D162+F162+H162)</f>
        <v>822.66000000000008</v>
      </c>
      <c r="C163" s="33"/>
      <c r="D163" s="19"/>
      <c r="E163" s="20"/>
      <c r="F163" s="28"/>
      <c r="G163" s="24"/>
      <c r="H163" s="32"/>
      <c r="I163" s="3"/>
    </row>
    <row r="164" spans="1:11" s="1" customFormat="1">
      <c r="A164" s="8" t="s">
        <v>72</v>
      </c>
      <c r="B164" s="8" t="s">
        <v>37</v>
      </c>
      <c r="C164" s="8" t="s">
        <v>70</v>
      </c>
      <c r="D164" s="14">
        <f>21+41.5</f>
        <v>62.5</v>
      </c>
      <c r="E164" s="15" t="s">
        <v>16</v>
      </c>
      <c r="F164" s="25">
        <v>18.37</v>
      </c>
      <c r="G164" s="21" t="s">
        <v>42</v>
      </c>
      <c r="H164" s="29">
        <f>309.25</f>
        <v>309.25</v>
      </c>
      <c r="I164" s="5" t="s">
        <v>67</v>
      </c>
    </row>
    <row r="165" spans="1:11" s="1" customFormat="1">
      <c r="A165" s="10"/>
      <c r="B165" s="37" t="s">
        <v>73</v>
      </c>
      <c r="C165" s="9"/>
      <c r="D165" s="16">
        <f>186.02</f>
        <v>186.02</v>
      </c>
      <c r="E165" s="17" t="s">
        <v>14</v>
      </c>
      <c r="F165" s="26">
        <v>117</v>
      </c>
      <c r="G165" s="22" t="s">
        <v>43</v>
      </c>
      <c r="H165" s="30">
        <f>305.3+369.01-305.3+305.29-369.01+305.29-305.29</f>
        <v>305.28999999999991</v>
      </c>
      <c r="I165" s="6" t="s">
        <v>44</v>
      </c>
    </row>
    <row r="166" spans="1:11" s="1" customFormat="1">
      <c r="A166" s="9"/>
      <c r="B166" s="9"/>
      <c r="C166" s="10"/>
      <c r="D166" s="16"/>
      <c r="E166" s="17"/>
      <c r="F166" s="26">
        <f>5.8</f>
        <v>5.8</v>
      </c>
      <c r="G166" s="22" t="s">
        <v>50</v>
      </c>
      <c r="H166" s="30">
        <f>35.05</f>
        <v>35.049999999999997</v>
      </c>
      <c r="I166" s="6" t="s">
        <v>15</v>
      </c>
      <c r="K166" s="38"/>
    </row>
    <row r="167" spans="1:11" s="1" customFormat="1">
      <c r="A167" s="9"/>
      <c r="B167" s="9"/>
      <c r="C167" s="9"/>
      <c r="D167" s="16"/>
      <c r="E167" s="17"/>
      <c r="F167" s="26"/>
      <c r="G167" s="22"/>
      <c r="H167" s="30"/>
      <c r="I167" s="2"/>
      <c r="K167" s="4"/>
    </row>
    <row r="168" spans="1:11" s="1" customFormat="1">
      <c r="A168" s="11" t="s">
        <v>4</v>
      </c>
      <c r="B168" s="10"/>
      <c r="C168" s="10"/>
      <c r="D168" s="18">
        <f>SUM(D164:D167)</f>
        <v>248.52</v>
      </c>
      <c r="E168" s="6"/>
      <c r="F168" s="27">
        <f>SUM(F164:F167)</f>
        <v>141.17000000000002</v>
      </c>
      <c r="G168" s="23"/>
      <c r="H168" s="31">
        <f>SUM(H164:H167)</f>
        <v>649.58999999999992</v>
      </c>
      <c r="I168" s="2"/>
    </row>
    <row r="169" spans="1:11" s="1" customFormat="1" ht="15.75" thickBot="1">
      <c r="A169" s="12" t="s">
        <v>5</v>
      </c>
      <c r="B169" s="34">
        <f>SUM(D168+F168+H168)</f>
        <v>1039.28</v>
      </c>
      <c r="C169" s="33"/>
      <c r="D169" s="19"/>
      <c r="E169" s="20"/>
      <c r="F169" s="28"/>
      <c r="G169" s="24"/>
      <c r="H169" s="32"/>
      <c r="I169" s="3"/>
    </row>
    <row r="170" spans="1:11" ht="15.75" thickBot="1"/>
    <row r="171" spans="1:11" ht="20.25" thickBot="1">
      <c r="A171" s="35" t="s">
        <v>8</v>
      </c>
      <c r="B171" s="36">
        <f>SUM(B10,B31,B41,B50,B60,B73,B87,B93,B103,B108,B118,B127,B135,B140,B154,B163,B169)</f>
        <v>43016.299999999996</v>
      </c>
      <c r="J171" s="1"/>
      <c r="K171" s="40"/>
    </row>
    <row r="172" spans="1:11">
      <c r="J172" s="1"/>
      <c r="K172" s="40"/>
    </row>
    <row r="173" spans="1:11">
      <c r="J173" s="1"/>
      <c r="K173" s="40"/>
    </row>
    <row r="174" spans="1:11">
      <c r="J174" s="1"/>
      <c r="K174" s="40"/>
    </row>
    <row r="175" spans="1:11">
      <c r="J175" s="1"/>
      <c r="K175" s="40"/>
    </row>
    <row r="176" spans="1:11">
      <c r="J176" s="1"/>
      <c r="K176" s="41"/>
    </row>
    <row r="177" spans="10:11">
      <c r="J177" s="1"/>
      <c r="K177" s="4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workbookViewId="0">
      <selection activeCell="H11" sqref="H11"/>
    </sheetView>
  </sheetViews>
  <sheetFormatPr defaultRowHeight="15"/>
  <cols>
    <col min="1" max="1" width="17.7109375" customWidth="1"/>
    <col min="2" max="2" width="35.5703125" bestFit="1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 t="s">
        <v>335</v>
      </c>
      <c r="B2" s="8" t="s">
        <v>320</v>
      </c>
      <c r="C2" s="8" t="s">
        <v>20</v>
      </c>
      <c r="D2" s="14">
        <f>7.5</f>
        <v>7.5</v>
      </c>
      <c r="E2" s="15" t="s">
        <v>16</v>
      </c>
      <c r="F2" s="25">
        <f>3.9</f>
        <v>3.9</v>
      </c>
      <c r="G2" s="21" t="s">
        <v>50</v>
      </c>
      <c r="H2" s="29">
        <f>641.9</f>
        <v>641.9</v>
      </c>
      <c r="I2" s="5" t="s">
        <v>67</v>
      </c>
    </row>
    <row r="3" spans="1:9" s="1" customFormat="1">
      <c r="A3" s="10"/>
      <c r="B3" s="37" t="s">
        <v>17</v>
      </c>
      <c r="C3" s="9"/>
      <c r="D3" s="16">
        <f>69.4+132.63</f>
        <v>202.03</v>
      </c>
      <c r="E3" s="17" t="s">
        <v>14</v>
      </c>
      <c r="F3" s="26">
        <v>2</v>
      </c>
      <c r="G3" s="22" t="s">
        <v>43</v>
      </c>
      <c r="H3" s="30">
        <f>544.78</f>
        <v>544.78</v>
      </c>
      <c r="I3" s="6" t="s">
        <v>45</v>
      </c>
    </row>
    <row r="4" spans="1:9" s="1" customFormat="1">
      <c r="A4" s="10"/>
      <c r="B4" s="37"/>
      <c r="C4" s="9"/>
      <c r="D4" s="16">
        <f>25.02</f>
        <v>25.02</v>
      </c>
      <c r="E4" s="17" t="s">
        <v>29</v>
      </c>
      <c r="F4" s="26"/>
      <c r="G4" s="22"/>
      <c r="H4" s="30">
        <f>48.28</f>
        <v>48.28</v>
      </c>
      <c r="I4" s="6" t="s">
        <v>15</v>
      </c>
    </row>
    <row r="5" spans="1:9" s="1" customFormat="1">
      <c r="A5" s="10"/>
      <c r="B5" s="37"/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77</v>
      </c>
      <c r="D6" s="16">
        <f>25.22</f>
        <v>25.22</v>
      </c>
      <c r="E6" s="17" t="s">
        <v>29</v>
      </c>
      <c r="F6" s="26">
        <v>112.03</v>
      </c>
      <c r="G6" s="22" t="s">
        <v>42</v>
      </c>
      <c r="H6" s="30">
        <f>567.93+440-567.93</f>
        <v>440</v>
      </c>
      <c r="I6" s="6" t="s">
        <v>45</v>
      </c>
    </row>
    <row r="7" spans="1:9" s="1" customFormat="1">
      <c r="A7" s="10"/>
      <c r="B7" s="37"/>
      <c r="C7" s="9"/>
      <c r="D7" s="16"/>
      <c r="E7" s="17"/>
      <c r="F7" s="26"/>
      <c r="G7" s="22"/>
      <c r="H7" s="30"/>
      <c r="I7" s="6"/>
    </row>
    <row r="8" spans="1:9" s="1" customFormat="1">
      <c r="A8" s="10"/>
      <c r="B8" s="37"/>
      <c r="C8" s="9"/>
      <c r="D8" s="16"/>
      <c r="E8" s="17"/>
      <c r="F8" s="26"/>
      <c r="G8" s="22"/>
      <c r="H8" s="30"/>
      <c r="I8" s="6"/>
    </row>
    <row r="9" spans="1:9" s="1" customFormat="1">
      <c r="A9" s="10"/>
      <c r="B9" s="37"/>
      <c r="C9" s="9" t="s">
        <v>71</v>
      </c>
      <c r="D9" s="16">
        <f>20.96+152.71+9.36</f>
        <v>183.03000000000003</v>
      </c>
      <c r="E9" s="17" t="s">
        <v>16</v>
      </c>
      <c r="F9" s="26">
        <f>74</f>
        <v>74</v>
      </c>
      <c r="G9" s="22" t="s">
        <v>43</v>
      </c>
      <c r="H9" s="30">
        <f>836.04</f>
        <v>836.04</v>
      </c>
      <c r="I9" s="6" t="s">
        <v>67</v>
      </c>
    </row>
    <row r="10" spans="1:9" s="1" customFormat="1">
      <c r="A10" s="10"/>
      <c r="B10" s="37"/>
      <c r="C10" s="9"/>
      <c r="D10" s="16">
        <f>57.24</f>
        <v>57.24</v>
      </c>
      <c r="E10" s="17" t="s">
        <v>14</v>
      </c>
      <c r="F10" s="26"/>
      <c r="G10" s="22"/>
      <c r="H10" s="30">
        <f>482.11+552+1.8-482.11</f>
        <v>553.80000000000007</v>
      </c>
      <c r="I10" s="6" t="s">
        <v>45</v>
      </c>
    </row>
    <row r="11" spans="1:9" s="1" customFormat="1">
      <c r="A11" s="10"/>
      <c r="B11" s="37"/>
      <c r="C11" s="9"/>
      <c r="D11" s="16">
        <v>17.399999999999999</v>
      </c>
      <c r="E11" s="17" t="s">
        <v>29</v>
      </c>
      <c r="F11" s="26"/>
      <c r="G11" s="22"/>
      <c r="H11" s="30">
        <v>166.12</v>
      </c>
      <c r="I11" s="6" t="s">
        <v>15</v>
      </c>
    </row>
    <row r="12" spans="1:9" s="1" customFormat="1">
      <c r="A12" s="10"/>
      <c r="B12" s="37"/>
      <c r="C12" s="9"/>
      <c r="D12" s="16"/>
      <c r="E12" s="17"/>
      <c r="F12" s="26"/>
      <c r="G12" s="22"/>
      <c r="H12" s="30"/>
      <c r="I12" s="6"/>
    </row>
    <row r="13" spans="1:9" s="1" customFormat="1">
      <c r="A13" s="10"/>
      <c r="B13" s="37"/>
      <c r="C13" s="9" t="s">
        <v>135</v>
      </c>
      <c r="D13" s="16">
        <f>9.7+39.23+22.52</f>
        <v>71.449999999999989</v>
      </c>
      <c r="E13" s="17" t="s">
        <v>16</v>
      </c>
      <c r="F13" s="26">
        <v>65</v>
      </c>
      <c r="G13" s="22" t="s">
        <v>43</v>
      </c>
      <c r="H13" s="30">
        <f>836.04</f>
        <v>836.04</v>
      </c>
      <c r="I13" s="6" t="s">
        <v>67</v>
      </c>
    </row>
    <row r="14" spans="1:9" s="1" customFormat="1">
      <c r="A14" s="10"/>
      <c r="B14" s="37"/>
      <c r="C14" s="9"/>
      <c r="D14" s="16">
        <f>59.11</f>
        <v>59.11</v>
      </c>
      <c r="E14" s="17" t="s">
        <v>14</v>
      </c>
      <c r="F14" s="26"/>
      <c r="G14" s="22"/>
      <c r="H14" s="30">
        <f>544.78</f>
        <v>544.78</v>
      </c>
      <c r="I14" s="6" t="s">
        <v>45</v>
      </c>
    </row>
    <row r="15" spans="1:9" s="1" customFormat="1">
      <c r="A15" s="10"/>
      <c r="B15" s="37"/>
      <c r="C15" s="9"/>
      <c r="D15" s="16">
        <f>19.02+10.84</f>
        <v>29.86</v>
      </c>
      <c r="E15" s="17" t="s">
        <v>29</v>
      </c>
      <c r="F15" s="26"/>
      <c r="G15" s="22"/>
      <c r="H15" s="30">
        <f>222</f>
        <v>222</v>
      </c>
      <c r="I15" s="6" t="s">
        <v>15</v>
      </c>
    </row>
    <row r="16" spans="1:9" s="1" customFormat="1">
      <c r="A16" s="10"/>
      <c r="B16" s="37"/>
      <c r="C16" s="9"/>
      <c r="D16" s="16"/>
      <c r="E16" s="17"/>
      <c r="F16" s="26"/>
      <c r="G16" s="22"/>
      <c r="H16" s="30"/>
      <c r="I16" s="6"/>
    </row>
    <row r="17" spans="1:9" s="1" customFormat="1">
      <c r="A17" s="10"/>
      <c r="B17" s="37"/>
      <c r="C17" s="9" t="s">
        <v>321</v>
      </c>
      <c r="D17" s="16"/>
      <c r="E17" s="17"/>
      <c r="F17" s="26"/>
      <c r="G17" s="22"/>
      <c r="H17" s="30">
        <f>851.9+861-851.9</f>
        <v>861.00000000000011</v>
      </c>
      <c r="I17" s="6" t="s">
        <v>45</v>
      </c>
    </row>
    <row r="18" spans="1:9" s="1" customFormat="1">
      <c r="A18" s="10"/>
      <c r="B18" s="37"/>
      <c r="C18" s="9"/>
      <c r="D18" s="16"/>
      <c r="E18" s="17"/>
      <c r="F18" s="26"/>
      <c r="G18" s="22"/>
      <c r="H18" s="30"/>
      <c r="I18" s="6"/>
    </row>
    <row r="19" spans="1:9" s="1" customFormat="1">
      <c r="A19" s="10"/>
      <c r="B19" s="37"/>
      <c r="C19" s="9" t="s">
        <v>195</v>
      </c>
      <c r="D19" s="16">
        <v>4.84</v>
      </c>
      <c r="E19" s="17" t="s">
        <v>16</v>
      </c>
      <c r="F19" s="26">
        <f>8.54</f>
        <v>8.5399999999999991</v>
      </c>
      <c r="G19" s="22" t="s">
        <v>42</v>
      </c>
      <c r="H19" s="30">
        <f>836.04</f>
        <v>836.04</v>
      </c>
      <c r="I19" s="6" t="s">
        <v>67</v>
      </c>
    </row>
    <row r="20" spans="1:9" s="1" customFormat="1">
      <c r="A20" s="10"/>
      <c r="B20" s="37"/>
      <c r="C20" s="9"/>
      <c r="D20" s="16">
        <f>11.18+31.96</f>
        <v>43.14</v>
      </c>
      <c r="E20" s="17" t="s">
        <v>14</v>
      </c>
      <c r="F20" s="26">
        <v>4.4000000000000004</v>
      </c>
      <c r="G20" s="22" t="s">
        <v>50</v>
      </c>
      <c r="H20" s="30">
        <f>544.78+540.79-544.78</f>
        <v>540.79</v>
      </c>
      <c r="I20" s="6" t="s">
        <v>45</v>
      </c>
    </row>
    <row r="21" spans="1:9" s="1" customFormat="1">
      <c r="A21" s="10"/>
      <c r="B21" s="37"/>
      <c r="C21" s="9"/>
      <c r="D21" s="16">
        <v>10</v>
      </c>
      <c r="E21" s="17" t="s">
        <v>29</v>
      </c>
      <c r="F21" s="26">
        <f>69</f>
        <v>69</v>
      </c>
      <c r="G21" s="22" t="s">
        <v>43</v>
      </c>
      <c r="H21" s="30">
        <v>79.23</v>
      </c>
      <c r="I21" s="6" t="s">
        <v>15</v>
      </c>
    </row>
    <row r="22" spans="1:9" s="1" customFormat="1">
      <c r="A22" s="10"/>
      <c r="B22" s="37"/>
      <c r="C22" s="9"/>
      <c r="D22" s="16"/>
      <c r="E22" s="17"/>
      <c r="F22" s="26"/>
      <c r="G22" s="22"/>
      <c r="H22" s="30"/>
      <c r="I22" s="6"/>
    </row>
    <row r="23" spans="1:9" s="1" customFormat="1">
      <c r="A23" s="10"/>
      <c r="B23" s="37"/>
      <c r="C23" s="9" t="s">
        <v>196</v>
      </c>
      <c r="D23" s="16"/>
      <c r="E23" s="17"/>
      <c r="F23" s="26">
        <f>11.74</f>
        <v>11.74</v>
      </c>
      <c r="G23" s="22" t="s">
        <v>42</v>
      </c>
      <c r="H23" s="30">
        <f>836.04</f>
        <v>836.04</v>
      </c>
      <c r="I23" s="6" t="s">
        <v>67</v>
      </c>
    </row>
    <row r="24" spans="1:9" s="1" customFormat="1">
      <c r="A24" s="10"/>
      <c r="B24" s="37"/>
      <c r="C24" s="9"/>
      <c r="D24" s="16"/>
      <c r="E24" s="17"/>
      <c r="F24" s="26">
        <f>6.8</f>
        <v>6.8</v>
      </c>
      <c r="G24" s="22" t="s">
        <v>50</v>
      </c>
      <c r="H24" s="30">
        <f>544.78</f>
        <v>544.78</v>
      </c>
      <c r="I24" s="6" t="s">
        <v>45</v>
      </c>
    </row>
    <row r="25" spans="1:9" s="1" customFormat="1">
      <c r="A25" s="10"/>
      <c r="B25" s="37"/>
      <c r="C25" s="9"/>
      <c r="D25" s="16"/>
      <c r="E25" s="17"/>
      <c r="F25" s="26">
        <v>69</v>
      </c>
      <c r="G25" s="22" t="s">
        <v>43</v>
      </c>
      <c r="H25" s="30"/>
      <c r="I25" s="6"/>
    </row>
    <row r="26" spans="1:9" s="1" customFormat="1">
      <c r="A26" s="10"/>
      <c r="B26" s="37"/>
      <c r="C26" s="9"/>
      <c r="D26" s="16"/>
      <c r="E26" s="17"/>
      <c r="F26" s="26"/>
      <c r="G26" s="22"/>
      <c r="H26" s="30"/>
      <c r="I26" s="6"/>
    </row>
    <row r="27" spans="1:9" s="1" customFormat="1">
      <c r="A27" s="10" t="s">
        <v>345</v>
      </c>
      <c r="B27" s="37" t="s">
        <v>362</v>
      </c>
      <c r="C27" s="9" t="s">
        <v>9</v>
      </c>
      <c r="D27" s="16">
        <f>966.9</f>
        <v>966.9</v>
      </c>
      <c r="E27" s="17" t="s">
        <v>16</v>
      </c>
      <c r="F27" s="26">
        <f>12</f>
        <v>12</v>
      </c>
      <c r="G27" s="22" t="s">
        <v>32</v>
      </c>
      <c r="H27" s="30">
        <f>2984.4</f>
        <v>2984.4</v>
      </c>
      <c r="I27" s="6" t="s">
        <v>67</v>
      </c>
    </row>
    <row r="28" spans="1:9" s="1" customFormat="1">
      <c r="A28" s="10"/>
      <c r="B28" s="37"/>
      <c r="C28" s="9"/>
      <c r="D28" s="16">
        <f>110+226.2</f>
        <v>336.2</v>
      </c>
      <c r="E28" s="17" t="s">
        <v>14</v>
      </c>
      <c r="F28" s="26"/>
      <c r="G28" s="22"/>
      <c r="H28" s="30">
        <f>544.78</f>
        <v>544.78</v>
      </c>
      <c r="I28" s="6" t="s">
        <v>45</v>
      </c>
    </row>
    <row r="29" spans="1:9" s="1" customFormat="1">
      <c r="A29" s="10"/>
      <c r="B29" s="37"/>
      <c r="C29" s="9"/>
      <c r="D29" s="16"/>
      <c r="E29" s="17"/>
      <c r="F29" s="26"/>
      <c r="G29" s="22"/>
      <c r="H29" s="30">
        <f>862.9</f>
        <v>862.9</v>
      </c>
      <c r="I29" s="6" t="s">
        <v>363</v>
      </c>
    </row>
    <row r="30" spans="1:9" s="1" customFormat="1">
      <c r="A30" s="10"/>
      <c r="B30" s="37"/>
      <c r="C30" s="9"/>
      <c r="D30" s="16">
        <f>10.79</f>
        <v>10.79</v>
      </c>
      <c r="E30" s="17" t="s">
        <v>29</v>
      </c>
      <c r="F30" s="26"/>
      <c r="G30" s="22"/>
      <c r="H30" s="30">
        <f>590.55</f>
        <v>590.54999999999995</v>
      </c>
      <c r="I30" s="6" t="s">
        <v>354</v>
      </c>
    </row>
    <row r="31" spans="1:9" s="1" customFormat="1">
      <c r="A31" s="10"/>
      <c r="B31" s="37"/>
      <c r="C31" s="9"/>
      <c r="D31" s="16"/>
      <c r="E31" s="17"/>
      <c r="F31" s="26"/>
      <c r="G31" s="22"/>
      <c r="H31" s="30"/>
      <c r="I31" s="6"/>
    </row>
    <row r="32" spans="1:9" s="1" customFormat="1">
      <c r="A32" s="10"/>
      <c r="B32" s="37"/>
      <c r="C32" s="9" t="s">
        <v>10</v>
      </c>
      <c r="D32" s="16">
        <f>112.38</f>
        <v>112.38</v>
      </c>
      <c r="E32" s="17" t="s">
        <v>16</v>
      </c>
      <c r="F32" s="26"/>
      <c r="G32" s="22"/>
      <c r="H32" s="30">
        <f>2984.4</f>
        <v>2984.4</v>
      </c>
      <c r="I32" s="6" t="s">
        <v>67</v>
      </c>
    </row>
    <row r="33" spans="1:9" s="1" customFormat="1">
      <c r="A33" s="10"/>
      <c r="B33" s="37"/>
      <c r="C33" s="9"/>
      <c r="D33" s="16"/>
      <c r="E33" s="17"/>
      <c r="F33" s="26"/>
      <c r="G33" s="22"/>
      <c r="H33" s="30">
        <f>949.9</f>
        <v>949.9</v>
      </c>
      <c r="I33" s="6" t="s">
        <v>336</v>
      </c>
    </row>
    <row r="34" spans="1:9" s="1" customFormat="1">
      <c r="A34" s="10"/>
      <c r="B34" s="37"/>
      <c r="C34" s="9"/>
      <c r="D34" s="16"/>
      <c r="E34" s="17"/>
      <c r="F34" s="26"/>
      <c r="G34" s="22"/>
      <c r="H34" s="30">
        <f>862.9</f>
        <v>862.9</v>
      </c>
      <c r="I34" s="6" t="s">
        <v>363</v>
      </c>
    </row>
    <row r="35" spans="1:9" s="1" customFormat="1">
      <c r="A35" s="10"/>
      <c r="B35" s="37"/>
      <c r="C35" s="9"/>
      <c r="D35" s="16"/>
      <c r="E35" s="17"/>
      <c r="F35" s="26"/>
      <c r="G35" s="22"/>
      <c r="H35" s="30">
        <f>1049.37</f>
        <v>1049.3699999999999</v>
      </c>
      <c r="I35" s="6" t="s">
        <v>15</v>
      </c>
    </row>
    <row r="36" spans="1:9" s="1" customFormat="1">
      <c r="A36" s="10"/>
      <c r="B36" s="37"/>
      <c r="C36" s="9"/>
      <c r="D36" s="16"/>
      <c r="E36" s="17"/>
      <c r="F36" s="26"/>
      <c r="G36" s="22"/>
      <c r="H36" s="30"/>
      <c r="I36" s="6"/>
    </row>
    <row r="37" spans="1:9" s="1" customFormat="1">
      <c r="A37" s="11" t="s">
        <v>4</v>
      </c>
      <c r="B37" s="10"/>
      <c r="C37" s="10"/>
      <c r="D37" s="18">
        <f>SUM(D2:D36)</f>
        <v>2162.1100000000006</v>
      </c>
      <c r="E37" s="6"/>
      <c r="F37" s="27">
        <f>SUM(F2:F36)</f>
        <v>438.41</v>
      </c>
      <c r="G37" s="23"/>
      <c r="H37" s="31">
        <f>SUM(H2:H36)</f>
        <v>19360.82</v>
      </c>
      <c r="I37" s="2"/>
    </row>
    <row r="38" spans="1:9" s="1" customFormat="1" ht="15.75" thickBot="1">
      <c r="A38" s="12" t="s">
        <v>5</v>
      </c>
      <c r="B38" s="34">
        <f>SUM(D37+F37+H37)</f>
        <v>21961.34</v>
      </c>
      <c r="C38" s="33"/>
      <c r="D38" s="19"/>
      <c r="E38" s="20"/>
      <c r="F38" s="28"/>
      <c r="G38" s="24"/>
      <c r="H38" s="32"/>
      <c r="I38" s="3"/>
    </row>
    <row r="39" spans="1:9" s="1" customFormat="1">
      <c r="A39" s="43" t="s">
        <v>345</v>
      </c>
      <c r="B39" s="8" t="s">
        <v>346</v>
      </c>
      <c r="C39" s="8" t="s">
        <v>57</v>
      </c>
      <c r="D39" s="14">
        <f>1118.24</f>
        <v>1118.24</v>
      </c>
      <c r="E39" s="15" t="s">
        <v>16</v>
      </c>
      <c r="F39" s="25">
        <f>18</f>
        <v>18</v>
      </c>
      <c r="G39" s="21" t="s">
        <v>31</v>
      </c>
      <c r="H39" s="26">
        <f>86+86</f>
        <v>172</v>
      </c>
      <c r="I39" s="22" t="s">
        <v>358</v>
      </c>
    </row>
    <row r="40" spans="1:9" s="1" customFormat="1">
      <c r="A40" s="10"/>
      <c r="B40" s="37" t="s">
        <v>27</v>
      </c>
      <c r="C40" s="9"/>
      <c r="D40" s="16">
        <f>184.8</f>
        <v>184.8</v>
      </c>
      <c r="E40" s="17" t="s">
        <v>14</v>
      </c>
      <c r="F40" s="26"/>
      <c r="G40" s="22"/>
      <c r="H40" s="30">
        <v>294</v>
      </c>
      <c r="I40" s="6" t="s">
        <v>45</v>
      </c>
    </row>
    <row r="41" spans="1:9" s="1" customFormat="1">
      <c r="A41" s="10"/>
      <c r="B41" s="37"/>
      <c r="C41" s="9"/>
      <c r="D41" s="16"/>
      <c r="E41" s="17"/>
      <c r="F41" s="26"/>
      <c r="G41" s="22"/>
      <c r="H41" s="30"/>
      <c r="I41" s="6"/>
    </row>
    <row r="42" spans="1:9" s="1" customFormat="1">
      <c r="A42" s="10"/>
      <c r="B42" s="37"/>
      <c r="C42" s="9" t="s">
        <v>158</v>
      </c>
      <c r="D42" s="16"/>
      <c r="E42" s="17"/>
      <c r="F42" s="26"/>
      <c r="G42" s="22"/>
      <c r="H42" s="30">
        <f>86+86+86+86</f>
        <v>344</v>
      </c>
      <c r="I42" s="6" t="s">
        <v>358</v>
      </c>
    </row>
    <row r="43" spans="1:9" s="1" customFormat="1">
      <c r="A43" s="10"/>
      <c r="B43" s="37"/>
      <c r="C43" s="9"/>
      <c r="D43" s="16"/>
      <c r="E43" s="17"/>
      <c r="F43" s="26"/>
      <c r="G43" s="22"/>
      <c r="H43" s="30">
        <v>354</v>
      </c>
      <c r="I43" s="6" t="s">
        <v>45</v>
      </c>
    </row>
    <row r="44" spans="1:9" s="1" customFormat="1">
      <c r="A44" s="10"/>
      <c r="B44" s="37"/>
      <c r="C44" s="9"/>
      <c r="D44" s="16"/>
      <c r="E44" s="17"/>
      <c r="F44" s="26"/>
      <c r="G44" s="22"/>
      <c r="H44" s="30"/>
      <c r="I44" s="6"/>
    </row>
    <row r="45" spans="1:9" s="1" customFormat="1">
      <c r="A45" s="11" t="s">
        <v>4</v>
      </c>
      <c r="B45" s="10"/>
      <c r="C45" s="10"/>
      <c r="D45" s="18">
        <f>SUM(D39:D40)</f>
        <v>1303.04</v>
      </c>
      <c r="E45" s="6"/>
      <c r="F45" s="27">
        <f>SUM(F39:F40)</f>
        <v>18</v>
      </c>
      <c r="G45" s="23"/>
      <c r="H45" s="31">
        <f>SUM(H39:H44)</f>
        <v>1164</v>
      </c>
      <c r="I45" s="2"/>
    </row>
    <row r="46" spans="1:9" s="1" customFormat="1" ht="15.75" thickBot="1">
      <c r="A46" s="12" t="s">
        <v>5</v>
      </c>
      <c r="B46" s="34">
        <f>SUM(D45+F45+H45)</f>
        <v>2485.04</v>
      </c>
      <c r="C46" s="33"/>
      <c r="D46" s="19"/>
      <c r="E46" s="20"/>
      <c r="F46" s="28"/>
      <c r="G46" s="24"/>
      <c r="H46" s="32"/>
      <c r="I46" s="3"/>
    </row>
    <row r="47" spans="1:9" s="1" customFormat="1">
      <c r="A47" s="43" t="s">
        <v>342</v>
      </c>
      <c r="B47" s="8" t="s">
        <v>79</v>
      </c>
      <c r="C47" s="8" t="s">
        <v>135</v>
      </c>
      <c r="D47" s="14">
        <f>5.14+15.88</f>
        <v>21.02</v>
      </c>
      <c r="E47" s="15" t="s">
        <v>16</v>
      </c>
      <c r="F47" s="25"/>
      <c r="G47" s="21"/>
      <c r="H47" s="29">
        <f>342.34+276.98+180</f>
        <v>799.31999999999994</v>
      </c>
      <c r="I47" s="5" t="s">
        <v>67</v>
      </c>
    </row>
    <row r="48" spans="1:9" s="1" customFormat="1">
      <c r="A48" s="10"/>
      <c r="B48" s="37" t="s">
        <v>19</v>
      </c>
      <c r="C48" s="9"/>
      <c r="D48" s="16">
        <f>24.61</f>
        <v>24.61</v>
      </c>
      <c r="E48" s="17" t="s">
        <v>14</v>
      </c>
      <c r="F48" s="26"/>
      <c r="G48" s="22"/>
      <c r="H48" s="30">
        <f>93.55+232.43-93.55</f>
        <v>232.43</v>
      </c>
      <c r="I48" s="6" t="s">
        <v>45</v>
      </c>
    </row>
    <row r="49" spans="1:9" s="1" customFormat="1">
      <c r="A49" s="10"/>
      <c r="B49" s="37"/>
      <c r="C49" s="9"/>
      <c r="D49" s="16">
        <f>66</f>
        <v>66</v>
      </c>
      <c r="E49" s="17" t="s">
        <v>29</v>
      </c>
      <c r="F49" s="26"/>
      <c r="G49" s="22"/>
      <c r="H49" s="30">
        <f>54.98</f>
        <v>54.98</v>
      </c>
      <c r="I49" s="6" t="s">
        <v>15</v>
      </c>
    </row>
    <row r="50" spans="1:9" s="1" customFormat="1">
      <c r="A50" s="10"/>
      <c r="B50" s="37"/>
      <c r="C50" s="9"/>
      <c r="D50" s="16"/>
      <c r="E50" s="17"/>
      <c r="F50" s="26"/>
      <c r="G50" s="22"/>
      <c r="H50" s="30"/>
      <c r="I50" s="6"/>
    </row>
    <row r="51" spans="1:9" s="1" customFormat="1">
      <c r="A51" s="10"/>
      <c r="B51" s="37"/>
      <c r="C51" s="9" t="s">
        <v>360</v>
      </c>
      <c r="D51" s="16"/>
      <c r="E51" s="17"/>
      <c r="F51" s="26"/>
      <c r="G51" s="22"/>
      <c r="H51" s="30">
        <f>322.24</f>
        <v>322.24</v>
      </c>
      <c r="I51" s="6" t="s">
        <v>67</v>
      </c>
    </row>
    <row r="52" spans="1:9" s="1" customFormat="1">
      <c r="A52" s="10"/>
      <c r="B52" s="37"/>
      <c r="C52" s="9"/>
      <c r="D52" s="16"/>
      <c r="E52" s="17"/>
      <c r="F52" s="26"/>
      <c r="G52" s="22"/>
      <c r="H52" s="30"/>
      <c r="I52" s="6"/>
    </row>
    <row r="53" spans="1:9" s="1" customFormat="1">
      <c r="A53" s="10"/>
      <c r="B53" s="37"/>
      <c r="C53" s="9" t="s">
        <v>361</v>
      </c>
      <c r="D53" s="16"/>
      <c r="E53" s="17"/>
      <c r="F53" s="26"/>
      <c r="G53" s="22"/>
      <c r="H53" s="30">
        <f>322.24-322.24+322.24</f>
        <v>322.24</v>
      </c>
      <c r="I53" s="6" t="s">
        <v>67</v>
      </c>
    </row>
    <row r="54" spans="1:9" s="1" customFormat="1">
      <c r="A54" s="10"/>
      <c r="B54" s="37"/>
      <c r="C54" s="9"/>
      <c r="D54" s="16"/>
      <c r="E54" s="17"/>
      <c r="F54" s="26"/>
      <c r="G54" s="22"/>
      <c r="H54" s="30"/>
      <c r="I54" s="6"/>
    </row>
    <row r="55" spans="1:9" s="1" customFormat="1">
      <c r="A55" s="11" t="s">
        <v>4</v>
      </c>
      <c r="B55" s="10"/>
      <c r="C55" s="10"/>
      <c r="D55" s="18">
        <f>SUM(D47:D54)</f>
        <v>111.63</v>
      </c>
      <c r="E55" s="6"/>
      <c r="F55" s="27">
        <f>SUM(F47:F48)</f>
        <v>0</v>
      </c>
      <c r="G55" s="23"/>
      <c r="H55" s="31">
        <f>SUM(H47:H54)</f>
        <v>1731.21</v>
      </c>
      <c r="I55" s="2"/>
    </row>
    <row r="56" spans="1:9" s="1" customFormat="1" ht="15.75" thickBot="1">
      <c r="A56" s="12" t="s">
        <v>5</v>
      </c>
      <c r="B56" s="34">
        <f>SUM(D55+F55+H55)</f>
        <v>1842.8400000000001</v>
      </c>
      <c r="C56" s="33"/>
      <c r="D56" s="19"/>
      <c r="E56" s="20"/>
      <c r="F56" s="28"/>
      <c r="G56" s="24"/>
      <c r="H56" s="32"/>
      <c r="I56" s="3"/>
    </row>
    <row r="57" spans="1:9" s="1" customFormat="1">
      <c r="A57" s="43" t="s">
        <v>343</v>
      </c>
      <c r="B57" s="8" t="s">
        <v>55</v>
      </c>
      <c r="C57" s="8" t="s">
        <v>39</v>
      </c>
      <c r="D57" s="14">
        <f>28.3+90.9</f>
        <v>119.2</v>
      </c>
      <c r="E57" s="15" t="s">
        <v>16</v>
      </c>
      <c r="F57" s="25">
        <f>24</f>
        <v>24</v>
      </c>
      <c r="G57" s="21" t="s">
        <v>32</v>
      </c>
      <c r="H57" s="29">
        <f>443.87+235.1+188</f>
        <v>866.97</v>
      </c>
      <c r="I57" s="5" t="s">
        <v>67</v>
      </c>
    </row>
    <row r="58" spans="1:9" s="1" customFormat="1">
      <c r="A58" s="10"/>
      <c r="B58" s="37" t="s">
        <v>38</v>
      </c>
      <c r="C58" s="9"/>
      <c r="D58" s="16">
        <f>20</f>
        <v>20</v>
      </c>
      <c r="E58" s="17" t="s">
        <v>101</v>
      </c>
      <c r="F58" s="26"/>
      <c r="G58" s="22"/>
      <c r="H58" s="30">
        <f>371.39</f>
        <v>371.39</v>
      </c>
      <c r="I58" s="6" t="s">
        <v>45</v>
      </c>
    </row>
    <row r="59" spans="1:9" s="1" customFormat="1">
      <c r="A59" s="10"/>
      <c r="B59" s="37"/>
      <c r="C59" s="9"/>
      <c r="D59" s="16"/>
      <c r="E59" s="17"/>
      <c r="F59" s="26"/>
      <c r="G59" s="22"/>
      <c r="H59" s="30">
        <v>86.62</v>
      </c>
      <c r="I59" s="6" t="s">
        <v>15</v>
      </c>
    </row>
    <row r="60" spans="1:9" s="1" customFormat="1">
      <c r="A60" s="10"/>
      <c r="B60" s="37"/>
      <c r="C60" s="9"/>
      <c r="D60" s="16"/>
      <c r="E60" s="17"/>
      <c r="F60" s="26"/>
      <c r="G60" s="22"/>
      <c r="H60" s="30"/>
      <c r="I60" s="6"/>
    </row>
    <row r="61" spans="1:9" s="1" customFormat="1">
      <c r="A61" s="10"/>
      <c r="B61" s="37"/>
      <c r="C61" s="9" t="s">
        <v>57</v>
      </c>
      <c r="D61" s="16">
        <f>11.3+204.89</f>
        <v>216.19</v>
      </c>
      <c r="E61" s="17" t="s">
        <v>16</v>
      </c>
      <c r="F61" s="26">
        <v>12</v>
      </c>
      <c r="G61" s="22" t="s">
        <v>32</v>
      </c>
      <c r="H61" s="30">
        <f>426.17</f>
        <v>426.17</v>
      </c>
      <c r="I61" s="6" t="s">
        <v>67</v>
      </c>
    </row>
    <row r="62" spans="1:9" s="1" customFormat="1">
      <c r="A62" s="10"/>
      <c r="B62" s="37"/>
      <c r="C62" s="9"/>
      <c r="D62" s="16">
        <f>9.7+138.26</f>
        <v>147.95999999999998</v>
      </c>
      <c r="E62" s="17" t="s">
        <v>14</v>
      </c>
      <c r="F62" s="26"/>
      <c r="G62" s="22"/>
      <c r="H62" s="30">
        <f>468.06+117.01</f>
        <v>585.07000000000005</v>
      </c>
      <c r="I62" s="6" t="s">
        <v>45</v>
      </c>
    </row>
    <row r="63" spans="1:9" s="1" customFormat="1">
      <c r="A63" s="10"/>
      <c r="B63" s="37"/>
      <c r="C63" s="9"/>
      <c r="D63" s="16">
        <f>19.77</f>
        <v>19.77</v>
      </c>
      <c r="E63" s="17" t="s">
        <v>101</v>
      </c>
      <c r="F63" s="26"/>
      <c r="G63" s="22"/>
      <c r="H63" s="30">
        <f>116.34</f>
        <v>116.34</v>
      </c>
      <c r="I63" s="6" t="s">
        <v>15</v>
      </c>
    </row>
    <row r="64" spans="1:9" s="1" customFormat="1">
      <c r="A64" s="10"/>
      <c r="B64" s="37"/>
      <c r="C64" s="9"/>
      <c r="D64" s="16"/>
      <c r="E64" s="17"/>
      <c r="F64" s="26"/>
      <c r="G64" s="22"/>
      <c r="H64" s="30"/>
      <c r="I64" s="6"/>
    </row>
    <row r="65" spans="1:9" s="1" customFormat="1">
      <c r="A65" s="11" t="s">
        <v>4</v>
      </c>
      <c r="B65" s="10"/>
      <c r="C65" s="10"/>
      <c r="D65" s="18">
        <f>SUM(D57:D64)</f>
        <v>523.12</v>
      </c>
      <c r="E65" s="6"/>
      <c r="F65" s="27">
        <f>SUM(F57:F64)</f>
        <v>36</v>
      </c>
      <c r="G65" s="23"/>
      <c r="H65" s="31">
        <f>SUM(H57:H64)</f>
        <v>2452.5600000000004</v>
      </c>
      <c r="I65" s="2"/>
    </row>
    <row r="66" spans="1:9" s="1" customFormat="1" ht="15.75" thickBot="1">
      <c r="A66" s="12" t="s">
        <v>5</v>
      </c>
      <c r="B66" s="34">
        <f>SUM(D65+F65+H65)</f>
        <v>3011.6800000000003</v>
      </c>
      <c r="C66" s="33"/>
      <c r="D66" s="19"/>
      <c r="E66" s="20"/>
      <c r="F66" s="28"/>
      <c r="G66" s="24"/>
      <c r="H66" s="32"/>
      <c r="I66" s="3"/>
    </row>
    <row r="67" spans="1:9" s="1" customFormat="1">
      <c r="A67" s="43" t="s">
        <v>348</v>
      </c>
      <c r="B67" s="8" t="s">
        <v>34</v>
      </c>
      <c r="C67" s="8" t="s">
        <v>20</v>
      </c>
      <c r="D67" s="14"/>
      <c r="E67" s="15"/>
      <c r="F67" s="25">
        <f>5.85</f>
        <v>5.85</v>
      </c>
      <c r="G67" s="21" t="s">
        <v>50</v>
      </c>
      <c r="H67" s="29">
        <f>1370.45</f>
        <v>1370.45</v>
      </c>
      <c r="I67" s="5" t="s">
        <v>67</v>
      </c>
    </row>
    <row r="68" spans="1:9" s="1" customFormat="1">
      <c r="A68" s="10"/>
      <c r="B68" s="37" t="s">
        <v>17</v>
      </c>
      <c r="C68" s="9"/>
      <c r="D68" s="16"/>
      <c r="E68" s="17"/>
      <c r="F68" s="26">
        <v>1.5</v>
      </c>
      <c r="G68" s="22" t="s">
        <v>43</v>
      </c>
      <c r="H68" s="50"/>
      <c r="I68" s="51"/>
    </row>
    <row r="69" spans="1:9" s="1" customFormat="1">
      <c r="A69" s="10"/>
      <c r="B69" s="37"/>
      <c r="C69" s="9"/>
      <c r="D69" s="16"/>
      <c r="E69" s="17"/>
      <c r="F69" s="26"/>
      <c r="G69" s="22"/>
      <c r="H69" s="30">
        <f>187.39</f>
        <v>187.39</v>
      </c>
      <c r="I69" s="6" t="s">
        <v>15</v>
      </c>
    </row>
    <row r="70" spans="1:9" s="1" customFormat="1">
      <c r="A70" s="10"/>
      <c r="B70" s="37"/>
      <c r="C70" s="9"/>
      <c r="D70" s="16"/>
      <c r="E70" s="17"/>
      <c r="F70" s="26"/>
      <c r="G70" s="22"/>
      <c r="H70" s="30"/>
      <c r="I70" s="6"/>
    </row>
    <row r="71" spans="1:9" s="1" customFormat="1">
      <c r="A71" s="10"/>
      <c r="B71" s="37"/>
      <c r="C71" s="9" t="s">
        <v>77</v>
      </c>
      <c r="D71" s="16">
        <f>104.01</f>
        <v>104.01</v>
      </c>
      <c r="E71" s="17" t="s">
        <v>16</v>
      </c>
      <c r="F71" s="26"/>
      <c r="G71" s="22"/>
      <c r="H71" s="30"/>
      <c r="I71" s="6"/>
    </row>
    <row r="72" spans="1:9" s="1" customFormat="1">
      <c r="A72" s="10"/>
      <c r="B72" s="37"/>
      <c r="C72" s="9"/>
      <c r="D72" s="16"/>
      <c r="E72" s="17"/>
      <c r="F72" s="26"/>
      <c r="G72" s="22"/>
      <c r="H72" s="30"/>
      <c r="I72" s="6"/>
    </row>
    <row r="73" spans="1:9" s="1" customFormat="1">
      <c r="A73" s="11" t="s">
        <v>4</v>
      </c>
      <c r="B73" s="10"/>
      <c r="C73" s="10"/>
      <c r="D73" s="18">
        <f>SUM(D67:D72)</f>
        <v>104.01</v>
      </c>
      <c r="E73" s="6"/>
      <c r="F73" s="27">
        <f>SUM(F67:F72)</f>
        <v>7.35</v>
      </c>
      <c r="G73" s="23"/>
      <c r="H73" s="31">
        <f>SUM(H67:H72)</f>
        <v>1557.8400000000001</v>
      </c>
      <c r="I73" s="2"/>
    </row>
    <row r="74" spans="1:9" s="1" customFormat="1" ht="15.75" thickBot="1">
      <c r="A74" s="12" t="s">
        <v>5</v>
      </c>
      <c r="B74" s="34">
        <f>SUM(D73+F73+H73)</f>
        <v>1669.2</v>
      </c>
      <c r="C74" s="33"/>
      <c r="D74" s="19"/>
      <c r="E74" s="20"/>
      <c r="F74" s="28"/>
      <c r="G74" s="24"/>
      <c r="H74" s="32"/>
      <c r="I74" s="3"/>
    </row>
    <row r="75" spans="1:9" s="1" customFormat="1">
      <c r="A75" s="43" t="s">
        <v>326</v>
      </c>
      <c r="B75" s="8" t="s">
        <v>327</v>
      </c>
      <c r="C75" s="8" t="s">
        <v>11</v>
      </c>
      <c r="D75" s="14">
        <f>436.46</f>
        <v>436.46</v>
      </c>
      <c r="E75" s="15" t="s">
        <v>16</v>
      </c>
      <c r="F75" s="25">
        <f>6.18</f>
        <v>6.18</v>
      </c>
      <c r="G75" s="21" t="s">
        <v>32</v>
      </c>
      <c r="H75" s="29">
        <f>842.72</f>
        <v>842.72</v>
      </c>
      <c r="I75" s="5" t="s">
        <v>67</v>
      </c>
    </row>
    <row r="76" spans="1:9" s="1" customFormat="1">
      <c r="A76" s="10"/>
      <c r="B76" s="37" t="s">
        <v>328</v>
      </c>
      <c r="C76" s="9"/>
      <c r="D76" s="16">
        <f>52.26+124.48</f>
        <v>176.74</v>
      </c>
      <c r="E76" s="17" t="s">
        <v>14</v>
      </c>
      <c r="F76" s="26"/>
      <c r="G76" s="22"/>
      <c r="H76" s="30">
        <f>944.74</f>
        <v>944.74</v>
      </c>
      <c r="I76" s="6" t="s">
        <v>45</v>
      </c>
    </row>
    <row r="77" spans="1:9" s="1" customFormat="1">
      <c r="A77" s="10"/>
      <c r="B77" s="37"/>
      <c r="C77" s="9"/>
      <c r="D77" s="16"/>
      <c r="E77" s="17"/>
      <c r="F77" s="26"/>
      <c r="G77" s="22"/>
      <c r="H77" s="30">
        <v>267.47000000000003</v>
      </c>
      <c r="I77" s="6" t="s">
        <v>15</v>
      </c>
    </row>
    <row r="78" spans="1:9" s="1" customFormat="1">
      <c r="A78" s="10"/>
      <c r="B78" s="37"/>
      <c r="C78" s="9"/>
      <c r="D78" s="16"/>
      <c r="E78" s="17"/>
      <c r="F78" s="26"/>
      <c r="G78" s="22"/>
      <c r="H78" s="30"/>
      <c r="I78" s="6"/>
    </row>
    <row r="79" spans="1:9" s="1" customFormat="1">
      <c r="A79" s="10"/>
      <c r="B79" s="37"/>
      <c r="C79" s="9" t="s">
        <v>76</v>
      </c>
      <c r="D79" s="16">
        <f>625.25</f>
        <v>625.25</v>
      </c>
      <c r="E79" s="17" t="s">
        <v>16</v>
      </c>
      <c r="F79" s="26">
        <f>8.378</f>
        <v>8.3780000000000001</v>
      </c>
      <c r="G79" s="22" t="s">
        <v>42</v>
      </c>
      <c r="H79" s="30">
        <f>1128.04</f>
        <v>1128.04</v>
      </c>
      <c r="I79" s="6" t="s">
        <v>67</v>
      </c>
    </row>
    <row r="80" spans="1:9" s="1" customFormat="1">
      <c r="A80" s="10"/>
      <c r="B80" s="37"/>
      <c r="C80" s="9"/>
      <c r="D80" s="16">
        <f>546.64</f>
        <v>546.64</v>
      </c>
      <c r="E80" s="17" t="s">
        <v>14</v>
      </c>
      <c r="F80" s="26">
        <f>3</f>
        <v>3</v>
      </c>
      <c r="G80" s="22" t="s">
        <v>50</v>
      </c>
      <c r="H80" s="30">
        <f>755.79</f>
        <v>755.79</v>
      </c>
      <c r="I80" s="6" t="s">
        <v>45</v>
      </c>
    </row>
    <row r="81" spans="1:9" s="1" customFormat="1">
      <c r="A81" s="10"/>
      <c r="B81" s="37"/>
      <c r="C81" s="9"/>
      <c r="D81" s="16">
        <v>160.72</v>
      </c>
      <c r="E81" s="17" t="s">
        <v>357</v>
      </c>
      <c r="F81" s="26">
        <v>62</v>
      </c>
      <c r="G81" s="22" t="s">
        <v>43</v>
      </c>
      <c r="H81" s="30">
        <v>163.86</v>
      </c>
      <c r="I81" s="6" t="s">
        <v>15</v>
      </c>
    </row>
    <row r="82" spans="1:9" s="1" customFormat="1">
      <c r="A82" s="10"/>
      <c r="B82" s="37"/>
      <c r="C82" s="9"/>
      <c r="D82" s="16"/>
      <c r="E82" s="17"/>
      <c r="F82" s="26"/>
      <c r="G82" s="22"/>
      <c r="H82" s="30"/>
      <c r="I82" s="6"/>
    </row>
    <row r="83" spans="1:9" s="1" customFormat="1">
      <c r="A83" s="10"/>
      <c r="B83" s="37"/>
      <c r="C83" s="9" t="s">
        <v>12</v>
      </c>
      <c r="D83" s="16">
        <f>169.68</f>
        <v>169.68</v>
      </c>
      <c r="E83" s="17" t="s">
        <v>16</v>
      </c>
      <c r="F83" s="26"/>
      <c r="G83" s="22"/>
      <c r="H83" s="30">
        <v>842.72</v>
      </c>
      <c r="I83" s="6" t="s">
        <v>67</v>
      </c>
    </row>
    <row r="84" spans="1:9" s="1" customFormat="1">
      <c r="A84" s="10"/>
      <c r="B84" s="37"/>
      <c r="C84" s="9"/>
      <c r="D84" s="16">
        <f>73.69+192.83</f>
        <v>266.52</v>
      </c>
      <c r="E84" s="17" t="s">
        <v>14</v>
      </c>
      <c r="F84" s="26"/>
      <c r="G84" s="22"/>
      <c r="H84" s="30">
        <v>944.74</v>
      </c>
      <c r="I84" s="6" t="s">
        <v>45</v>
      </c>
    </row>
    <row r="85" spans="1:9" s="1" customFormat="1">
      <c r="A85" s="10"/>
      <c r="B85" s="37"/>
      <c r="C85" s="9"/>
      <c r="D85" s="16"/>
      <c r="E85" s="17"/>
      <c r="F85" s="26"/>
      <c r="G85" s="22"/>
      <c r="H85" s="30">
        <v>367.7</v>
      </c>
      <c r="I85" s="6" t="s">
        <v>15</v>
      </c>
    </row>
    <row r="86" spans="1:9" s="1" customFormat="1">
      <c r="A86" s="10"/>
      <c r="B86" s="37"/>
      <c r="C86" s="9"/>
      <c r="D86" s="16"/>
      <c r="E86" s="17"/>
      <c r="F86" s="26"/>
      <c r="G86" s="22"/>
      <c r="H86" s="30"/>
      <c r="I86" s="6"/>
    </row>
    <row r="87" spans="1:9" s="1" customFormat="1">
      <c r="A87" s="11" t="s">
        <v>4</v>
      </c>
      <c r="B87" s="10"/>
      <c r="C87" s="10"/>
      <c r="D87" s="18">
        <f>SUM(D75:D86)</f>
        <v>2382.0100000000002</v>
      </c>
      <c r="E87" s="6"/>
      <c r="F87" s="27">
        <f>SUM(F75:F86)</f>
        <v>79.557999999999993</v>
      </c>
      <c r="G87" s="23"/>
      <c r="H87" s="31">
        <f>SUM(H75:H86)</f>
        <v>6257.78</v>
      </c>
      <c r="I87" s="2"/>
    </row>
    <row r="88" spans="1:9" s="1" customFormat="1" ht="15.75" thickBot="1">
      <c r="A88" s="12" t="s">
        <v>5</v>
      </c>
      <c r="B88" s="34">
        <f>SUM(D87+F87+H87)</f>
        <v>8719.348</v>
      </c>
      <c r="C88" s="33"/>
      <c r="D88" s="19"/>
      <c r="E88" s="20"/>
      <c r="F88" s="28"/>
      <c r="G88" s="24"/>
      <c r="H88" s="32"/>
      <c r="I88" s="3"/>
    </row>
    <row r="89" spans="1:9" s="1" customFormat="1">
      <c r="A89" s="43" t="s">
        <v>326</v>
      </c>
      <c r="B89" s="8" t="s">
        <v>114</v>
      </c>
      <c r="C89" s="8" t="s">
        <v>49</v>
      </c>
      <c r="D89" s="14">
        <f>12.15+11.8</f>
        <v>23.950000000000003</v>
      </c>
      <c r="E89" s="15" t="s">
        <v>16</v>
      </c>
      <c r="F89" s="25">
        <f>64.32</f>
        <v>64.319999999999993</v>
      </c>
      <c r="G89" s="21" t="s">
        <v>42</v>
      </c>
      <c r="H89" s="29"/>
      <c r="I89" s="5"/>
    </row>
    <row r="90" spans="1:9" s="1" customFormat="1">
      <c r="A90" s="10"/>
      <c r="B90" s="37" t="s">
        <v>302</v>
      </c>
      <c r="C90" s="9"/>
      <c r="D90" s="16">
        <f>97.15</f>
        <v>97.15</v>
      </c>
      <c r="E90" s="17" t="s">
        <v>14</v>
      </c>
      <c r="F90" s="26">
        <f>4.4</f>
        <v>4.4000000000000004</v>
      </c>
      <c r="G90" s="22" t="s">
        <v>50</v>
      </c>
      <c r="H90" s="30"/>
      <c r="I90" s="6"/>
    </row>
    <row r="91" spans="1:9" s="1" customFormat="1">
      <c r="A91" s="10"/>
      <c r="B91" s="37"/>
      <c r="C91" s="9"/>
      <c r="D91" s="16"/>
      <c r="E91" s="17"/>
      <c r="F91" s="26">
        <f>59</f>
        <v>59</v>
      </c>
      <c r="G91" s="22" t="s">
        <v>43</v>
      </c>
      <c r="H91" s="30"/>
      <c r="I91" s="6"/>
    </row>
    <row r="92" spans="1:9" s="1" customFormat="1">
      <c r="A92" s="10"/>
      <c r="B92" s="37"/>
      <c r="C92" s="9"/>
      <c r="D92" s="16"/>
      <c r="E92" s="17"/>
      <c r="F92" s="26"/>
      <c r="G92" s="22"/>
      <c r="H92" s="30"/>
      <c r="I92" s="6"/>
    </row>
    <row r="93" spans="1:9" s="1" customFormat="1">
      <c r="A93" s="11" t="s">
        <v>4</v>
      </c>
      <c r="B93" s="10"/>
      <c r="C93" s="10"/>
      <c r="D93" s="18">
        <f>SUM(D89:D92)</f>
        <v>121.10000000000001</v>
      </c>
      <c r="E93" s="6"/>
      <c r="F93" s="27">
        <f>SUM(F89:F92)</f>
        <v>127.72</v>
      </c>
      <c r="G93" s="23"/>
      <c r="H93" s="31">
        <f>SUM(H89:H92)</f>
        <v>0</v>
      </c>
      <c r="I93" s="2"/>
    </row>
    <row r="94" spans="1:9" s="1" customFormat="1" ht="15.75" thickBot="1">
      <c r="A94" s="12" t="s">
        <v>5</v>
      </c>
      <c r="B94" s="34">
        <f>SUM(D93+F93+H93)</f>
        <v>248.82</v>
      </c>
      <c r="C94" s="33"/>
      <c r="D94" s="19"/>
      <c r="E94" s="20"/>
      <c r="F94" s="28"/>
      <c r="G94" s="24"/>
      <c r="H94" s="32"/>
      <c r="I94" s="3"/>
    </row>
    <row r="95" spans="1:9" s="1" customFormat="1">
      <c r="A95" s="43">
        <v>41934</v>
      </c>
      <c r="B95" s="8" t="s">
        <v>349</v>
      </c>
      <c r="C95" s="8" t="s">
        <v>20</v>
      </c>
      <c r="D95" s="14">
        <v>68.5</v>
      </c>
      <c r="E95" s="15" t="s">
        <v>14</v>
      </c>
      <c r="F95" s="25">
        <v>5</v>
      </c>
      <c r="G95" s="21" t="s">
        <v>191</v>
      </c>
      <c r="H95" s="29">
        <f>365.57+135.65</f>
        <v>501.22</v>
      </c>
      <c r="I95" s="5" t="s">
        <v>67</v>
      </c>
    </row>
    <row r="96" spans="1:9" s="1" customFormat="1">
      <c r="A96" s="10"/>
      <c r="B96" s="37" t="s">
        <v>134</v>
      </c>
      <c r="C96" s="9"/>
      <c r="D96" s="16"/>
      <c r="E96" s="17"/>
      <c r="F96" s="26">
        <v>12</v>
      </c>
      <c r="G96" s="22" t="s">
        <v>32</v>
      </c>
      <c r="H96" s="30"/>
      <c r="I96" s="6"/>
    </row>
    <row r="97" spans="1:9" s="1" customFormat="1">
      <c r="A97" s="10"/>
      <c r="B97" s="37"/>
      <c r="C97" s="9"/>
      <c r="D97" s="16"/>
      <c r="E97" s="17"/>
      <c r="F97" s="26">
        <v>1.5</v>
      </c>
      <c r="G97" s="22" t="s">
        <v>31</v>
      </c>
      <c r="H97" s="30"/>
      <c r="I97" s="6"/>
    </row>
    <row r="98" spans="1:9" s="1" customFormat="1">
      <c r="A98" s="10"/>
      <c r="B98" s="37"/>
      <c r="C98" s="9"/>
      <c r="D98" s="16"/>
      <c r="E98" s="17"/>
      <c r="F98" s="26">
        <v>3.9</v>
      </c>
      <c r="G98" s="22" t="s">
        <v>350</v>
      </c>
      <c r="H98" s="30"/>
      <c r="I98" s="6"/>
    </row>
    <row r="99" spans="1:9" s="1" customFormat="1">
      <c r="A99" s="10"/>
      <c r="B99" s="37"/>
      <c r="C99" s="9"/>
      <c r="D99" s="16"/>
      <c r="E99" s="17"/>
      <c r="F99" s="26">
        <v>0.95</v>
      </c>
      <c r="G99" s="22" t="s">
        <v>43</v>
      </c>
      <c r="H99" s="30"/>
      <c r="I99" s="6"/>
    </row>
    <row r="100" spans="1:9" s="1" customFormat="1">
      <c r="A100" s="10"/>
      <c r="B100" s="37"/>
      <c r="C100" s="9"/>
      <c r="D100" s="16"/>
      <c r="E100" s="17"/>
      <c r="F100" s="26"/>
      <c r="G100" s="22"/>
      <c r="H100" s="30"/>
      <c r="I100" s="6"/>
    </row>
    <row r="101" spans="1:9" s="1" customFormat="1">
      <c r="A101" s="11" t="s">
        <v>4</v>
      </c>
      <c r="B101" s="10"/>
      <c r="C101" s="10"/>
      <c r="D101" s="18">
        <f>SUM(D95:D100)</f>
        <v>68.5</v>
      </c>
      <c r="E101" s="6"/>
      <c r="F101" s="27">
        <f>SUM(F95:F100)</f>
        <v>23.349999999999998</v>
      </c>
      <c r="G101" s="23"/>
      <c r="H101" s="31">
        <f>SUM(H95:H100)</f>
        <v>501.22</v>
      </c>
      <c r="I101" s="2"/>
    </row>
    <row r="102" spans="1:9" s="1" customFormat="1" ht="15.75" thickBot="1">
      <c r="A102" s="12" t="s">
        <v>5</v>
      </c>
      <c r="B102" s="34">
        <f>SUM(D101+F101+H101)</f>
        <v>593.07000000000005</v>
      </c>
      <c r="C102" s="33"/>
      <c r="D102" s="19"/>
      <c r="E102" s="20"/>
      <c r="F102" s="28"/>
      <c r="G102" s="24"/>
      <c r="H102" s="32"/>
      <c r="I102" s="3"/>
    </row>
    <row r="103" spans="1:9" s="1" customFormat="1">
      <c r="A103" s="43" t="s">
        <v>329</v>
      </c>
      <c r="B103" s="8" t="s">
        <v>330</v>
      </c>
      <c r="C103" s="8" t="s">
        <v>76</v>
      </c>
      <c r="D103" s="14">
        <f>17.72+28.07</f>
        <v>45.79</v>
      </c>
      <c r="E103" s="15" t="s">
        <v>16</v>
      </c>
      <c r="F103" s="25">
        <v>8.3800000000000008</v>
      </c>
      <c r="G103" s="21" t="s">
        <v>42</v>
      </c>
      <c r="H103" s="29">
        <f>1347.14</f>
        <v>1347.14</v>
      </c>
      <c r="I103" s="5" t="s">
        <v>67</v>
      </c>
    </row>
    <row r="104" spans="1:9" s="1" customFormat="1">
      <c r="A104" s="10"/>
      <c r="B104" s="37" t="s">
        <v>291</v>
      </c>
      <c r="C104" s="9"/>
      <c r="D104" s="16">
        <f>21.52</f>
        <v>21.52</v>
      </c>
      <c r="E104" s="17" t="s">
        <v>101</v>
      </c>
      <c r="F104" s="26">
        <v>3.3</v>
      </c>
      <c r="G104" s="22" t="s">
        <v>50</v>
      </c>
      <c r="H104" s="30">
        <f>1012.4+29.73</f>
        <v>1042.1299999999999</v>
      </c>
      <c r="I104" s="6" t="s">
        <v>370</v>
      </c>
    </row>
    <row r="105" spans="1:9" s="1" customFormat="1">
      <c r="A105" s="10"/>
      <c r="B105" s="37"/>
      <c r="C105" s="9"/>
      <c r="D105" s="16"/>
      <c r="E105" s="17"/>
      <c r="F105" s="26"/>
      <c r="G105" s="22"/>
      <c r="H105" s="30">
        <v>203.4</v>
      </c>
      <c r="I105" s="6" t="s">
        <v>15</v>
      </c>
    </row>
    <row r="106" spans="1:9" s="1" customFormat="1">
      <c r="A106" s="10"/>
      <c r="B106" s="37"/>
      <c r="C106" s="9"/>
      <c r="D106" s="16"/>
      <c r="E106" s="17"/>
      <c r="F106" s="26"/>
      <c r="G106" s="22"/>
      <c r="H106" s="30"/>
      <c r="I106" s="6"/>
    </row>
    <row r="107" spans="1:9" s="1" customFormat="1">
      <c r="A107" s="10" t="s">
        <v>344</v>
      </c>
      <c r="B107" s="37"/>
      <c r="C107" s="9" t="s">
        <v>39</v>
      </c>
      <c r="D107" s="16">
        <f>722.02</f>
        <v>722.02</v>
      </c>
      <c r="E107" s="17" t="s">
        <v>16</v>
      </c>
      <c r="F107" s="26"/>
      <c r="G107" s="22"/>
      <c r="H107" s="30">
        <f>1100.26+577.64-1100.26+150</f>
        <v>727.6400000000001</v>
      </c>
      <c r="I107" s="6" t="s">
        <v>67</v>
      </c>
    </row>
    <row r="108" spans="1:9" s="1" customFormat="1">
      <c r="A108" s="10"/>
      <c r="B108" s="37"/>
      <c r="C108" s="9"/>
      <c r="D108" s="16">
        <f>245.2</f>
        <v>245.2</v>
      </c>
      <c r="E108" s="17" t="s">
        <v>14</v>
      </c>
      <c r="F108" s="26"/>
      <c r="G108" s="22"/>
      <c r="H108" s="30">
        <f>809.92+809.92-809.92+623.1+623.1+955-623.1-809.92</f>
        <v>1578.1</v>
      </c>
      <c r="I108" s="6" t="s">
        <v>44</v>
      </c>
    </row>
    <row r="109" spans="1:9" s="1" customFormat="1">
      <c r="A109" s="10"/>
      <c r="B109" s="37"/>
      <c r="C109" s="9"/>
      <c r="D109" s="16">
        <f>21.52+64.52</f>
        <v>86.039999999999992</v>
      </c>
      <c r="E109" s="17" t="s">
        <v>29</v>
      </c>
      <c r="F109" s="26"/>
      <c r="G109" s="22"/>
      <c r="H109" s="30">
        <f>815.33</f>
        <v>815.33</v>
      </c>
      <c r="I109" s="6" t="s">
        <v>15</v>
      </c>
    </row>
    <row r="110" spans="1:9" s="1" customFormat="1">
      <c r="A110" s="10"/>
      <c r="B110" s="37"/>
      <c r="C110" s="9"/>
      <c r="D110" s="16"/>
      <c r="E110" s="17"/>
      <c r="F110" s="26"/>
      <c r="G110" s="22"/>
      <c r="H110" s="30"/>
      <c r="I110" s="6"/>
    </row>
    <row r="111" spans="1:9" s="1" customFormat="1">
      <c r="A111" s="10"/>
      <c r="B111" s="37"/>
      <c r="C111" s="9" t="s">
        <v>57</v>
      </c>
      <c r="D111" s="16">
        <f>62.39</f>
        <v>62.39</v>
      </c>
      <c r="E111" s="17" t="s">
        <v>16</v>
      </c>
      <c r="F111" s="26"/>
      <c r="G111" s="22"/>
      <c r="H111" s="30">
        <f>426.17</f>
        <v>426.17</v>
      </c>
      <c r="I111" s="6" t="s">
        <v>67</v>
      </c>
    </row>
    <row r="112" spans="1:9" s="1" customFormat="1">
      <c r="A112" s="10"/>
      <c r="B112" s="37"/>
      <c r="C112" s="9"/>
      <c r="D112" s="16">
        <f>86.15</f>
        <v>86.15</v>
      </c>
      <c r="E112" s="17" t="s">
        <v>14</v>
      </c>
      <c r="F112" s="26"/>
      <c r="G112" s="22"/>
      <c r="H112" s="30">
        <f>1012.4+233.27</f>
        <v>1245.67</v>
      </c>
      <c r="I112" s="6" t="s">
        <v>45</v>
      </c>
    </row>
    <row r="113" spans="1:9" s="1" customFormat="1">
      <c r="A113" s="10"/>
      <c r="B113" s="37"/>
      <c r="C113" s="9"/>
      <c r="D113" s="16">
        <f>21.52</f>
        <v>21.52</v>
      </c>
      <c r="E113" s="17" t="s">
        <v>101</v>
      </c>
      <c r="F113" s="26"/>
      <c r="G113" s="22"/>
      <c r="H113" s="30">
        <f>857.86</f>
        <v>857.86</v>
      </c>
      <c r="I113" s="6" t="s">
        <v>15</v>
      </c>
    </row>
    <row r="114" spans="1:9" s="1" customFormat="1">
      <c r="A114" s="10"/>
      <c r="B114" s="37"/>
      <c r="C114" s="9"/>
      <c r="D114" s="16"/>
      <c r="E114" s="17"/>
      <c r="F114" s="26"/>
      <c r="G114" s="22"/>
      <c r="H114" s="30"/>
      <c r="I114" s="6"/>
    </row>
    <row r="115" spans="1:9" s="1" customFormat="1">
      <c r="A115" s="10"/>
      <c r="B115" s="37"/>
      <c r="C115" s="9" t="s">
        <v>277</v>
      </c>
      <c r="D115" s="16">
        <f>12.1+10.99+6.15+9.68+7.26+13.85+16.52+16.52+8.59+6.92+9.28+131.7+132.4+24.52+28.34+19.34</f>
        <v>454.15999999999997</v>
      </c>
      <c r="E115" s="17" t="s">
        <v>16</v>
      </c>
      <c r="F115" s="26">
        <f>26.62</f>
        <v>26.62</v>
      </c>
      <c r="G115" s="22" t="s">
        <v>42</v>
      </c>
      <c r="H115" s="30">
        <f>1176.02</f>
        <v>1176.02</v>
      </c>
      <c r="I115" s="6" t="s">
        <v>67</v>
      </c>
    </row>
    <row r="116" spans="1:9" s="1" customFormat="1">
      <c r="A116" s="10"/>
      <c r="B116" s="37"/>
      <c r="C116" s="9"/>
      <c r="D116" s="16">
        <f>10.36+4.04+2.42+10.94+11.71+16.52+7.77+24.52+28.34</f>
        <v>116.61999999999999</v>
      </c>
      <c r="E116" s="17" t="s">
        <v>14</v>
      </c>
      <c r="F116" s="26"/>
      <c r="G116" s="22"/>
      <c r="H116" s="30">
        <f>1172.65</f>
        <v>1172.6500000000001</v>
      </c>
      <c r="I116" s="6" t="s">
        <v>45</v>
      </c>
    </row>
    <row r="117" spans="1:9" s="1" customFormat="1">
      <c r="A117" s="10"/>
      <c r="B117" s="37"/>
      <c r="C117" s="9"/>
      <c r="D117" s="16">
        <v>21.87</v>
      </c>
      <c r="E117" s="17" t="s">
        <v>101</v>
      </c>
      <c r="F117" s="26"/>
      <c r="G117" s="22"/>
      <c r="H117" s="30"/>
      <c r="I117" s="6"/>
    </row>
    <row r="118" spans="1:9" s="1" customFormat="1">
      <c r="A118" s="10"/>
      <c r="B118" s="37"/>
      <c r="C118" s="9"/>
      <c r="D118" s="16"/>
      <c r="E118" s="17"/>
      <c r="F118" s="26"/>
      <c r="G118" s="22"/>
      <c r="H118" s="30"/>
      <c r="I118" s="6"/>
    </row>
    <row r="119" spans="1:9" s="1" customFormat="1">
      <c r="A119" s="10"/>
      <c r="B119" s="37"/>
      <c r="C119" s="9" t="s">
        <v>364</v>
      </c>
      <c r="D119" s="16"/>
      <c r="E119" s="17"/>
      <c r="F119" s="26"/>
      <c r="G119" s="22"/>
      <c r="H119" s="30">
        <f>1197.02</f>
        <v>1197.02</v>
      </c>
      <c r="I119" s="6" t="s">
        <v>365</v>
      </c>
    </row>
    <row r="120" spans="1:9" s="1" customFormat="1">
      <c r="A120" s="10"/>
      <c r="B120" s="37"/>
      <c r="C120" s="9"/>
      <c r="D120" s="16"/>
      <c r="E120" s="17"/>
      <c r="F120" s="26"/>
      <c r="G120" s="22"/>
      <c r="H120" s="30"/>
      <c r="I120" s="6"/>
    </row>
    <row r="121" spans="1:9" s="1" customFormat="1">
      <c r="A121" s="11" t="s">
        <v>4</v>
      </c>
      <c r="B121" s="10"/>
      <c r="C121" s="10"/>
      <c r="D121" s="18">
        <f>SUM(D103:D120)</f>
        <v>1883.2799999999997</v>
      </c>
      <c r="E121" s="6"/>
      <c r="F121" s="27">
        <f>SUM(F103:F120)</f>
        <v>38.299999999999997</v>
      </c>
      <c r="G121" s="23"/>
      <c r="H121" s="31">
        <f>SUM(H103:H120)</f>
        <v>11789.130000000001</v>
      </c>
      <c r="I121" s="2"/>
    </row>
    <row r="122" spans="1:9" s="1" customFormat="1" ht="15.75" thickBot="1">
      <c r="A122" s="12" t="s">
        <v>5</v>
      </c>
      <c r="B122" s="34">
        <f>SUM(D121+F121+H121)</f>
        <v>13710.710000000001</v>
      </c>
      <c r="C122" s="33"/>
      <c r="D122" s="19"/>
      <c r="E122" s="20"/>
      <c r="F122" s="28"/>
      <c r="G122" s="24"/>
      <c r="H122" s="32"/>
      <c r="I122" s="3"/>
    </row>
    <row r="123" spans="1:9" s="1" customFormat="1">
      <c r="A123" s="43" t="s">
        <v>331</v>
      </c>
      <c r="B123" s="8" t="s">
        <v>332</v>
      </c>
      <c r="C123" s="8" t="s">
        <v>231</v>
      </c>
      <c r="D123" s="14">
        <f>8.69</f>
        <v>8.69</v>
      </c>
      <c r="E123" s="15" t="s">
        <v>16</v>
      </c>
      <c r="F123" s="25"/>
      <c r="G123" s="21"/>
      <c r="H123" s="29">
        <f>216.35</f>
        <v>216.35</v>
      </c>
      <c r="I123" s="5" t="s">
        <v>67</v>
      </c>
    </row>
    <row r="124" spans="1:9" s="1" customFormat="1">
      <c r="A124" s="10"/>
      <c r="B124" s="37" t="s">
        <v>17</v>
      </c>
      <c r="C124" s="9"/>
      <c r="D124" s="16">
        <f>70.8</f>
        <v>70.8</v>
      </c>
      <c r="E124" s="17" t="s">
        <v>14</v>
      </c>
      <c r="F124" s="26"/>
      <c r="G124" s="22"/>
      <c r="H124" s="30">
        <f>444.69</f>
        <v>444.69</v>
      </c>
      <c r="I124" s="6" t="s">
        <v>45</v>
      </c>
    </row>
    <row r="125" spans="1:9" s="1" customFormat="1">
      <c r="A125" s="10"/>
      <c r="B125" s="37"/>
      <c r="C125" s="9"/>
      <c r="D125" s="16"/>
      <c r="E125" s="17"/>
      <c r="F125" s="26"/>
      <c r="G125" s="22"/>
      <c r="H125" s="30">
        <f>53.65</f>
        <v>53.65</v>
      </c>
      <c r="I125" s="6" t="s">
        <v>15</v>
      </c>
    </row>
    <row r="126" spans="1:9" s="1" customFormat="1">
      <c r="A126" s="10"/>
      <c r="B126" s="37"/>
      <c r="C126" s="9"/>
      <c r="D126" s="16"/>
      <c r="E126" s="17"/>
      <c r="F126" s="26"/>
      <c r="G126" s="22"/>
      <c r="H126" s="30"/>
      <c r="I126" s="6"/>
    </row>
    <row r="127" spans="1:9" s="1" customFormat="1">
      <c r="A127" s="10"/>
      <c r="B127" s="37"/>
      <c r="C127" s="9" t="s">
        <v>77</v>
      </c>
      <c r="D127" s="16">
        <f>52.13</f>
        <v>52.13</v>
      </c>
      <c r="E127" s="17" t="s">
        <v>16</v>
      </c>
      <c r="F127" s="26"/>
      <c r="G127" s="22"/>
      <c r="H127" s="30">
        <f>175.63</f>
        <v>175.63</v>
      </c>
      <c r="I127" s="6" t="s">
        <v>67</v>
      </c>
    </row>
    <row r="128" spans="1:9" s="1" customFormat="1">
      <c r="A128" s="10"/>
      <c r="B128" s="37"/>
      <c r="C128" s="9"/>
      <c r="D128" s="16"/>
      <c r="E128" s="17"/>
      <c r="F128" s="26"/>
      <c r="G128" s="22"/>
      <c r="H128" s="30">
        <f>444.69</f>
        <v>444.69</v>
      </c>
      <c r="I128" s="6" t="s">
        <v>45</v>
      </c>
    </row>
    <row r="129" spans="1:9" s="1" customFormat="1">
      <c r="A129" s="10"/>
      <c r="B129" s="37"/>
      <c r="C129" s="9"/>
      <c r="D129" s="16"/>
      <c r="E129" s="17"/>
      <c r="F129" s="26"/>
      <c r="G129" s="22"/>
      <c r="H129" s="30"/>
      <c r="I129" s="6"/>
    </row>
    <row r="130" spans="1:9" s="1" customFormat="1">
      <c r="A130" s="11" t="s">
        <v>4</v>
      </c>
      <c r="B130" s="10"/>
      <c r="C130" s="10"/>
      <c r="D130" s="18">
        <f>SUM(D123:D129)</f>
        <v>131.62</v>
      </c>
      <c r="E130" s="6"/>
      <c r="F130" s="27">
        <f>SUM(F123:F124)</f>
        <v>0</v>
      </c>
      <c r="G130" s="23"/>
      <c r="H130" s="31">
        <f>SUM(H123:H129)</f>
        <v>1335.01</v>
      </c>
      <c r="I130" s="2"/>
    </row>
    <row r="131" spans="1:9" s="1" customFormat="1" ht="15.75" thickBot="1">
      <c r="A131" s="12" t="s">
        <v>5</v>
      </c>
      <c r="B131" s="34">
        <f>SUM(D130+F130+H130)</f>
        <v>1466.63</v>
      </c>
      <c r="C131" s="33"/>
      <c r="D131" s="19"/>
      <c r="E131" s="20"/>
      <c r="F131" s="28"/>
      <c r="G131" s="24"/>
      <c r="H131" s="32"/>
      <c r="I131" s="3"/>
    </row>
    <row r="132" spans="1:9" s="1" customFormat="1">
      <c r="A132" s="43" t="s">
        <v>347</v>
      </c>
      <c r="B132" s="8" t="s">
        <v>37</v>
      </c>
      <c r="C132" s="8" t="s">
        <v>57</v>
      </c>
      <c r="D132" s="14">
        <f>3.14+109.52</f>
        <v>112.66</v>
      </c>
      <c r="E132" s="15" t="s">
        <v>16</v>
      </c>
      <c r="F132" s="25">
        <v>12</v>
      </c>
      <c r="G132" s="21" t="s">
        <v>32</v>
      </c>
      <c r="H132" s="30">
        <f>351.04</f>
        <v>351.04</v>
      </c>
      <c r="I132" s="6" t="s">
        <v>45</v>
      </c>
    </row>
    <row r="133" spans="1:9" s="1" customFormat="1">
      <c r="A133" s="10"/>
      <c r="B133" s="37" t="s">
        <v>38</v>
      </c>
      <c r="C133" s="9"/>
      <c r="D133" s="16">
        <f>7+76.64</f>
        <v>83.64</v>
      </c>
      <c r="E133" s="17" t="s">
        <v>14</v>
      </c>
      <c r="F133" s="26"/>
      <c r="G133" s="22"/>
      <c r="H133" s="30">
        <f>72.02</f>
        <v>72.02</v>
      </c>
      <c r="I133" s="6" t="s">
        <v>15</v>
      </c>
    </row>
    <row r="134" spans="1:9" s="1" customFormat="1">
      <c r="A134" s="10"/>
      <c r="B134" s="37"/>
      <c r="C134" s="9"/>
      <c r="D134" s="16">
        <f>22.13</f>
        <v>22.13</v>
      </c>
      <c r="E134" s="17" t="s">
        <v>101</v>
      </c>
      <c r="F134" s="26"/>
      <c r="G134" s="22"/>
      <c r="H134" s="30"/>
      <c r="I134" s="6"/>
    </row>
    <row r="135" spans="1:9" s="1" customFormat="1">
      <c r="A135" s="10"/>
      <c r="B135" s="37"/>
      <c r="C135" s="9"/>
      <c r="D135" s="16"/>
      <c r="E135" s="17"/>
      <c r="F135" s="26"/>
      <c r="G135" s="22"/>
      <c r="H135" s="30"/>
      <c r="I135" s="6"/>
    </row>
    <row r="136" spans="1:9" s="1" customFormat="1">
      <c r="A136" s="11" t="s">
        <v>4</v>
      </c>
      <c r="B136" s="10"/>
      <c r="C136" s="10"/>
      <c r="D136" s="18">
        <f>SUM(D132:D135)</f>
        <v>218.43</v>
      </c>
      <c r="E136" s="6"/>
      <c r="F136" s="27">
        <f>SUM(F132:F135)</f>
        <v>12</v>
      </c>
      <c r="G136" s="23"/>
      <c r="H136" s="31">
        <f>SUM(H132:H135)</f>
        <v>423.06</v>
      </c>
      <c r="I136" s="2"/>
    </row>
    <row r="137" spans="1:9" s="1" customFormat="1" ht="15.75" thickBot="1">
      <c r="A137" s="12" t="s">
        <v>5</v>
      </c>
      <c r="B137" s="34">
        <f>SUM(D136+F136+H136)</f>
        <v>653.49</v>
      </c>
      <c r="C137" s="33"/>
      <c r="D137" s="19"/>
      <c r="E137" s="20"/>
      <c r="F137" s="28"/>
      <c r="G137" s="24"/>
      <c r="H137" s="32"/>
      <c r="I137" s="3"/>
    </row>
    <row r="138" spans="1:9" s="1" customFormat="1">
      <c r="A138" s="43" t="s">
        <v>333</v>
      </c>
      <c r="B138" s="8" t="s">
        <v>334</v>
      </c>
      <c r="C138" s="8" t="s">
        <v>231</v>
      </c>
      <c r="D138" s="14">
        <f>20.72</f>
        <v>20.72</v>
      </c>
      <c r="E138" s="15" t="s">
        <v>16</v>
      </c>
      <c r="F138" s="25"/>
      <c r="G138" s="21"/>
      <c r="H138" s="29">
        <f>216.35</f>
        <v>216.35</v>
      </c>
      <c r="I138" s="5" t="s">
        <v>67</v>
      </c>
    </row>
    <row r="139" spans="1:9" s="1" customFormat="1">
      <c r="A139" s="10"/>
      <c r="B139" s="37" t="s">
        <v>17</v>
      </c>
      <c r="C139" s="9"/>
      <c r="D139" s="16">
        <f>14.99</f>
        <v>14.99</v>
      </c>
      <c r="E139" s="17" t="s">
        <v>14</v>
      </c>
      <c r="F139" s="26"/>
      <c r="G139" s="22"/>
      <c r="H139" s="30">
        <f>227.66+246-227.66</f>
        <v>245.99999999999997</v>
      </c>
      <c r="I139" s="6" t="s">
        <v>45</v>
      </c>
    </row>
    <row r="140" spans="1:9" s="1" customFormat="1">
      <c r="A140" s="10"/>
      <c r="B140" s="37"/>
      <c r="C140" s="9"/>
      <c r="D140" s="16"/>
      <c r="E140" s="17"/>
      <c r="F140" s="26"/>
      <c r="G140" s="22"/>
      <c r="H140" s="30"/>
      <c r="I140" s="6"/>
    </row>
    <row r="141" spans="1:9" s="1" customFormat="1">
      <c r="A141" s="10"/>
      <c r="B141" s="37"/>
      <c r="C141" s="9" t="s">
        <v>20</v>
      </c>
      <c r="D141" s="16">
        <f>180.11</f>
        <v>180.11</v>
      </c>
      <c r="E141" s="17" t="s">
        <v>16</v>
      </c>
      <c r="F141" s="26">
        <v>7.8</v>
      </c>
      <c r="G141" s="22" t="s">
        <v>50</v>
      </c>
      <c r="H141" s="30">
        <f>733.26</f>
        <v>733.26</v>
      </c>
      <c r="I141" s="6" t="s">
        <v>67</v>
      </c>
    </row>
    <row r="142" spans="1:9" s="1" customFormat="1">
      <c r="A142" s="10"/>
      <c r="B142" s="37"/>
      <c r="C142" s="9"/>
      <c r="D142" s="16">
        <f>37.21</f>
        <v>37.21</v>
      </c>
      <c r="E142" s="17" t="s">
        <v>14</v>
      </c>
      <c r="F142" s="26">
        <f>11.84+1.7</f>
        <v>13.54</v>
      </c>
      <c r="G142" s="22" t="s">
        <v>43</v>
      </c>
      <c r="H142" s="30">
        <f>227.66+246-227.66</f>
        <v>245.99999999999997</v>
      </c>
      <c r="I142" s="6" t="s">
        <v>45</v>
      </c>
    </row>
    <row r="143" spans="1:9" s="1" customFormat="1">
      <c r="A143" s="10"/>
      <c r="B143" s="37"/>
      <c r="C143" s="9"/>
      <c r="D143" s="16"/>
      <c r="E143" s="17"/>
      <c r="F143" s="26"/>
      <c r="G143" s="22"/>
      <c r="H143" s="30"/>
      <c r="I143" s="6"/>
    </row>
    <row r="144" spans="1:9" s="1" customFormat="1">
      <c r="A144" s="10"/>
      <c r="B144" s="37"/>
      <c r="C144" s="9"/>
      <c r="D144" s="16"/>
      <c r="E144" s="17"/>
      <c r="F144" s="26"/>
      <c r="G144" s="22"/>
      <c r="H144" s="30"/>
      <c r="I144" s="6"/>
    </row>
    <row r="145" spans="1:9" s="1" customFormat="1">
      <c r="A145" s="10"/>
      <c r="B145" s="37"/>
      <c r="C145" s="9" t="s">
        <v>77</v>
      </c>
      <c r="D145" s="16">
        <f>194.43</f>
        <v>194.43</v>
      </c>
      <c r="E145" s="17" t="s">
        <v>16</v>
      </c>
      <c r="F145" s="26">
        <f>275.52</f>
        <v>275.52</v>
      </c>
      <c r="G145" s="22" t="s">
        <v>351</v>
      </c>
      <c r="H145" s="30">
        <f>288.6</f>
        <v>288.60000000000002</v>
      </c>
      <c r="I145" s="6" t="s">
        <v>67</v>
      </c>
    </row>
    <row r="146" spans="1:9" s="1" customFormat="1">
      <c r="A146" s="10"/>
      <c r="B146" s="37"/>
      <c r="C146" s="9"/>
      <c r="D146" s="16">
        <v>23.67</v>
      </c>
      <c r="E146" s="17" t="s">
        <v>14</v>
      </c>
      <c r="F146" s="26">
        <v>13.41</v>
      </c>
      <c r="G146" s="22" t="s">
        <v>43</v>
      </c>
      <c r="H146" s="30">
        <f>227.66+246-227.66</f>
        <v>245.99999999999997</v>
      </c>
      <c r="I146" s="6" t="s">
        <v>45</v>
      </c>
    </row>
    <row r="147" spans="1:9" s="1" customFormat="1">
      <c r="A147" s="10"/>
      <c r="B147" s="37"/>
      <c r="C147" s="9"/>
      <c r="D147" s="16">
        <f>56.25</f>
        <v>56.25</v>
      </c>
      <c r="E147" s="17" t="s">
        <v>29</v>
      </c>
      <c r="F147" s="26"/>
      <c r="G147" s="22"/>
      <c r="H147" s="30"/>
      <c r="I147" s="6"/>
    </row>
    <row r="148" spans="1:9" s="1" customFormat="1">
      <c r="A148" s="10"/>
      <c r="B148" s="37"/>
      <c r="C148" s="9"/>
      <c r="D148" s="16"/>
      <c r="E148" s="17"/>
      <c r="F148" s="26"/>
      <c r="G148" s="22"/>
      <c r="H148" s="30"/>
      <c r="I148" s="6"/>
    </row>
    <row r="149" spans="1:9" s="1" customFormat="1">
      <c r="A149" s="11" t="s">
        <v>4</v>
      </c>
      <c r="B149" s="10"/>
      <c r="C149" s="10"/>
      <c r="D149" s="18">
        <f>SUM(D138:D148)</f>
        <v>527.38000000000011</v>
      </c>
      <c r="E149" s="6"/>
      <c r="F149" s="27">
        <f>SUM(F138:F148)</f>
        <v>310.27</v>
      </c>
      <c r="G149" s="23"/>
      <c r="H149" s="31">
        <f>SUM(H138:H148)</f>
        <v>1976.21</v>
      </c>
      <c r="I149" s="2"/>
    </row>
    <row r="150" spans="1:9" s="1" customFormat="1" ht="15.75" thickBot="1">
      <c r="A150" s="12" t="s">
        <v>5</v>
      </c>
      <c r="B150" s="34">
        <f>SUM(D149+F149+H149)</f>
        <v>2813.86</v>
      </c>
      <c r="C150" s="33"/>
      <c r="D150" s="19"/>
      <c r="E150" s="20"/>
      <c r="F150" s="28"/>
      <c r="G150" s="24"/>
      <c r="H150" s="32"/>
      <c r="I150" s="3"/>
    </row>
    <row r="151" spans="1:9" s="1" customFormat="1">
      <c r="A151" s="43" t="s">
        <v>355</v>
      </c>
      <c r="B151" s="8" t="s">
        <v>356</v>
      </c>
      <c r="C151" s="8" t="s">
        <v>76</v>
      </c>
      <c r="D151" s="14">
        <f>43</f>
        <v>43</v>
      </c>
      <c r="E151" s="15" t="s">
        <v>16</v>
      </c>
      <c r="F151" s="25"/>
      <c r="G151" s="21"/>
      <c r="H151" s="29">
        <f>116</f>
        <v>116</v>
      </c>
      <c r="I151" s="5" t="s">
        <v>32</v>
      </c>
    </row>
    <row r="152" spans="1:9" s="1" customFormat="1">
      <c r="A152" s="10"/>
      <c r="B152" s="37" t="s">
        <v>147</v>
      </c>
      <c r="C152" s="9"/>
      <c r="D152" s="16">
        <f>153.5</f>
        <v>153.5</v>
      </c>
      <c r="E152" s="17" t="s">
        <v>14</v>
      </c>
      <c r="F152" s="26"/>
      <c r="G152" s="22"/>
      <c r="H152" s="30">
        <v>120</v>
      </c>
      <c r="I152" s="6" t="s">
        <v>45</v>
      </c>
    </row>
    <row r="153" spans="1:9" s="1" customFormat="1">
      <c r="A153" s="10"/>
      <c r="B153" s="37"/>
      <c r="C153" s="9"/>
      <c r="D153" s="16"/>
      <c r="E153" s="17"/>
      <c r="F153" s="26"/>
      <c r="G153" s="22"/>
      <c r="H153" s="30">
        <f>6</f>
        <v>6</v>
      </c>
      <c r="I153" s="6" t="s">
        <v>15</v>
      </c>
    </row>
    <row r="154" spans="1:9" s="1" customFormat="1">
      <c r="A154" s="10"/>
      <c r="B154" s="37"/>
      <c r="C154" s="9"/>
      <c r="D154" s="16"/>
      <c r="E154" s="17"/>
      <c r="F154" s="26"/>
      <c r="G154" s="22"/>
      <c r="H154" s="30"/>
      <c r="I154" s="6"/>
    </row>
    <row r="155" spans="1:9" s="1" customFormat="1">
      <c r="A155" s="10"/>
      <c r="B155" s="37"/>
      <c r="C155" s="9" t="s">
        <v>71</v>
      </c>
      <c r="D155" s="16">
        <f>70</f>
        <v>70</v>
      </c>
      <c r="E155" s="17" t="s">
        <v>16</v>
      </c>
      <c r="F155" s="26"/>
      <c r="G155" s="22"/>
      <c r="H155" s="30">
        <f>116+116</f>
        <v>232</v>
      </c>
      <c r="I155" s="6" t="s">
        <v>32</v>
      </c>
    </row>
    <row r="156" spans="1:9" s="1" customFormat="1">
      <c r="A156" s="10"/>
      <c r="B156" s="37"/>
      <c r="C156" s="9"/>
      <c r="D156" s="16">
        <f>49.2</f>
        <v>49.2</v>
      </c>
      <c r="E156" s="17" t="s">
        <v>14</v>
      </c>
      <c r="F156" s="26">
        <f>6.9</f>
        <v>6.9</v>
      </c>
      <c r="G156" s="22" t="s">
        <v>50</v>
      </c>
      <c r="H156" s="30">
        <v>120</v>
      </c>
      <c r="I156" s="6" t="s">
        <v>45</v>
      </c>
    </row>
    <row r="157" spans="1:9" s="1" customFormat="1">
      <c r="A157" s="10"/>
      <c r="B157" s="37"/>
      <c r="C157" s="9"/>
      <c r="D157" s="16"/>
      <c r="E157" s="17"/>
      <c r="F157" s="26">
        <f>43.5</f>
        <v>43.5</v>
      </c>
      <c r="G157" s="22" t="s">
        <v>43</v>
      </c>
      <c r="H157" s="30">
        <f>6</f>
        <v>6</v>
      </c>
      <c r="I157" s="6" t="s">
        <v>15</v>
      </c>
    </row>
    <row r="158" spans="1:9" s="1" customFormat="1">
      <c r="A158" s="10"/>
      <c r="B158" s="37"/>
      <c r="C158" s="9"/>
      <c r="D158" s="16"/>
      <c r="E158" s="17"/>
      <c r="F158" s="26"/>
      <c r="G158" s="22"/>
      <c r="H158" s="30"/>
      <c r="I158" s="6"/>
    </row>
    <row r="159" spans="1:9" s="1" customFormat="1">
      <c r="A159" s="11" t="s">
        <v>4</v>
      </c>
      <c r="B159" s="10"/>
      <c r="C159" s="10"/>
      <c r="D159" s="18">
        <f>SUM(D151:D158)</f>
        <v>315.7</v>
      </c>
      <c r="E159" s="6"/>
      <c r="F159" s="27">
        <f>SUM(F151:F158)</f>
        <v>50.4</v>
      </c>
      <c r="G159" s="23"/>
      <c r="H159" s="31">
        <f>SUM(H151:H158)</f>
        <v>600</v>
      </c>
      <c r="I159" s="2"/>
    </row>
    <row r="160" spans="1:9" s="1" customFormat="1" ht="15.75" thickBot="1">
      <c r="A160" s="12" t="s">
        <v>5</v>
      </c>
      <c r="B160" s="34">
        <f>SUM(D159+F159+H159)</f>
        <v>966.09999999999991</v>
      </c>
      <c r="C160" s="33"/>
      <c r="D160" s="19"/>
      <c r="E160" s="20"/>
      <c r="F160" s="28"/>
      <c r="G160" s="24"/>
      <c r="H160" s="32"/>
      <c r="I160" s="3"/>
    </row>
    <row r="161" spans="1:9" s="1" customFormat="1">
      <c r="A161" s="43">
        <v>41943</v>
      </c>
      <c r="B161" s="8" t="s">
        <v>337</v>
      </c>
      <c r="C161" s="8" t="s">
        <v>76</v>
      </c>
      <c r="D161" s="14">
        <v>61.3</v>
      </c>
      <c r="E161" s="15" t="s">
        <v>14</v>
      </c>
      <c r="F161" s="25"/>
      <c r="G161" s="21"/>
      <c r="H161" s="29">
        <f>388.42</f>
        <v>388.42</v>
      </c>
      <c r="I161" s="5" t="s">
        <v>67</v>
      </c>
    </row>
    <row r="162" spans="1:9" s="1" customFormat="1">
      <c r="A162" s="10"/>
      <c r="B162" s="37" t="s">
        <v>338</v>
      </c>
      <c r="C162" s="9"/>
      <c r="D162" s="16">
        <v>85</v>
      </c>
      <c r="E162" s="17" t="s">
        <v>29</v>
      </c>
      <c r="F162" s="26"/>
      <c r="G162" s="22"/>
      <c r="H162" s="30">
        <f>357.62</f>
        <v>357.62</v>
      </c>
      <c r="I162" s="6" t="s">
        <v>45</v>
      </c>
    </row>
    <row r="163" spans="1:9" s="1" customFormat="1">
      <c r="A163" s="10"/>
      <c r="B163" s="37"/>
      <c r="C163" s="9"/>
      <c r="D163" s="16"/>
      <c r="E163" s="17"/>
      <c r="F163" s="26"/>
      <c r="G163" s="22"/>
      <c r="H163" s="30"/>
      <c r="I163" s="6"/>
    </row>
    <row r="164" spans="1:9" s="1" customFormat="1">
      <c r="A164" s="11" t="s">
        <v>4</v>
      </c>
      <c r="B164" s="10"/>
      <c r="C164" s="10"/>
      <c r="D164" s="18">
        <f>SUM(D161:D162)</f>
        <v>146.30000000000001</v>
      </c>
      <c r="E164" s="6"/>
      <c r="F164" s="27">
        <f>SUM(F161:F162)</f>
        <v>0</v>
      </c>
      <c r="G164" s="23"/>
      <c r="H164" s="31">
        <f>SUM(H161:H163)</f>
        <v>746.04</v>
      </c>
      <c r="I164" s="2"/>
    </row>
    <row r="165" spans="1:9" s="1" customFormat="1" ht="15.75" thickBot="1">
      <c r="A165" s="12" t="s">
        <v>5</v>
      </c>
      <c r="B165" s="34">
        <f>SUM(D164+F164+H164)</f>
        <v>892.33999999999992</v>
      </c>
      <c r="C165" s="33"/>
      <c r="D165" s="19"/>
      <c r="E165" s="20"/>
      <c r="F165" s="28"/>
      <c r="G165" s="24"/>
      <c r="H165" s="32"/>
      <c r="I165" s="3"/>
    </row>
    <row r="166" spans="1:9" s="1" customFormat="1">
      <c r="A166" s="43" t="s">
        <v>355</v>
      </c>
      <c r="B166" s="8" t="s">
        <v>79</v>
      </c>
      <c r="C166" s="8" t="s">
        <v>366</v>
      </c>
      <c r="D166" s="14"/>
      <c r="E166" s="15"/>
      <c r="F166" s="25"/>
      <c r="G166" s="21"/>
      <c r="H166" s="29">
        <f>319.51+264.81</f>
        <v>584.31999999999994</v>
      </c>
      <c r="I166" s="5" t="s">
        <v>67</v>
      </c>
    </row>
    <row r="167" spans="1:9" s="1" customFormat="1">
      <c r="A167" s="10"/>
      <c r="B167" s="37" t="s">
        <v>27</v>
      </c>
      <c r="C167" s="9"/>
      <c r="D167" s="16"/>
      <c r="E167" s="17"/>
      <c r="F167" s="26"/>
      <c r="G167" s="22"/>
      <c r="H167" s="30">
        <f>179</f>
        <v>179</v>
      </c>
      <c r="I167" s="6" t="s">
        <v>45</v>
      </c>
    </row>
    <row r="168" spans="1:9" s="1" customFormat="1">
      <c r="A168" s="10"/>
      <c r="B168" s="37"/>
      <c r="C168" s="9"/>
      <c r="D168" s="16"/>
      <c r="E168" s="17"/>
      <c r="F168" s="26"/>
      <c r="G168" s="22"/>
      <c r="H168" s="30"/>
      <c r="I168" s="6"/>
    </row>
    <row r="169" spans="1:9" s="1" customFormat="1">
      <c r="A169" s="10" t="s">
        <v>368</v>
      </c>
      <c r="B169" s="37"/>
      <c r="C169" s="9" t="s">
        <v>367</v>
      </c>
      <c r="D169" s="16"/>
      <c r="E169" s="17"/>
      <c r="F169" s="26"/>
      <c r="G169" s="22"/>
      <c r="H169" s="30">
        <v>658.71</v>
      </c>
      <c r="I169" s="6" t="s">
        <v>67</v>
      </c>
    </row>
    <row r="170" spans="1:9" s="1" customFormat="1">
      <c r="A170" s="10"/>
      <c r="B170" s="37"/>
      <c r="C170" s="9"/>
      <c r="D170" s="16"/>
      <c r="E170" s="17"/>
      <c r="F170" s="26"/>
      <c r="G170" s="22"/>
      <c r="H170" s="30">
        <v>179</v>
      </c>
      <c r="I170" s="6" t="s">
        <v>45</v>
      </c>
    </row>
    <row r="171" spans="1:9" s="1" customFormat="1">
      <c r="A171" s="10"/>
      <c r="B171" s="37"/>
      <c r="C171" s="9"/>
      <c r="D171" s="16"/>
      <c r="E171" s="17"/>
      <c r="F171" s="26"/>
      <c r="G171" s="22"/>
      <c r="H171" s="30"/>
      <c r="I171" s="6"/>
    </row>
    <row r="172" spans="1:9" s="1" customFormat="1">
      <c r="A172" s="11" t="s">
        <v>4</v>
      </c>
      <c r="B172" s="10"/>
      <c r="C172" s="10"/>
      <c r="D172" s="18">
        <f>SUM(D166:D167)</f>
        <v>0</v>
      </c>
      <c r="E172" s="6"/>
      <c r="F172" s="27">
        <f>SUM(F166:F167)</f>
        <v>0</v>
      </c>
      <c r="G172" s="23"/>
      <c r="H172" s="31">
        <f>SUM(H166:H171)</f>
        <v>1601.03</v>
      </c>
      <c r="I172" s="2"/>
    </row>
    <row r="173" spans="1:9" s="1" customFormat="1" ht="15.75" thickBot="1">
      <c r="A173" s="12" t="s">
        <v>5</v>
      </c>
      <c r="B173" s="34">
        <f>SUM(D172+F172+H172)</f>
        <v>1601.03</v>
      </c>
      <c r="C173" s="33"/>
      <c r="D173" s="19"/>
      <c r="E173" s="20"/>
      <c r="F173" s="28"/>
      <c r="G173" s="24"/>
      <c r="H173" s="32"/>
      <c r="I173" s="3"/>
    </row>
    <row r="174" spans="1:9" s="1" customFormat="1">
      <c r="A174" s="43" t="s">
        <v>387</v>
      </c>
      <c r="B174" s="8" t="s">
        <v>388</v>
      </c>
      <c r="C174" s="8" t="s">
        <v>231</v>
      </c>
      <c r="D174" s="14">
        <f>15.45</f>
        <v>15.45</v>
      </c>
      <c r="E174" s="15" t="s">
        <v>16</v>
      </c>
      <c r="F174" s="25"/>
      <c r="G174" s="21"/>
      <c r="H174" s="29"/>
      <c r="I174" s="5"/>
    </row>
    <row r="175" spans="1:9" s="1" customFormat="1">
      <c r="A175" s="10"/>
      <c r="B175" s="37" t="s">
        <v>106</v>
      </c>
      <c r="C175" s="9"/>
      <c r="D175" s="16">
        <f>133.57</f>
        <v>133.57</v>
      </c>
      <c r="E175" s="17" t="s">
        <v>14</v>
      </c>
      <c r="F175" s="26"/>
      <c r="G175" s="22"/>
      <c r="H175" s="30"/>
      <c r="I175" s="6"/>
    </row>
    <row r="176" spans="1:9" s="1" customFormat="1">
      <c r="A176" s="10"/>
      <c r="B176" s="37"/>
      <c r="C176" s="9"/>
      <c r="D176" s="16">
        <f>84.38</f>
        <v>84.38</v>
      </c>
      <c r="E176" s="17" t="s">
        <v>29</v>
      </c>
      <c r="F176" s="26"/>
      <c r="G176" s="22"/>
      <c r="H176" s="30"/>
      <c r="I176" s="6"/>
    </row>
    <row r="177" spans="1:11" s="1" customFormat="1">
      <c r="A177" s="10"/>
      <c r="B177" s="37"/>
      <c r="C177" s="9"/>
      <c r="D177" s="16"/>
      <c r="E177" s="17"/>
      <c r="F177" s="26"/>
      <c r="G177" s="22"/>
      <c r="H177" s="30"/>
      <c r="I177" s="6"/>
    </row>
    <row r="178" spans="1:11" s="1" customFormat="1">
      <c r="A178" s="11" t="s">
        <v>4</v>
      </c>
      <c r="B178" s="10"/>
      <c r="C178" s="10"/>
      <c r="D178" s="18">
        <f>SUM(D174:D177)</f>
        <v>233.39999999999998</v>
      </c>
      <c r="E178" s="6"/>
      <c r="F178" s="27">
        <f>SUM(F174:F175)</f>
        <v>0</v>
      </c>
      <c r="G178" s="23"/>
      <c r="H178" s="31">
        <f>SUM(H174:H177)</f>
        <v>0</v>
      </c>
      <c r="I178" s="2"/>
    </row>
    <row r="179" spans="1:11" s="1" customFormat="1" ht="15.75" thickBot="1">
      <c r="A179" s="12" t="s">
        <v>5</v>
      </c>
      <c r="B179" s="34">
        <f>SUM(D178+F178+H178)</f>
        <v>233.39999999999998</v>
      </c>
      <c r="C179" s="33"/>
      <c r="D179" s="19"/>
      <c r="E179" s="20"/>
      <c r="F179" s="28"/>
      <c r="G179" s="24"/>
      <c r="H179" s="32"/>
      <c r="I179" s="3"/>
    </row>
    <row r="180" spans="1:11" ht="15.75" thickBot="1">
      <c r="J180" s="1"/>
      <c r="K180" s="40"/>
    </row>
    <row r="181" spans="1:11" ht="20.25" thickBot="1">
      <c r="A181" s="35" t="s">
        <v>8</v>
      </c>
      <c r="B181" s="36">
        <f>SUM(B38,B46,B56,B66,B74,B88,B94,B102,B122,B129:B130,B131,B137,B150,B160,B165,B173,B179)</f>
        <v>62868.897999999994</v>
      </c>
      <c r="J181" s="1"/>
      <c r="K181" s="40"/>
    </row>
    <row r="182" spans="1:11">
      <c r="J182" s="1"/>
      <c r="K182" s="41"/>
    </row>
    <row r="183" spans="1:11">
      <c r="J183" s="1"/>
      <c r="K183" s="4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2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tabSelected="1" topLeftCell="A100" workbookViewId="0">
      <selection activeCell="H129" sqref="H129"/>
    </sheetView>
  </sheetViews>
  <sheetFormatPr defaultRowHeight="15"/>
  <cols>
    <col min="1" max="1" width="17.7109375" customWidth="1"/>
    <col min="2" max="2" width="35.5703125" bestFit="1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>
        <v>41945</v>
      </c>
      <c r="B2" s="8" t="s">
        <v>79</v>
      </c>
      <c r="C2" s="8" t="s">
        <v>77</v>
      </c>
      <c r="D2" s="14">
        <v>2.6</v>
      </c>
      <c r="E2" s="15" t="s">
        <v>16</v>
      </c>
      <c r="F2" s="25"/>
      <c r="G2" s="21"/>
      <c r="H2" s="29"/>
      <c r="I2" s="5"/>
    </row>
    <row r="3" spans="1:9" s="1" customFormat="1">
      <c r="A3" s="10"/>
      <c r="B3" s="37" t="s">
        <v>19</v>
      </c>
      <c r="C3" s="9"/>
      <c r="D3" s="16"/>
      <c r="E3" s="17"/>
      <c r="F3" s="26"/>
      <c r="G3" s="22"/>
      <c r="H3" s="30">
        <f>29.89</f>
        <v>29.89</v>
      </c>
      <c r="I3" s="6" t="s">
        <v>15</v>
      </c>
    </row>
    <row r="4" spans="1:9" s="1" customFormat="1">
      <c r="A4" s="10"/>
      <c r="B4" s="37"/>
      <c r="C4" s="9"/>
      <c r="D4" s="16"/>
      <c r="E4" s="17"/>
      <c r="F4" s="26"/>
      <c r="G4" s="22"/>
      <c r="H4" s="30"/>
      <c r="I4" s="6"/>
    </row>
    <row r="5" spans="1:9" s="1" customFormat="1">
      <c r="A5" s="11" t="s">
        <v>4</v>
      </c>
      <c r="B5" s="10"/>
      <c r="C5" s="10"/>
      <c r="D5" s="18">
        <f>SUM(D2:D4)</f>
        <v>2.6</v>
      </c>
      <c r="E5" s="6"/>
      <c r="F5" s="27">
        <f>SUM(F2:F3)</f>
        <v>0</v>
      </c>
      <c r="G5" s="23"/>
      <c r="H5" s="31">
        <f>SUM(H2:H4)</f>
        <v>29.89</v>
      </c>
      <c r="I5" s="2"/>
    </row>
    <row r="6" spans="1:9" s="1" customFormat="1" ht="15.75" thickBot="1">
      <c r="A6" s="12" t="s">
        <v>5</v>
      </c>
      <c r="B6" s="34">
        <f>SUM(D5+F5+H5)</f>
        <v>32.49</v>
      </c>
      <c r="C6" s="33"/>
      <c r="D6" s="19"/>
      <c r="E6" s="20"/>
      <c r="F6" s="28"/>
      <c r="G6" s="24"/>
      <c r="H6" s="32"/>
      <c r="I6" s="3"/>
    </row>
    <row r="7" spans="1:9" s="1" customFormat="1">
      <c r="A7" s="43" t="s">
        <v>378</v>
      </c>
      <c r="B7" s="8" t="s">
        <v>379</v>
      </c>
      <c r="C7" s="8" t="s">
        <v>71</v>
      </c>
      <c r="D7" s="14">
        <f>83.3</f>
        <v>83.3</v>
      </c>
      <c r="E7" s="15" t="s">
        <v>16</v>
      </c>
      <c r="F7" s="25">
        <f>95.22</f>
        <v>95.22</v>
      </c>
      <c r="G7" s="21" t="s">
        <v>42</v>
      </c>
      <c r="H7" s="29">
        <f>1266-576+690+696-690-690-696+696</f>
        <v>696</v>
      </c>
      <c r="I7" s="5" t="s">
        <v>45</v>
      </c>
    </row>
    <row r="8" spans="1:9" s="1" customFormat="1">
      <c r="A8" s="10"/>
      <c r="B8" s="37" t="s">
        <v>338</v>
      </c>
      <c r="C8" s="9"/>
      <c r="D8" s="16"/>
      <c r="E8" s="17"/>
      <c r="F8" s="26">
        <f>55.6</f>
        <v>55.6</v>
      </c>
      <c r="G8" s="22" t="s">
        <v>50</v>
      </c>
      <c r="H8" s="30">
        <f>76</f>
        <v>76</v>
      </c>
      <c r="I8" s="6" t="s">
        <v>15</v>
      </c>
    </row>
    <row r="9" spans="1:9" s="1" customFormat="1">
      <c r="A9" s="10"/>
      <c r="B9" s="37"/>
      <c r="C9" s="9"/>
      <c r="D9" s="16"/>
      <c r="E9" s="17"/>
      <c r="F9" s="26">
        <f>13.8</f>
        <v>13.8</v>
      </c>
      <c r="G9" s="22" t="s">
        <v>43</v>
      </c>
      <c r="H9" s="30"/>
      <c r="I9" s="6"/>
    </row>
    <row r="10" spans="1:9" s="1" customFormat="1">
      <c r="A10" s="10"/>
      <c r="B10" s="37"/>
      <c r="C10" s="9"/>
      <c r="D10" s="16"/>
      <c r="E10" s="17"/>
      <c r="F10" s="26"/>
      <c r="G10" s="22"/>
      <c r="H10" s="30"/>
      <c r="I10" s="6"/>
    </row>
    <row r="11" spans="1:9" s="1" customFormat="1">
      <c r="A11" s="10"/>
      <c r="B11" s="37"/>
      <c r="C11" s="9" t="s">
        <v>135</v>
      </c>
      <c r="D11" s="16">
        <f>312.6</f>
        <v>312.60000000000002</v>
      </c>
      <c r="E11" s="17" t="s">
        <v>16</v>
      </c>
      <c r="F11" s="26">
        <f>49.88</f>
        <v>49.88</v>
      </c>
      <c r="G11" s="22" t="s">
        <v>42</v>
      </c>
      <c r="H11" s="30">
        <f>1270-580+690-690+696-690-696+696</f>
        <v>696</v>
      </c>
      <c r="I11" s="6" t="s">
        <v>45</v>
      </c>
    </row>
    <row r="12" spans="1:9" s="1" customFormat="1">
      <c r="A12" s="10"/>
      <c r="B12" s="37"/>
      <c r="C12" s="9"/>
      <c r="D12" s="16"/>
      <c r="E12" s="17"/>
      <c r="F12" s="26">
        <f>61</f>
        <v>61</v>
      </c>
      <c r="G12" s="22" t="s">
        <v>50</v>
      </c>
      <c r="H12" s="30">
        <f>72.5</f>
        <v>72.5</v>
      </c>
      <c r="I12" s="6" t="s">
        <v>15</v>
      </c>
    </row>
    <row r="13" spans="1:9" s="1" customFormat="1">
      <c r="A13" s="10"/>
      <c r="B13" s="37"/>
      <c r="C13" s="9"/>
      <c r="D13" s="16"/>
      <c r="E13" s="17"/>
      <c r="F13" s="26">
        <f>29+106.7</f>
        <v>135.69999999999999</v>
      </c>
      <c r="G13" s="22" t="s">
        <v>43</v>
      </c>
      <c r="H13" s="30"/>
      <c r="I13" s="6"/>
    </row>
    <row r="14" spans="1:9" s="1" customFormat="1">
      <c r="A14" s="10"/>
      <c r="B14" s="37"/>
      <c r="C14" s="9"/>
      <c r="D14" s="16"/>
      <c r="E14" s="17"/>
      <c r="F14" s="26"/>
      <c r="G14" s="22"/>
      <c r="H14" s="30"/>
      <c r="I14" s="6"/>
    </row>
    <row r="15" spans="1:9" s="1" customFormat="1">
      <c r="A15" s="11" t="s">
        <v>4</v>
      </c>
      <c r="B15" s="10"/>
      <c r="C15" s="10"/>
      <c r="D15" s="18">
        <f>SUM(D7:D14)</f>
        <v>395.90000000000003</v>
      </c>
      <c r="E15" s="6"/>
      <c r="F15" s="27">
        <f>SUM(F7:F14)</f>
        <v>411.2</v>
      </c>
      <c r="G15" s="23"/>
      <c r="H15" s="31">
        <f>SUM(H7:H14)</f>
        <v>1540.5</v>
      </c>
      <c r="I15" s="2"/>
    </row>
    <row r="16" spans="1:9" s="1" customFormat="1" ht="15.75" thickBot="1">
      <c r="A16" s="12" t="s">
        <v>5</v>
      </c>
      <c r="B16" s="34">
        <f>SUM(D15+F15+H15)</f>
        <v>2347.6</v>
      </c>
      <c r="C16" s="33"/>
      <c r="D16" s="19"/>
      <c r="E16" s="20"/>
      <c r="F16" s="28"/>
      <c r="G16" s="24"/>
      <c r="H16" s="32"/>
      <c r="I16" s="3"/>
    </row>
    <row r="17" spans="1:9" s="1" customFormat="1">
      <c r="A17" s="43" t="s">
        <v>393</v>
      </c>
      <c r="B17" s="8" t="s">
        <v>149</v>
      </c>
      <c r="C17" s="8" t="s">
        <v>39</v>
      </c>
      <c r="D17" s="14">
        <f>639.4</f>
        <v>639.4</v>
      </c>
      <c r="E17" s="15" t="s">
        <v>16</v>
      </c>
      <c r="F17" s="25"/>
      <c r="G17" s="21"/>
      <c r="H17" s="29"/>
      <c r="I17" s="5"/>
    </row>
    <row r="18" spans="1:9" s="1" customFormat="1">
      <c r="A18" s="10"/>
      <c r="B18" s="37" t="s">
        <v>380</v>
      </c>
      <c r="C18" s="9"/>
      <c r="D18" s="16">
        <f>10</f>
        <v>10</v>
      </c>
      <c r="E18" s="17" t="s">
        <v>14</v>
      </c>
      <c r="F18" s="26"/>
      <c r="G18" s="22"/>
      <c r="H18" s="30"/>
      <c r="I18" s="6"/>
    </row>
    <row r="19" spans="1:9" s="1" customFormat="1">
      <c r="A19" s="10"/>
      <c r="B19" s="37"/>
      <c r="C19" s="9"/>
      <c r="D19" s="16"/>
      <c r="E19" s="17"/>
      <c r="F19" s="26"/>
      <c r="G19" s="22"/>
      <c r="H19" s="30"/>
      <c r="I19" s="6"/>
    </row>
    <row r="20" spans="1:9" s="1" customFormat="1">
      <c r="A20" s="10"/>
      <c r="B20" s="37"/>
      <c r="C20" s="9" t="s">
        <v>57</v>
      </c>
      <c r="D20" s="16">
        <f>1834.6</f>
        <v>1834.6</v>
      </c>
      <c r="E20" s="17" t="s">
        <v>16</v>
      </c>
      <c r="F20" s="26">
        <f>4.4</f>
        <v>4.4000000000000004</v>
      </c>
      <c r="G20" s="22" t="s">
        <v>43</v>
      </c>
      <c r="H20" s="30">
        <f>198</f>
        <v>198</v>
      </c>
      <c r="I20" s="6" t="s">
        <v>403</v>
      </c>
    </row>
    <row r="21" spans="1:9" s="1" customFormat="1">
      <c r="A21" s="10"/>
      <c r="B21" s="37"/>
      <c r="C21" s="9"/>
      <c r="D21" s="16">
        <f>44.2</f>
        <v>44.2</v>
      </c>
      <c r="E21" s="17" t="s">
        <v>14</v>
      </c>
      <c r="F21" s="26">
        <f>148.2</f>
        <v>148.19999999999999</v>
      </c>
      <c r="G21" s="22" t="s">
        <v>398</v>
      </c>
      <c r="H21" s="30"/>
      <c r="I21" s="6"/>
    </row>
    <row r="22" spans="1:9" s="1" customFormat="1">
      <c r="A22" s="10"/>
      <c r="B22" s="37"/>
      <c r="C22" s="9"/>
      <c r="D22" s="16">
        <f>560</f>
        <v>560</v>
      </c>
      <c r="E22" s="17" t="s">
        <v>29</v>
      </c>
      <c r="F22" s="26">
        <f>50+50+50+50-50-50</f>
        <v>100</v>
      </c>
      <c r="G22" s="22" t="s">
        <v>431</v>
      </c>
      <c r="H22" s="30"/>
      <c r="I22" s="6"/>
    </row>
    <row r="23" spans="1:9" s="1" customFormat="1">
      <c r="A23" s="10"/>
      <c r="B23" s="37"/>
      <c r="C23" s="9"/>
      <c r="D23" s="16"/>
      <c r="E23" s="17"/>
      <c r="F23" s="26"/>
      <c r="G23" s="22"/>
      <c r="H23" s="30"/>
      <c r="I23" s="6"/>
    </row>
    <row r="24" spans="1:9" s="1" customFormat="1">
      <c r="A24" s="10"/>
      <c r="B24" s="37"/>
      <c r="C24" s="9" t="s">
        <v>277</v>
      </c>
      <c r="D24" s="16">
        <v>123</v>
      </c>
      <c r="E24" s="17" t="s">
        <v>16</v>
      </c>
      <c r="F24" s="26"/>
      <c r="G24" s="22"/>
      <c r="H24" s="30"/>
      <c r="I24" s="6"/>
    </row>
    <row r="25" spans="1:9" s="1" customFormat="1">
      <c r="A25" s="10"/>
      <c r="B25" s="37"/>
      <c r="C25" s="9"/>
      <c r="D25" s="16"/>
      <c r="E25" s="17"/>
      <c r="F25" s="26"/>
      <c r="G25" s="22"/>
      <c r="H25" s="30"/>
      <c r="I25" s="6"/>
    </row>
    <row r="26" spans="1:9" s="1" customFormat="1">
      <c r="A26" s="11" t="s">
        <v>4</v>
      </c>
      <c r="B26" s="10"/>
      <c r="C26" s="10"/>
      <c r="D26" s="18">
        <f>SUM(D17:D25)</f>
        <v>3211.2</v>
      </c>
      <c r="E26" s="6"/>
      <c r="F26" s="27">
        <f>SUM(F17:F25)</f>
        <v>252.6</v>
      </c>
      <c r="G26" s="23"/>
      <c r="H26" s="31">
        <f>SUM(H17:H25)</f>
        <v>198</v>
      </c>
      <c r="I26" s="2"/>
    </row>
    <row r="27" spans="1:9" s="1" customFormat="1" ht="15.75" thickBot="1">
      <c r="A27" s="12" t="s">
        <v>5</v>
      </c>
      <c r="B27" s="34">
        <f>SUM(D26+F26+H26)</f>
        <v>3661.7999999999997</v>
      </c>
      <c r="C27" s="33"/>
      <c r="D27" s="19"/>
      <c r="E27" s="20"/>
      <c r="F27" s="28"/>
      <c r="G27" s="24"/>
      <c r="H27" s="32"/>
      <c r="I27" s="3"/>
    </row>
    <row r="28" spans="1:9" s="1" customFormat="1">
      <c r="A28" s="43" t="s">
        <v>381</v>
      </c>
      <c r="B28" s="8" t="s">
        <v>55</v>
      </c>
      <c r="C28" s="8" t="s">
        <v>20</v>
      </c>
      <c r="D28" s="14">
        <f>9.4</f>
        <v>9.4</v>
      </c>
      <c r="E28" s="15" t="s">
        <v>16</v>
      </c>
      <c r="F28" s="25">
        <f>7.8</f>
        <v>7.8</v>
      </c>
      <c r="G28" s="21" t="s">
        <v>50</v>
      </c>
      <c r="H28" s="29">
        <f>581.77</f>
        <v>581.77</v>
      </c>
      <c r="I28" s="5" t="s">
        <v>67</v>
      </c>
    </row>
    <row r="29" spans="1:9" s="1" customFormat="1">
      <c r="A29" s="10"/>
      <c r="B29" s="37" t="s">
        <v>382</v>
      </c>
      <c r="C29" s="9"/>
      <c r="D29" s="16">
        <f>28.89</f>
        <v>28.89</v>
      </c>
      <c r="E29" s="17" t="s">
        <v>14</v>
      </c>
      <c r="F29" s="26">
        <f>2.55</f>
        <v>2.5499999999999998</v>
      </c>
      <c r="G29" s="22" t="s">
        <v>43</v>
      </c>
      <c r="H29" s="30">
        <f>182.78</f>
        <v>182.78</v>
      </c>
      <c r="I29" s="6" t="s">
        <v>45</v>
      </c>
    </row>
    <row r="30" spans="1:9" s="1" customFormat="1">
      <c r="A30" s="10"/>
      <c r="B30" s="37"/>
      <c r="C30" s="9"/>
      <c r="D30" s="16">
        <f>1.96</f>
        <v>1.96</v>
      </c>
      <c r="E30" s="17" t="s">
        <v>29</v>
      </c>
      <c r="F30" s="26"/>
      <c r="G30" s="22"/>
      <c r="H30" s="30">
        <f>10.65</f>
        <v>10.65</v>
      </c>
      <c r="I30" s="6" t="s">
        <v>15</v>
      </c>
    </row>
    <row r="31" spans="1:9" s="1" customFormat="1">
      <c r="A31" s="10"/>
      <c r="B31" s="37"/>
      <c r="C31" s="9"/>
      <c r="D31" s="16"/>
      <c r="E31" s="17"/>
      <c r="F31" s="26"/>
      <c r="G31" s="22"/>
      <c r="H31" s="30"/>
      <c r="I31" s="6"/>
    </row>
    <row r="32" spans="1:9" s="1" customFormat="1">
      <c r="A32" s="10"/>
      <c r="B32" s="37"/>
      <c r="C32" s="9" t="s">
        <v>57</v>
      </c>
      <c r="D32" s="16">
        <f>4.4+72</f>
        <v>76.400000000000006</v>
      </c>
      <c r="E32" s="17" t="s">
        <v>16</v>
      </c>
      <c r="F32" s="26">
        <f>24</f>
        <v>24</v>
      </c>
      <c r="G32" s="22" t="s">
        <v>191</v>
      </c>
      <c r="H32" s="30">
        <f>375.3</f>
        <v>375.3</v>
      </c>
      <c r="I32" s="6" t="s">
        <v>67</v>
      </c>
    </row>
    <row r="33" spans="1:9" s="1" customFormat="1">
      <c r="A33" s="10"/>
      <c r="B33" s="37"/>
      <c r="C33" s="9"/>
      <c r="D33" s="16">
        <f>46.6+35.53</f>
        <v>82.13</v>
      </c>
      <c r="E33" s="17" t="s">
        <v>14</v>
      </c>
      <c r="F33" s="26"/>
      <c r="G33" s="22"/>
      <c r="H33" s="30">
        <f>182.78</f>
        <v>182.78</v>
      </c>
      <c r="I33" s="6" t="s">
        <v>45</v>
      </c>
    </row>
    <row r="34" spans="1:9" s="1" customFormat="1">
      <c r="A34" s="10"/>
      <c r="B34" s="37"/>
      <c r="C34" s="9"/>
      <c r="D34" s="16"/>
      <c r="E34" s="17"/>
      <c r="F34" s="26"/>
      <c r="G34" s="22"/>
      <c r="H34" s="30">
        <f>6.6</f>
        <v>6.6</v>
      </c>
      <c r="I34" s="6" t="s">
        <v>15</v>
      </c>
    </row>
    <row r="35" spans="1:9" s="1" customFormat="1">
      <c r="A35" s="10"/>
      <c r="B35" s="37"/>
      <c r="C35" s="9"/>
      <c r="D35" s="16"/>
      <c r="E35" s="17"/>
      <c r="F35" s="26"/>
      <c r="G35" s="22"/>
      <c r="H35" s="30"/>
      <c r="I35" s="6"/>
    </row>
    <row r="36" spans="1:9" s="1" customFormat="1">
      <c r="A36" s="11" t="s">
        <v>4</v>
      </c>
      <c r="B36" s="10"/>
      <c r="C36" s="10"/>
      <c r="D36" s="18">
        <f>SUM(D28:D35)</f>
        <v>198.78</v>
      </c>
      <c r="E36" s="6"/>
      <c r="F36" s="27">
        <f>SUM(F28:F35)</f>
        <v>34.35</v>
      </c>
      <c r="G36" s="23"/>
      <c r="H36" s="31">
        <f>SUM(H28:H35)</f>
        <v>1339.8799999999999</v>
      </c>
      <c r="I36" s="2"/>
    </row>
    <row r="37" spans="1:9" s="1" customFormat="1" ht="15.75" thickBot="1">
      <c r="A37" s="12" t="s">
        <v>5</v>
      </c>
      <c r="B37" s="34">
        <f>SUM(D36+F36+H36)</f>
        <v>1573.0099999999998</v>
      </c>
      <c r="C37" s="33"/>
      <c r="D37" s="19"/>
      <c r="E37" s="20"/>
      <c r="F37" s="28"/>
      <c r="G37" s="24"/>
      <c r="H37" s="32"/>
      <c r="I37" s="3"/>
    </row>
    <row r="38" spans="1:9" s="1" customFormat="1">
      <c r="A38" s="43">
        <v>41947</v>
      </c>
      <c r="B38" s="8" t="s">
        <v>55</v>
      </c>
      <c r="C38" s="8" t="s">
        <v>194</v>
      </c>
      <c r="D38" s="14">
        <f>23.1</f>
        <v>23.1</v>
      </c>
      <c r="E38" s="15" t="s">
        <v>16</v>
      </c>
      <c r="F38" s="25"/>
      <c r="G38" s="21"/>
      <c r="H38" s="29"/>
      <c r="I38" s="5"/>
    </row>
    <row r="39" spans="1:9" s="1" customFormat="1">
      <c r="A39" s="10"/>
      <c r="B39" s="37" t="s">
        <v>380</v>
      </c>
      <c r="C39" s="9"/>
      <c r="D39" s="16">
        <f>41.3</f>
        <v>41.3</v>
      </c>
      <c r="E39" s="17" t="s">
        <v>14</v>
      </c>
      <c r="F39" s="26"/>
      <c r="G39" s="22"/>
      <c r="H39" s="30"/>
      <c r="I39" s="6"/>
    </row>
    <row r="40" spans="1:9" s="1" customFormat="1">
      <c r="A40" s="10"/>
      <c r="B40" s="37"/>
      <c r="C40" s="9"/>
      <c r="D40" s="16"/>
      <c r="E40" s="17"/>
      <c r="F40" s="26"/>
      <c r="G40" s="22"/>
      <c r="H40" s="30"/>
      <c r="I40" s="6"/>
    </row>
    <row r="41" spans="1:9" s="1" customFormat="1">
      <c r="A41" s="10"/>
      <c r="B41" s="37"/>
      <c r="C41" s="9" t="s">
        <v>9</v>
      </c>
      <c r="D41" s="16">
        <f>6</f>
        <v>6</v>
      </c>
      <c r="E41" s="17" t="s">
        <v>16</v>
      </c>
      <c r="F41" s="26"/>
      <c r="G41" s="22"/>
      <c r="H41" s="30"/>
      <c r="I41" s="6"/>
    </row>
    <row r="42" spans="1:9" s="1" customFormat="1">
      <c r="A42" s="10"/>
      <c r="B42" s="37"/>
      <c r="C42" s="9"/>
      <c r="D42" s="16">
        <f>32.9</f>
        <v>32.9</v>
      </c>
      <c r="E42" s="17" t="s">
        <v>14</v>
      </c>
      <c r="F42" s="26"/>
      <c r="G42" s="22"/>
      <c r="H42" s="30"/>
      <c r="I42" s="6"/>
    </row>
    <row r="43" spans="1:9" s="1" customFormat="1">
      <c r="A43" s="10"/>
      <c r="B43" s="37"/>
      <c r="C43" s="9"/>
      <c r="D43" s="16"/>
      <c r="E43" s="17"/>
      <c r="F43" s="26"/>
      <c r="G43" s="22"/>
      <c r="H43" s="30"/>
      <c r="I43" s="6"/>
    </row>
    <row r="44" spans="1:9" s="1" customFormat="1">
      <c r="A44" s="11" t="s">
        <v>4</v>
      </c>
      <c r="B44" s="10"/>
      <c r="C44" s="10"/>
      <c r="D44" s="18">
        <f>SUM(D38:D43)</f>
        <v>103.30000000000001</v>
      </c>
      <c r="E44" s="6"/>
      <c r="F44" s="27">
        <f>SUM(F38:F39)</f>
        <v>0</v>
      </c>
      <c r="G44" s="23"/>
      <c r="H44" s="31">
        <f>SUM(H38:H43)</f>
        <v>0</v>
      </c>
      <c r="I44" s="2"/>
    </row>
    <row r="45" spans="1:9" s="1" customFormat="1" ht="15.75" thickBot="1">
      <c r="A45" s="12" t="s">
        <v>5</v>
      </c>
      <c r="B45" s="34">
        <f>SUM(D44+F44+H44)</f>
        <v>103.30000000000001</v>
      </c>
      <c r="C45" s="33"/>
      <c r="D45" s="19"/>
      <c r="E45" s="20"/>
      <c r="F45" s="28"/>
      <c r="G45" s="24"/>
      <c r="H45" s="32"/>
      <c r="I45" s="3"/>
    </row>
    <row r="46" spans="1:9" s="1" customFormat="1">
      <c r="A46" s="43" t="s">
        <v>372</v>
      </c>
      <c r="B46" s="8" t="s">
        <v>373</v>
      </c>
      <c r="C46" s="8" t="s">
        <v>12</v>
      </c>
      <c r="D46" s="14">
        <f>198.36</f>
        <v>198.36</v>
      </c>
      <c r="E46" s="15" t="s">
        <v>16</v>
      </c>
      <c r="F46" s="25"/>
      <c r="G46" s="21"/>
      <c r="H46" s="26">
        <f>342.33</f>
        <v>342.33</v>
      </c>
      <c r="I46" s="22" t="s">
        <v>67</v>
      </c>
    </row>
    <row r="47" spans="1:9" s="1" customFormat="1">
      <c r="A47" s="10"/>
      <c r="B47" s="37" t="s">
        <v>374</v>
      </c>
      <c r="C47" s="9"/>
      <c r="D47" s="16">
        <f>81.14+87.03</f>
        <v>168.17000000000002</v>
      </c>
      <c r="E47" s="17" t="s">
        <v>14</v>
      </c>
      <c r="F47" s="26"/>
      <c r="G47" s="22"/>
      <c r="H47" s="30">
        <f>497.11</f>
        <v>497.11</v>
      </c>
      <c r="I47" s="6" t="s">
        <v>45</v>
      </c>
    </row>
    <row r="48" spans="1:9" s="1" customFormat="1">
      <c r="A48" s="10"/>
      <c r="B48" s="37"/>
      <c r="C48" s="9"/>
      <c r="D48" s="16"/>
      <c r="E48" s="17"/>
      <c r="F48" s="26"/>
      <c r="G48" s="22"/>
      <c r="H48" s="30">
        <f>38.19</f>
        <v>38.19</v>
      </c>
      <c r="I48" s="6" t="s">
        <v>15</v>
      </c>
    </row>
    <row r="49" spans="1:9" s="1" customFormat="1">
      <c r="A49" s="10"/>
      <c r="B49" s="37"/>
      <c r="C49" s="9"/>
      <c r="D49" s="16"/>
      <c r="E49" s="17"/>
      <c r="F49" s="26"/>
      <c r="G49" s="22"/>
      <c r="H49" s="30"/>
      <c r="I49" s="6"/>
    </row>
    <row r="50" spans="1:9" s="1" customFormat="1">
      <c r="A50" s="10"/>
      <c r="B50" s="37"/>
      <c r="C50" s="9" t="s">
        <v>11</v>
      </c>
      <c r="D50" s="16">
        <f>150.5</f>
        <v>150.5</v>
      </c>
      <c r="E50" s="17" t="s">
        <v>16</v>
      </c>
      <c r="F50" s="26"/>
      <c r="G50" s="22"/>
      <c r="H50" s="30">
        <f>376.21</f>
        <v>376.21</v>
      </c>
      <c r="I50" s="6" t="s">
        <v>67</v>
      </c>
    </row>
    <row r="51" spans="1:9" s="1" customFormat="1">
      <c r="A51" s="10"/>
      <c r="B51" s="37"/>
      <c r="C51" s="9"/>
      <c r="D51" s="16">
        <f>77.22+22.94</f>
        <v>100.16</v>
      </c>
      <c r="E51" s="17" t="s">
        <v>14</v>
      </c>
      <c r="F51" s="26"/>
      <c r="G51" s="22"/>
      <c r="H51" s="30">
        <f>397.69</f>
        <v>397.69</v>
      </c>
      <c r="I51" s="6" t="s">
        <v>45</v>
      </c>
    </row>
    <row r="52" spans="1:9" s="1" customFormat="1">
      <c r="A52" s="10"/>
      <c r="B52" s="37"/>
      <c r="C52" s="9"/>
      <c r="D52" s="16"/>
      <c r="E52" s="17"/>
      <c r="F52" s="26"/>
      <c r="G52" s="22"/>
      <c r="H52" s="30">
        <f>80.88</f>
        <v>80.88</v>
      </c>
      <c r="I52" s="6" t="s">
        <v>15</v>
      </c>
    </row>
    <row r="53" spans="1:9" s="1" customFormat="1">
      <c r="A53" s="10"/>
      <c r="B53" s="37"/>
      <c r="C53" s="9"/>
      <c r="D53" s="16"/>
      <c r="E53" s="17"/>
      <c r="F53" s="26"/>
      <c r="G53" s="22"/>
      <c r="H53" s="30"/>
      <c r="I53" s="6"/>
    </row>
    <row r="54" spans="1:9" s="1" customFormat="1">
      <c r="A54" s="11" t="s">
        <v>4</v>
      </c>
      <c r="B54" s="10"/>
      <c r="C54" s="10"/>
      <c r="D54" s="18">
        <f>SUM(D46:D53)</f>
        <v>617.18999999999994</v>
      </c>
      <c r="E54" s="6"/>
      <c r="F54" s="27">
        <f>SUM(F46:F47)</f>
        <v>0</v>
      </c>
      <c r="G54" s="23"/>
      <c r="H54" s="31">
        <f>SUM(H46:H53)</f>
        <v>1732.4100000000003</v>
      </c>
      <c r="I54" s="2"/>
    </row>
    <row r="55" spans="1:9" s="1" customFormat="1" ht="15.75" thickBot="1">
      <c r="A55" s="12" t="s">
        <v>5</v>
      </c>
      <c r="B55" s="34">
        <f>SUM(D54+F54+H54)</f>
        <v>2349.6000000000004</v>
      </c>
      <c r="C55" s="33"/>
      <c r="D55" s="19"/>
      <c r="E55" s="20"/>
      <c r="F55" s="28"/>
      <c r="G55" s="24"/>
      <c r="H55" s="32"/>
      <c r="I55" s="3"/>
    </row>
    <row r="56" spans="1:9" s="1" customFormat="1">
      <c r="A56" s="43" t="s">
        <v>394</v>
      </c>
      <c r="B56" s="8" t="s">
        <v>384</v>
      </c>
      <c r="C56" s="8" t="s">
        <v>39</v>
      </c>
      <c r="D56" s="14">
        <f>19.5</f>
        <v>19.5</v>
      </c>
      <c r="E56" s="15" t="s">
        <v>16</v>
      </c>
      <c r="F56" s="25">
        <f>206.8</f>
        <v>206.8</v>
      </c>
      <c r="G56" s="21" t="s">
        <v>42</v>
      </c>
      <c r="H56" s="29"/>
      <c r="I56" s="5"/>
    </row>
    <row r="57" spans="1:9" s="1" customFormat="1">
      <c r="A57" s="10"/>
      <c r="B57" s="37" t="s">
        <v>380</v>
      </c>
      <c r="C57" s="9"/>
      <c r="D57" s="16">
        <f>23</f>
        <v>23</v>
      </c>
      <c r="E57" s="17" t="s">
        <v>14</v>
      </c>
      <c r="F57" s="26">
        <f>22.4</f>
        <v>22.4</v>
      </c>
      <c r="G57" s="22" t="s">
        <v>50</v>
      </c>
      <c r="H57" s="30"/>
      <c r="I57" s="6"/>
    </row>
    <row r="58" spans="1:9" s="1" customFormat="1">
      <c r="A58" s="10"/>
      <c r="B58" s="37"/>
      <c r="C58" s="9"/>
      <c r="D58" s="16"/>
      <c r="E58" s="17"/>
      <c r="F58" s="26"/>
      <c r="G58" s="22"/>
      <c r="H58" s="30"/>
      <c r="I58" s="6"/>
    </row>
    <row r="59" spans="1:9" s="1" customFormat="1">
      <c r="A59" s="10" t="s">
        <v>383</v>
      </c>
      <c r="B59" s="37"/>
      <c r="C59" s="9" t="s">
        <v>49</v>
      </c>
      <c r="D59" s="16"/>
      <c r="E59" s="17"/>
      <c r="F59" s="26">
        <f>311.93</f>
        <v>311.93</v>
      </c>
      <c r="G59" s="22" t="s">
        <v>42</v>
      </c>
      <c r="H59" s="30">
        <f>85+85</f>
        <v>170</v>
      </c>
      <c r="I59" s="6" t="s">
        <v>45</v>
      </c>
    </row>
    <row r="60" spans="1:9" s="1" customFormat="1">
      <c r="A60" s="10"/>
      <c r="B60" s="37"/>
      <c r="C60" s="9"/>
      <c r="D60" s="16"/>
      <c r="E60" s="17"/>
      <c r="F60" s="26">
        <f>32.4</f>
        <v>32.4</v>
      </c>
      <c r="G60" s="22" t="s">
        <v>50</v>
      </c>
      <c r="H60" s="30">
        <f>23</f>
        <v>23</v>
      </c>
      <c r="I60" s="6" t="s">
        <v>15</v>
      </c>
    </row>
    <row r="61" spans="1:9" s="1" customFormat="1">
      <c r="A61" s="10"/>
      <c r="B61" s="37"/>
      <c r="C61" s="9"/>
      <c r="D61" s="16"/>
      <c r="E61" s="17"/>
      <c r="F61" s="26"/>
      <c r="G61" s="22"/>
      <c r="H61" s="30"/>
      <c r="I61" s="6"/>
    </row>
    <row r="62" spans="1:9" s="1" customFormat="1">
      <c r="A62" s="11" t="s">
        <v>4</v>
      </c>
      <c r="B62" s="10"/>
      <c r="C62" s="10"/>
      <c r="D62" s="18">
        <f>SUM(D56:D61)</f>
        <v>42.5</v>
      </c>
      <c r="E62" s="6"/>
      <c r="F62" s="27">
        <f>SUM(F56:F61)</f>
        <v>573.53</v>
      </c>
      <c r="G62" s="23"/>
      <c r="H62" s="31">
        <f>SUM(H56:H61)</f>
        <v>193</v>
      </c>
      <c r="I62" s="2"/>
    </row>
    <row r="63" spans="1:9" s="1" customFormat="1" ht="15.75" thickBot="1">
      <c r="A63" s="12" t="s">
        <v>5</v>
      </c>
      <c r="B63" s="34">
        <f>SUM(D62+F62+H62)</f>
        <v>809.03</v>
      </c>
      <c r="C63" s="33"/>
      <c r="D63" s="19"/>
      <c r="E63" s="20"/>
      <c r="F63" s="28"/>
      <c r="G63" s="24"/>
      <c r="H63" s="32"/>
      <c r="I63" s="3"/>
    </row>
    <row r="64" spans="1:9" s="1" customFormat="1">
      <c r="A64" s="43" t="s">
        <v>371</v>
      </c>
      <c r="B64" s="8" t="s">
        <v>79</v>
      </c>
      <c r="C64" s="8" t="s">
        <v>369</v>
      </c>
      <c r="D64" s="14">
        <f>10.32+174.1</f>
        <v>184.42</v>
      </c>
      <c r="E64" s="15" t="s">
        <v>16</v>
      </c>
      <c r="F64" s="25">
        <v>24</v>
      </c>
      <c r="G64" s="21" t="s">
        <v>32</v>
      </c>
      <c r="H64" s="29">
        <f>892.9</f>
        <v>892.9</v>
      </c>
      <c r="I64" s="5" t="s">
        <v>67</v>
      </c>
    </row>
    <row r="65" spans="1:9" s="1" customFormat="1">
      <c r="A65" s="10"/>
      <c r="B65" s="37" t="s">
        <v>380</v>
      </c>
      <c r="C65" s="9"/>
      <c r="D65" s="16">
        <v>12.9</v>
      </c>
      <c r="E65" s="17" t="s">
        <v>14</v>
      </c>
      <c r="F65" s="26">
        <v>9</v>
      </c>
      <c r="G65" s="22" t="s">
        <v>31</v>
      </c>
      <c r="H65" s="30">
        <f>1924+405+585+945-1924</f>
        <v>1935</v>
      </c>
      <c r="I65" s="6" t="s">
        <v>45</v>
      </c>
    </row>
    <row r="66" spans="1:9" s="1" customFormat="1">
      <c r="A66" s="10"/>
      <c r="B66" s="37"/>
      <c r="C66" s="9"/>
      <c r="D66" s="16"/>
      <c r="E66" s="17"/>
      <c r="F66" s="26"/>
      <c r="G66" s="22"/>
      <c r="H66" s="30">
        <f>65</f>
        <v>65</v>
      </c>
      <c r="I66" s="6" t="s">
        <v>15</v>
      </c>
    </row>
    <row r="67" spans="1:9" s="1" customFormat="1">
      <c r="A67" s="10"/>
      <c r="B67" s="37"/>
      <c r="C67" s="9"/>
      <c r="D67" s="16"/>
      <c r="E67" s="17"/>
      <c r="F67" s="26"/>
      <c r="G67" s="22"/>
      <c r="H67" s="30"/>
      <c r="I67" s="6"/>
    </row>
    <row r="68" spans="1:9" s="1" customFormat="1">
      <c r="A68" s="10"/>
      <c r="B68" s="37"/>
      <c r="C68" s="9" t="s">
        <v>57</v>
      </c>
      <c r="D68" s="16">
        <f>98.5</f>
        <v>98.5</v>
      </c>
      <c r="E68" s="17" t="s">
        <v>16</v>
      </c>
      <c r="F68" s="26"/>
      <c r="G68" s="22"/>
      <c r="H68" s="30"/>
      <c r="I68" s="6"/>
    </row>
    <row r="69" spans="1:9" s="1" customFormat="1">
      <c r="A69" s="10"/>
      <c r="B69" s="37"/>
      <c r="C69" s="9"/>
      <c r="D69" s="16">
        <f>14.5</f>
        <v>14.5</v>
      </c>
      <c r="E69" s="17" t="s">
        <v>14</v>
      </c>
      <c r="F69" s="26"/>
      <c r="G69" s="22"/>
      <c r="H69" s="30"/>
      <c r="I69" s="6"/>
    </row>
    <row r="70" spans="1:9" s="1" customFormat="1">
      <c r="A70" s="10"/>
      <c r="B70" s="37"/>
      <c r="C70" s="9"/>
      <c r="D70" s="16"/>
      <c r="E70" s="17"/>
      <c r="F70" s="26"/>
      <c r="G70" s="22"/>
      <c r="H70" s="30"/>
      <c r="I70" s="6"/>
    </row>
    <row r="71" spans="1:9" s="1" customFormat="1">
      <c r="A71" s="11" t="s">
        <v>4</v>
      </c>
      <c r="B71" s="10"/>
      <c r="C71" s="10"/>
      <c r="D71" s="18">
        <f>SUM(D64:D70)</f>
        <v>310.32</v>
      </c>
      <c r="E71" s="6"/>
      <c r="F71" s="27">
        <f>SUM(F64:F70)</f>
        <v>33</v>
      </c>
      <c r="G71" s="23"/>
      <c r="H71" s="31">
        <f>SUM(H64:H70)</f>
        <v>2892.9</v>
      </c>
      <c r="I71" s="2"/>
    </row>
    <row r="72" spans="1:9" s="1" customFormat="1" ht="15.75" thickBot="1">
      <c r="A72" s="12" t="s">
        <v>5</v>
      </c>
      <c r="B72" s="34">
        <f>SUM(D71+F71+H71)</f>
        <v>3236.2200000000003</v>
      </c>
      <c r="C72" s="33"/>
      <c r="D72" s="19"/>
      <c r="E72" s="20"/>
      <c r="F72" s="28"/>
      <c r="G72" s="24"/>
      <c r="H72" s="32"/>
      <c r="I72" s="3"/>
    </row>
    <row r="73" spans="1:9" s="1" customFormat="1">
      <c r="A73" s="43" t="s">
        <v>389</v>
      </c>
      <c r="B73" s="8" t="s">
        <v>34</v>
      </c>
      <c r="C73" s="8" t="s">
        <v>231</v>
      </c>
      <c r="D73" s="14">
        <f>249.1+28.01</f>
        <v>277.11</v>
      </c>
      <c r="E73" s="15" t="s">
        <v>16</v>
      </c>
      <c r="F73" s="25"/>
      <c r="G73" s="21"/>
      <c r="H73" s="29">
        <f>783.21</f>
        <v>783.21</v>
      </c>
      <c r="I73" s="5" t="s">
        <v>67</v>
      </c>
    </row>
    <row r="74" spans="1:9" s="1" customFormat="1">
      <c r="A74" s="10"/>
      <c r="B74" s="37" t="s">
        <v>89</v>
      </c>
      <c r="C74" s="9"/>
      <c r="D74" s="16">
        <f>14.78</f>
        <v>14.78</v>
      </c>
      <c r="E74" s="17" t="s">
        <v>14</v>
      </c>
      <c r="F74" s="26"/>
      <c r="G74" s="22"/>
      <c r="H74" s="30">
        <f>422.85+76.71</f>
        <v>499.56</v>
      </c>
      <c r="I74" s="6" t="s">
        <v>45</v>
      </c>
    </row>
    <row r="75" spans="1:9" s="1" customFormat="1">
      <c r="A75" s="10"/>
      <c r="B75" s="37"/>
      <c r="C75" s="9"/>
      <c r="D75" s="16"/>
      <c r="E75" s="17"/>
      <c r="F75" s="26"/>
      <c r="G75" s="22"/>
      <c r="H75" s="30"/>
      <c r="I75" s="6"/>
    </row>
    <row r="76" spans="1:9" s="1" customFormat="1">
      <c r="A76" s="10"/>
      <c r="B76" s="37"/>
      <c r="C76" s="9" t="s">
        <v>277</v>
      </c>
      <c r="D76" s="16">
        <f>30.35+208.03</f>
        <v>238.38</v>
      </c>
      <c r="E76" s="17" t="s">
        <v>16</v>
      </c>
      <c r="F76" s="26">
        <f>13.31</f>
        <v>13.31</v>
      </c>
      <c r="G76" s="22" t="s">
        <v>42</v>
      </c>
      <c r="H76" s="30">
        <f>1661.85</f>
        <v>1661.85</v>
      </c>
      <c r="I76" s="6" t="s">
        <v>67</v>
      </c>
    </row>
    <row r="77" spans="1:9" s="1" customFormat="1">
      <c r="A77" s="10"/>
      <c r="B77" s="37"/>
      <c r="C77" s="9"/>
      <c r="D77" s="16">
        <f>103.64</f>
        <v>103.64</v>
      </c>
      <c r="E77" s="17" t="s">
        <v>14</v>
      </c>
      <c r="F77" s="26"/>
      <c r="G77" s="22"/>
      <c r="H77" s="30">
        <f>504.69+181.92</f>
        <v>686.61</v>
      </c>
      <c r="I77" s="6" t="s">
        <v>45</v>
      </c>
    </row>
    <row r="78" spans="1:9" s="1" customFormat="1">
      <c r="A78" s="10"/>
      <c r="B78" s="37"/>
      <c r="C78" s="9"/>
      <c r="D78" s="16">
        <v>129.88999999999999</v>
      </c>
      <c r="E78" s="17" t="s">
        <v>29</v>
      </c>
      <c r="F78" s="26"/>
      <c r="G78" s="22"/>
      <c r="H78" s="30"/>
      <c r="I78" s="6"/>
    </row>
    <row r="79" spans="1:9" s="1" customFormat="1">
      <c r="A79" s="10"/>
      <c r="B79" s="37"/>
      <c r="C79" s="9"/>
      <c r="D79" s="16"/>
      <c r="E79" s="17"/>
      <c r="F79" s="26"/>
      <c r="G79" s="22"/>
      <c r="H79" s="30"/>
      <c r="I79" s="6"/>
    </row>
    <row r="80" spans="1:9" s="1" customFormat="1">
      <c r="A80" s="10"/>
      <c r="B80" s="37"/>
      <c r="C80" s="9" t="s">
        <v>77</v>
      </c>
      <c r="D80" s="16">
        <f>33.28</f>
        <v>33.28</v>
      </c>
      <c r="E80" s="17" t="s">
        <v>16</v>
      </c>
      <c r="F80" s="26"/>
      <c r="G80" s="22"/>
      <c r="H80" s="30"/>
      <c r="I80" s="6"/>
    </row>
    <row r="81" spans="1:9" s="1" customFormat="1">
      <c r="A81" s="10"/>
      <c r="B81" s="37"/>
      <c r="C81" s="9"/>
      <c r="D81" s="16"/>
      <c r="E81" s="17"/>
      <c r="F81" s="26"/>
      <c r="G81" s="22"/>
      <c r="H81" s="30"/>
      <c r="I81" s="6"/>
    </row>
    <row r="82" spans="1:9" s="1" customFormat="1">
      <c r="A82" s="11" t="s">
        <v>4</v>
      </c>
      <c r="B82" s="10"/>
      <c r="C82" s="10"/>
      <c r="D82" s="18">
        <f>SUM(D73:D81)</f>
        <v>797.07999999999993</v>
      </c>
      <c r="E82" s="6"/>
      <c r="F82" s="27">
        <f>SUM(F73:F81)</f>
        <v>13.31</v>
      </c>
      <c r="G82" s="23"/>
      <c r="H82" s="31">
        <f>SUM(H73:H81)</f>
        <v>3631.23</v>
      </c>
      <c r="I82" s="2"/>
    </row>
    <row r="83" spans="1:9" s="1" customFormat="1" ht="15.75" thickBot="1">
      <c r="A83" s="12" t="s">
        <v>5</v>
      </c>
      <c r="B83" s="34">
        <f>SUM(D82+F82+H82)</f>
        <v>4441.62</v>
      </c>
      <c r="C83" s="33"/>
      <c r="D83" s="19"/>
      <c r="E83" s="20"/>
      <c r="F83" s="28"/>
      <c r="G83" s="24"/>
      <c r="H83" s="32"/>
      <c r="I83" s="3"/>
    </row>
    <row r="84" spans="1:9" s="1" customFormat="1">
      <c r="A84" s="43" t="s">
        <v>390</v>
      </c>
      <c r="B84" s="8" t="s">
        <v>34</v>
      </c>
      <c r="C84" s="8" t="s">
        <v>20</v>
      </c>
      <c r="D84" s="14">
        <f>159.72</f>
        <v>159.72</v>
      </c>
      <c r="E84" s="15" t="s">
        <v>16</v>
      </c>
      <c r="F84" s="25"/>
      <c r="G84" s="21"/>
      <c r="H84" s="29">
        <f>1204.71</f>
        <v>1204.71</v>
      </c>
      <c r="I84" s="5" t="s">
        <v>67</v>
      </c>
    </row>
    <row r="85" spans="1:9" s="1" customFormat="1">
      <c r="A85" s="10"/>
      <c r="B85" s="37" t="s">
        <v>89</v>
      </c>
      <c r="C85" s="9"/>
      <c r="D85" s="16">
        <f>71.1+30.59</f>
        <v>101.69</v>
      </c>
      <c r="E85" s="17" t="s">
        <v>14</v>
      </c>
      <c r="F85" s="26"/>
      <c r="G85" s="22"/>
      <c r="H85" s="30">
        <f>159.32+117.28-117.28</f>
        <v>159.32000000000002</v>
      </c>
      <c r="I85" s="6" t="s">
        <v>81</v>
      </c>
    </row>
    <row r="86" spans="1:9" s="1" customFormat="1">
      <c r="A86" s="10"/>
      <c r="B86" s="37"/>
      <c r="C86" s="9"/>
      <c r="D86" s="16">
        <f>19.5+20.64+13.56</f>
        <v>53.7</v>
      </c>
      <c r="E86" s="17" t="s">
        <v>29</v>
      </c>
      <c r="F86" s="26"/>
      <c r="G86" s="22"/>
      <c r="H86" s="30">
        <f>34.66</f>
        <v>34.659999999999997</v>
      </c>
      <c r="I86" s="6" t="s">
        <v>15</v>
      </c>
    </row>
    <row r="87" spans="1:9" s="1" customFormat="1">
      <c r="A87" s="10"/>
      <c r="B87" s="37"/>
      <c r="C87" s="9"/>
      <c r="D87" s="16"/>
      <c r="E87" s="17"/>
      <c r="F87" s="26"/>
      <c r="G87" s="22"/>
      <c r="H87" s="30"/>
      <c r="I87" s="6"/>
    </row>
    <row r="88" spans="1:9" s="1" customFormat="1">
      <c r="A88" s="10"/>
      <c r="B88" s="37"/>
      <c r="C88" s="9" t="s">
        <v>277</v>
      </c>
      <c r="D88" s="16">
        <f>9.5+263.82</f>
        <v>273.32</v>
      </c>
      <c r="E88" s="17" t="s">
        <v>16</v>
      </c>
      <c r="F88" s="26">
        <f>13.31</f>
        <v>13.31</v>
      </c>
      <c r="G88" s="22" t="s">
        <v>42</v>
      </c>
      <c r="H88" s="30">
        <f>149.33+1286.91+176.01</f>
        <v>1612.25</v>
      </c>
      <c r="I88" s="6" t="s">
        <v>67</v>
      </c>
    </row>
    <row r="89" spans="1:9" s="1" customFormat="1">
      <c r="A89" s="10"/>
      <c r="B89" s="37"/>
      <c r="C89" s="9"/>
      <c r="D89" s="16">
        <f>85.63</f>
        <v>85.63</v>
      </c>
      <c r="E89" s="17" t="s">
        <v>14</v>
      </c>
      <c r="F89" s="26"/>
      <c r="G89" s="22"/>
      <c r="H89" s="30">
        <f>490.81+490.81-490.81</f>
        <v>490.81</v>
      </c>
      <c r="I89" s="6" t="s">
        <v>45</v>
      </c>
    </row>
    <row r="90" spans="1:9" s="1" customFormat="1">
      <c r="A90" s="10"/>
      <c r="B90" s="37"/>
      <c r="C90" s="9"/>
      <c r="D90" s="16">
        <f>21.43</f>
        <v>21.43</v>
      </c>
      <c r="E90" s="17" t="s">
        <v>29</v>
      </c>
      <c r="F90" s="26"/>
      <c r="G90" s="22"/>
      <c r="H90" s="30"/>
      <c r="I90" s="6"/>
    </row>
    <row r="91" spans="1:9" s="1" customFormat="1">
      <c r="A91" s="10"/>
      <c r="B91" s="37"/>
      <c r="C91" s="9"/>
      <c r="D91" s="16"/>
      <c r="E91" s="17"/>
      <c r="F91" s="26"/>
      <c r="G91" s="22"/>
      <c r="H91" s="30"/>
      <c r="I91" s="6"/>
    </row>
    <row r="92" spans="1:9" s="1" customFormat="1">
      <c r="A92" s="10"/>
      <c r="B92" s="37"/>
      <c r="C92" s="9" t="s">
        <v>77</v>
      </c>
      <c r="D92" s="16">
        <f>11.6</f>
        <v>11.6</v>
      </c>
      <c r="E92" s="17" t="s">
        <v>16</v>
      </c>
      <c r="F92" s="26"/>
      <c r="G92" s="22"/>
      <c r="H92" s="30"/>
      <c r="I92" s="6"/>
    </row>
    <row r="93" spans="1:9" s="1" customFormat="1">
      <c r="A93" s="10"/>
      <c r="B93" s="37"/>
      <c r="C93" s="9"/>
      <c r="D93" s="16"/>
      <c r="E93" s="17"/>
      <c r="F93" s="26"/>
      <c r="G93" s="22"/>
      <c r="H93" s="30"/>
      <c r="I93" s="6"/>
    </row>
    <row r="94" spans="1:9" s="1" customFormat="1">
      <c r="A94" s="11" t="s">
        <v>4</v>
      </c>
      <c r="B94" s="10"/>
      <c r="C94" s="10"/>
      <c r="D94" s="18">
        <f>SUM(D84:D93)</f>
        <v>707.08999999999992</v>
      </c>
      <c r="E94" s="6"/>
      <c r="F94" s="27">
        <f>SUM(F84:F93)</f>
        <v>13.31</v>
      </c>
      <c r="G94" s="23"/>
      <c r="H94" s="31">
        <f>SUM(H84:H93)</f>
        <v>3501.75</v>
      </c>
      <c r="I94" s="2"/>
    </row>
    <row r="95" spans="1:9" s="1" customFormat="1" ht="15.75" thickBot="1">
      <c r="A95" s="12" t="s">
        <v>5</v>
      </c>
      <c r="B95" s="34">
        <f>SUM(D94+F94+H94)</f>
        <v>4222.1499999999996</v>
      </c>
      <c r="C95" s="33"/>
      <c r="D95" s="19"/>
      <c r="E95" s="20"/>
      <c r="F95" s="28"/>
      <c r="G95" s="24"/>
      <c r="H95" s="32"/>
      <c r="I95" s="3"/>
    </row>
    <row r="96" spans="1:9" s="1" customFormat="1">
      <c r="A96" s="43" t="s">
        <v>375</v>
      </c>
      <c r="B96" s="8" t="s">
        <v>55</v>
      </c>
      <c r="C96" s="8" t="s">
        <v>11</v>
      </c>
      <c r="D96" s="14">
        <f>28.89</f>
        <v>28.89</v>
      </c>
      <c r="E96" s="15" t="s">
        <v>14</v>
      </c>
      <c r="F96" s="25"/>
      <c r="G96" s="21"/>
      <c r="H96" s="29">
        <f>713.51</f>
        <v>713.51</v>
      </c>
      <c r="I96" s="5" t="s">
        <v>67</v>
      </c>
    </row>
    <row r="97" spans="1:9" s="1" customFormat="1">
      <c r="A97" s="10"/>
      <c r="B97" s="37" t="s">
        <v>94</v>
      </c>
      <c r="C97" s="9"/>
      <c r="D97" s="16">
        <f>44.67</f>
        <v>44.67</v>
      </c>
      <c r="E97" s="17" t="s">
        <v>29</v>
      </c>
      <c r="F97" s="26"/>
      <c r="G97" s="22"/>
      <c r="H97" s="30">
        <f>198.82</f>
        <v>198.82</v>
      </c>
      <c r="I97" s="6" t="s">
        <v>45</v>
      </c>
    </row>
    <row r="98" spans="1:9" s="1" customFormat="1">
      <c r="A98" s="10"/>
      <c r="B98" s="37"/>
      <c r="C98" s="9"/>
      <c r="D98" s="16"/>
      <c r="E98" s="17"/>
      <c r="F98" s="26"/>
      <c r="G98" s="22"/>
      <c r="H98" s="30"/>
      <c r="I98" s="6"/>
    </row>
    <row r="99" spans="1:9" s="1" customFormat="1">
      <c r="A99" s="10"/>
      <c r="B99" s="37"/>
      <c r="C99" s="9" t="s">
        <v>12</v>
      </c>
      <c r="D99" s="16">
        <f>12.46</f>
        <v>12.46</v>
      </c>
      <c r="E99" s="17" t="s">
        <v>16</v>
      </c>
      <c r="F99" s="26"/>
      <c r="G99" s="22"/>
      <c r="H99" s="30">
        <f>713.51</f>
        <v>713.51</v>
      </c>
      <c r="I99" s="6" t="s">
        <v>67</v>
      </c>
    </row>
    <row r="100" spans="1:9" s="1" customFormat="1">
      <c r="A100" s="10"/>
      <c r="B100" s="37"/>
      <c r="C100" s="9"/>
      <c r="D100" s="16">
        <f>71.62</f>
        <v>71.62</v>
      </c>
      <c r="E100" s="17" t="s">
        <v>14</v>
      </c>
      <c r="F100" s="26"/>
      <c r="G100" s="22"/>
      <c r="H100" s="30">
        <f>198.52</f>
        <v>198.52</v>
      </c>
      <c r="I100" s="6" t="s">
        <v>45</v>
      </c>
    </row>
    <row r="101" spans="1:9" s="1" customFormat="1">
      <c r="A101" s="10"/>
      <c r="B101" s="37"/>
      <c r="C101" s="9"/>
      <c r="D101" s="16"/>
      <c r="E101" s="17"/>
      <c r="F101" s="26"/>
      <c r="G101" s="22"/>
      <c r="H101" s="30">
        <f>36.46</f>
        <v>36.46</v>
      </c>
      <c r="I101" s="6" t="s">
        <v>15</v>
      </c>
    </row>
    <row r="102" spans="1:9" s="1" customFormat="1">
      <c r="A102" s="10"/>
      <c r="B102" s="37"/>
      <c r="C102" s="9"/>
      <c r="D102" s="16"/>
      <c r="E102" s="17"/>
      <c r="F102" s="26"/>
      <c r="G102" s="22"/>
      <c r="H102" s="30"/>
      <c r="I102" s="6"/>
    </row>
    <row r="103" spans="1:9" s="1" customFormat="1">
      <c r="A103" s="10"/>
      <c r="B103" s="37"/>
      <c r="C103" s="9"/>
      <c r="D103" s="16"/>
      <c r="E103" s="17"/>
      <c r="F103" s="26"/>
      <c r="G103" s="22"/>
      <c r="H103" s="30"/>
      <c r="I103" s="6"/>
    </row>
    <row r="104" spans="1:9" s="1" customFormat="1">
      <c r="A104" s="11" t="s">
        <v>4</v>
      </c>
      <c r="B104" s="10"/>
      <c r="C104" s="10"/>
      <c r="D104" s="18">
        <f>SUM(D96:D103)</f>
        <v>157.64000000000001</v>
      </c>
      <c r="E104" s="6"/>
      <c r="F104" s="27">
        <f>SUM(F96:F97)</f>
        <v>0</v>
      </c>
      <c r="G104" s="23"/>
      <c r="H104" s="31">
        <f>SUM(H96:H103)</f>
        <v>1860.82</v>
      </c>
      <c r="I104" s="2"/>
    </row>
    <row r="105" spans="1:9" s="1" customFormat="1" ht="15.75" thickBot="1">
      <c r="A105" s="12" t="s">
        <v>5</v>
      </c>
      <c r="B105" s="34">
        <f>SUM(D104+F104+H104)</f>
        <v>2018.46</v>
      </c>
      <c r="C105" s="33"/>
      <c r="D105" s="19"/>
      <c r="E105" s="20"/>
      <c r="F105" s="28"/>
      <c r="G105" s="24"/>
      <c r="H105" s="32"/>
      <c r="I105" s="3"/>
    </row>
    <row r="106" spans="1:9" s="1" customFormat="1">
      <c r="A106" s="43" t="s">
        <v>385</v>
      </c>
      <c r="B106" s="8" t="s">
        <v>55</v>
      </c>
      <c r="C106" s="8" t="s">
        <v>231</v>
      </c>
      <c r="D106" s="14">
        <f>64.27</f>
        <v>64.27</v>
      </c>
      <c r="E106" s="15" t="s">
        <v>16</v>
      </c>
      <c r="F106" s="25"/>
      <c r="G106" s="21"/>
      <c r="H106" s="29">
        <f>1412.2+192.64</f>
        <v>1604.8400000000001</v>
      </c>
      <c r="I106" s="5" t="s">
        <v>67</v>
      </c>
    </row>
    <row r="107" spans="1:9" s="1" customFormat="1">
      <c r="A107" s="10"/>
      <c r="B107" s="37" t="s">
        <v>386</v>
      </c>
      <c r="C107" s="9"/>
      <c r="D107" s="16">
        <f>118.35</f>
        <v>118.35</v>
      </c>
      <c r="E107" s="17" t="s">
        <v>14</v>
      </c>
      <c r="F107" s="26"/>
      <c r="G107" s="22"/>
      <c r="H107" s="30">
        <f>255.48+259.26+123.53+127-127</f>
        <v>638.27</v>
      </c>
      <c r="I107" s="6" t="s">
        <v>430</v>
      </c>
    </row>
    <row r="108" spans="1:9" s="1" customFormat="1">
      <c r="A108" s="10"/>
      <c r="B108" s="37"/>
      <c r="C108" s="9"/>
      <c r="D108" s="16"/>
      <c r="E108" s="17"/>
      <c r="F108" s="26"/>
      <c r="G108" s="22"/>
      <c r="H108" s="30">
        <f>9.82</f>
        <v>9.82</v>
      </c>
      <c r="I108" s="6" t="s">
        <v>15</v>
      </c>
    </row>
    <row r="109" spans="1:9" s="1" customFormat="1">
      <c r="A109" s="10"/>
      <c r="B109" s="37"/>
      <c r="C109" s="9"/>
      <c r="D109" s="16"/>
      <c r="E109" s="17"/>
      <c r="F109" s="26"/>
      <c r="G109" s="22"/>
      <c r="H109" s="30"/>
      <c r="I109" s="6"/>
    </row>
    <row r="110" spans="1:9" s="1" customFormat="1">
      <c r="A110" s="10"/>
      <c r="B110" s="37"/>
      <c r="C110" s="9" t="s">
        <v>71</v>
      </c>
      <c r="D110" s="16">
        <f>5.5+244.88</f>
        <v>250.38</v>
      </c>
      <c r="E110" s="17" t="s">
        <v>16</v>
      </c>
      <c r="F110" s="26">
        <f>22</f>
        <v>22</v>
      </c>
      <c r="G110" s="22" t="s">
        <v>43</v>
      </c>
      <c r="H110" s="30">
        <f>1689.54+192.64</f>
        <v>1882.1799999999998</v>
      </c>
      <c r="I110" s="6" t="s">
        <v>67</v>
      </c>
    </row>
    <row r="111" spans="1:9" s="1" customFormat="1">
      <c r="A111" s="10"/>
      <c r="B111" s="37"/>
      <c r="C111" s="9"/>
      <c r="D111" s="16">
        <f>31.4+67.65</f>
        <v>99.050000000000011</v>
      </c>
      <c r="E111" s="17" t="s">
        <v>14</v>
      </c>
      <c r="F111" s="26"/>
      <c r="G111" s="22"/>
      <c r="H111" s="30">
        <f>210.55+128.68+151.94+123.53-128.68</f>
        <v>486.02000000000004</v>
      </c>
      <c r="I111" s="6" t="s">
        <v>81</v>
      </c>
    </row>
    <row r="112" spans="1:9" s="1" customFormat="1">
      <c r="A112" s="10"/>
      <c r="B112" s="37"/>
      <c r="C112" s="9"/>
      <c r="D112" s="16"/>
      <c r="E112" s="17"/>
      <c r="F112" s="26"/>
      <c r="G112" s="22"/>
      <c r="H112" s="30">
        <f>43.44</f>
        <v>43.44</v>
      </c>
      <c r="I112" s="6" t="s">
        <v>15</v>
      </c>
    </row>
    <row r="113" spans="1:9" s="1" customFormat="1">
      <c r="A113" s="10"/>
      <c r="B113" s="37"/>
      <c r="C113" s="9"/>
      <c r="D113" s="16"/>
      <c r="E113" s="17"/>
      <c r="F113" s="26"/>
      <c r="G113" s="22"/>
      <c r="H113" s="30"/>
      <c r="I113" s="6"/>
    </row>
    <row r="114" spans="1:9" s="1" customFormat="1">
      <c r="A114" s="11" t="s">
        <v>4</v>
      </c>
      <c r="B114" s="10"/>
      <c r="C114" s="10"/>
      <c r="D114" s="18">
        <f>SUM(D106:D113)</f>
        <v>532.04999999999995</v>
      </c>
      <c r="E114" s="6"/>
      <c r="F114" s="27">
        <f>SUM(F106:F113)</f>
        <v>22</v>
      </c>
      <c r="G114" s="23"/>
      <c r="H114" s="31">
        <f>SUM(H106:H113)</f>
        <v>4664.5700000000006</v>
      </c>
      <c r="I114" s="2"/>
    </row>
    <row r="115" spans="1:9" s="1" customFormat="1" ht="15.75" thickBot="1">
      <c r="A115" s="12" t="s">
        <v>5</v>
      </c>
      <c r="B115" s="34">
        <f>SUM(D114+F114+H114)</f>
        <v>5218.6200000000008</v>
      </c>
      <c r="C115" s="33"/>
      <c r="D115" s="19"/>
      <c r="E115" s="20"/>
      <c r="F115" s="28"/>
      <c r="G115" s="24"/>
      <c r="H115" s="32"/>
      <c r="I115" s="3"/>
    </row>
    <row r="116" spans="1:9" s="1" customFormat="1">
      <c r="A116" s="43">
        <v>41961</v>
      </c>
      <c r="B116" s="8" t="s">
        <v>79</v>
      </c>
      <c r="C116" s="8" t="s">
        <v>57</v>
      </c>
      <c r="D116" s="14">
        <f>9.57</f>
        <v>9.57</v>
      </c>
      <c r="E116" s="15" t="s">
        <v>16</v>
      </c>
      <c r="F116" s="25">
        <f>3</f>
        <v>3</v>
      </c>
      <c r="G116" s="21" t="s">
        <v>31</v>
      </c>
      <c r="H116" s="29"/>
      <c r="I116" s="5"/>
    </row>
    <row r="117" spans="1:9" s="1" customFormat="1">
      <c r="A117" s="10"/>
      <c r="B117" s="37" t="s">
        <v>399</v>
      </c>
      <c r="C117" s="9"/>
      <c r="D117" s="16"/>
      <c r="E117" s="17"/>
      <c r="F117" s="26">
        <f>4.53</f>
        <v>4.53</v>
      </c>
      <c r="G117" s="22" t="s">
        <v>43</v>
      </c>
      <c r="H117" s="30"/>
      <c r="I117" s="6"/>
    </row>
    <row r="118" spans="1:9" s="1" customFormat="1">
      <c r="A118" s="10"/>
      <c r="B118" s="37"/>
      <c r="C118" s="9"/>
      <c r="D118" s="16"/>
      <c r="E118" s="17"/>
      <c r="F118" s="26"/>
      <c r="G118" s="22"/>
      <c r="H118" s="30"/>
      <c r="I118" s="6"/>
    </row>
    <row r="119" spans="1:9" s="1" customFormat="1">
      <c r="A119" s="10"/>
      <c r="B119" s="37"/>
      <c r="C119" s="9" t="s">
        <v>76</v>
      </c>
      <c r="D119" s="16">
        <f>51.13</f>
        <v>51.13</v>
      </c>
      <c r="E119" s="17" t="s">
        <v>16</v>
      </c>
      <c r="F119" s="26">
        <f>80.17</f>
        <v>80.17</v>
      </c>
      <c r="G119" s="22" t="s">
        <v>42</v>
      </c>
      <c r="H119" s="30"/>
      <c r="I119" s="6"/>
    </row>
    <row r="120" spans="1:9" s="1" customFormat="1">
      <c r="A120" s="10"/>
      <c r="B120" s="37"/>
      <c r="C120" s="9"/>
      <c r="D120" s="16"/>
      <c r="E120" s="17"/>
      <c r="F120" s="26">
        <f>34.27+10.2</f>
        <v>44.47</v>
      </c>
      <c r="G120" s="22" t="s">
        <v>50</v>
      </c>
      <c r="H120" s="30"/>
      <c r="I120" s="6"/>
    </row>
    <row r="121" spans="1:9" s="1" customFormat="1">
      <c r="A121" s="10"/>
      <c r="B121" s="37"/>
      <c r="C121" s="9"/>
      <c r="D121" s="16"/>
      <c r="E121" s="17"/>
      <c r="F121" s="26"/>
      <c r="G121" s="22"/>
      <c r="H121" s="30"/>
      <c r="I121" s="6"/>
    </row>
    <row r="122" spans="1:9" s="1" customFormat="1">
      <c r="A122" s="11" t="s">
        <v>4</v>
      </c>
      <c r="B122" s="10"/>
      <c r="C122" s="10"/>
      <c r="D122" s="18">
        <f>SUM(D116:D121)</f>
        <v>60.7</v>
      </c>
      <c r="E122" s="6"/>
      <c r="F122" s="27">
        <f>SUM(F116:F121)</f>
        <v>132.17000000000002</v>
      </c>
      <c r="G122" s="23"/>
      <c r="H122" s="31">
        <f>SUM(H116:H121)</f>
        <v>0</v>
      </c>
      <c r="I122" s="2"/>
    </row>
    <row r="123" spans="1:9" s="1" customFormat="1" ht="15.75" thickBot="1">
      <c r="A123" s="12" t="s">
        <v>5</v>
      </c>
      <c r="B123" s="34">
        <f>SUM(D122+F122+H122)</f>
        <v>192.87</v>
      </c>
      <c r="C123" s="33"/>
      <c r="D123" s="19"/>
      <c r="E123" s="20"/>
      <c r="F123" s="28"/>
      <c r="G123" s="24"/>
      <c r="H123" s="32"/>
      <c r="I123" s="3"/>
    </row>
    <row r="124" spans="1:9" s="1" customFormat="1">
      <c r="A124" s="43" t="s">
        <v>391</v>
      </c>
      <c r="B124" s="8" t="s">
        <v>55</v>
      </c>
      <c r="C124" s="8" t="s">
        <v>20</v>
      </c>
      <c r="D124" s="14">
        <f>77.52</f>
        <v>77.52</v>
      </c>
      <c r="E124" s="15" t="s">
        <v>16</v>
      </c>
      <c r="F124" s="25">
        <f>3.8</f>
        <v>3.8</v>
      </c>
      <c r="G124" s="21" t="s">
        <v>43</v>
      </c>
      <c r="H124" s="29">
        <f>545.38+1586.66</f>
        <v>2132.04</v>
      </c>
      <c r="I124" s="5" t="s">
        <v>67</v>
      </c>
    </row>
    <row r="125" spans="1:9" s="1" customFormat="1">
      <c r="A125" s="10"/>
      <c r="B125" s="37" t="s">
        <v>392</v>
      </c>
      <c r="C125" s="9"/>
      <c r="D125" s="16">
        <f>137.19</f>
        <v>137.19</v>
      </c>
      <c r="E125" s="17" t="s">
        <v>14</v>
      </c>
      <c r="F125" s="26"/>
      <c r="G125" s="22"/>
      <c r="H125" s="30">
        <f>366.6</f>
        <v>366.6</v>
      </c>
      <c r="I125" s="6" t="s">
        <v>45</v>
      </c>
    </row>
    <row r="126" spans="1:9" s="1" customFormat="1">
      <c r="A126" s="10"/>
      <c r="B126" s="37"/>
      <c r="C126" s="9"/>
      <c r="D126" s="16">
        <f>9.79</f>
        <v>9.7899999999999991</v>
      </c>
      <c r="E126" s="17" t="s">
        <v>29</v>
      </c>
      <c r="F126" s="26"/>
      <c r="G126" s="22"/>
      <c r="H126" s="30"/>
      <c r="I126" s="6"/>
    </row>
    <row r="127" spans="1:9" s="1" customFormat="1">
      <c r="A127" s="10"/>
      <c r="B127" s="37"/>
      <c r="C127" s="9"/>
      <c r="D127" s="16"/>
      <c r="E127" s="17"/>
      <c r="F127" s="26"/>
      <c r="G127" s="22"/>
      <c r="H127" s="30"/>
      <c r="I127" s="6"/>
    </row>
    <row r="128" spans="1:9" s="1" customFormat="1">
      <c r="A128" s="10"/>
      <c r="B128" s="37"/>
      <c r="C128" s="9" t="s">
        <v>77</v>
      </c>
      <c r="D128" s="16">
        <f>71.56+166.99</f>
        <v>238.55</v>
      </c>
      <c r="E128" s="17" t="s">
        <v>16</v>
      </c>
      <c r="F128" s="26">
        <f>53.2</f>
        <v>53.2</v>
      </c>
      <c r="G128" s="22" t="s">
        <v>43</v>
      </c>
      <c r="H128" s="30">
        <f>530.24+34.44+34.44</f>
        <v>599.12000000000012</v>
      </c>
      <c r="I128" s="6" t="s">
        <v>67</v>
      </c>
    </row>
    <row r="129" spans="1:9" s="1" customFormat="1">
      <c r="A129" s="10"/>
      <c r="B129" s="37"/>
      <c r="C129" s="9"/>
      <c r="D129" s="16">
        <f>76.07</f>
        <v>76.069999999999993</v>
      </c>
      <c r="E129" s="17" t="s">
        <v>14</v>
      </c>
      <c r="F129" s="26"/>
      <c r="G129" s="22"/>
      <c r="H129" s="30">
        <f>257.82-34.44</f>
        <v>223.38</v>
      </c>
      <c r="I129" s="6" t="s">
        <v>45</v>
      </c>
    </row>
    <row r="130" spans="1:9" s="1" customFormat="1">
      <c r="A130" s="10"/>
      <c r="B130" s="37"/>
      <c r="C130" s="9"/>
      <c r="D130" s="16"/>
      <c r="E130" s="17"/>
      <c r="F130" s="26"/>
      <c r="G130" s="22"/>
      <c r="H130" s="30">
        <f>22.39</f>
        <v>22.39</v>
      </c>
      <c r="I130" s="6" t="s">
        <v>15</v>
      </c>
    </row>
    <row r="131" spans="1:9" s="1" customFormat="1">
      <c r="A131" s="10"/>
      <c r="B131" s="37"/>
      <c r="C131" s="9"/>
      <c r="D131" s="16"/>
      <c r="E131" s="17"/>
      <c r="F131" s="26"/>
      <c r="G131" s="22"/>
      <c r="H131" s="30"/>
      <c r="I131" s="6"/>
    </row>
    <row r="132" spans="1:9" s="1" customFormat="1">
      <c r="A132" s="11" t="s">
        <v>4</v>
      </c>
      <c r="B132" s="10"/>
      <c r="C132" s="10"/>
      <c r="D132" s="18">
        <f>SUM(D124:D131)</f>
        <v>539.11999999999989</v>
      </c>
      <c r="E132" s="6"/>
      <c r="F132" s="27">
        <f>SUM(F124:F131)</f>
        <v>57</v>
      </c>
      <c r="G132" s="23"/>
      <c r="H132" s="31">
        <f>SUM(H124:H131)</f>
        <v>3343.53</v>
      </c>
      <c r="I132" s="2"/>
    </row>
    <row r="133" spans="1:9" s="1" customFormat="1" ht="15.75" thickBot="1">
      <c r="A133" s="12" t="s">
        <v>5</v>
      </c>
      <c r="B133" s="34">
        <f>SUM(D132+F132+H132)</f>
        <v>3939.65</v>
      </c>
      <c r="C133" s="33"/>
      <c r="D133" s="19"/>
      <c r="E133" s="20"/>
      <c r="F133" s="28"/>
      <c r="G133" s="24"/>
      <c r="H133" s="32"/>
      <c r="I133" s="3"/>
    </row>
    <row r="134" spans="1:9" s="1" customFormat="1">
      <c r="A134" s="43" t="s">
        <v>391</v>
      </c>
      <c r="B134" s="8" t="s">
        <v>55</v>
      </c>
      <c r="C134" s="8" t="s">
        <v>39</v>
      </c>
      <c r="D134" s="14">
        <f>351.72+6.41</f>
        <v>358.13000000000005</v>
      </c>
      <c r="E134" s="15" t="s">
        <v>16</v>
      </c>
      <c r="F134" s="25">
        <f>51.7</f>
        <v>51.7</v>
      </c>
      <c r="G134" s="21" t="s">
        <v>42</v>
      </c>
      <c r="H134" s="29">
        <f>580.64+44.96</f>
        <v>625.6</v>
      </c>
      <c r="I134" s="5" t="s">
        <v>67</v>
      </c>
    </row>
    <row r="135" spans="1:9" s="1" customFormat="1">
      <c r="A135" s="10"/>
      <c r="B135" s="37" t="s">
        <v>395</v>
      </c>
      <c r="C135" s="9"/>
      <c r="D135" s="16">
        <f>87.75</f>
        <v>87.75</v>
      </c>
      <c r="E135" s="17" t="s">
        <v>14</v>
      </c>
      <c r="F135" s="26">
        <f>5.8</f>
        <v>5.8</v>
      </c>
      <c r="G135" s="22" t="s">
        <v>50</v>
      </c>
      <c r="H135" s="30">
        <f>424.08</f>
        <v>424.08</v>
      </c>
      <c r="I135" s="6" t="s">
        <v>45</v>
      </c>
    </row>
    <row r="136" spans="1:9" s="1" customFormat="1">
      <c r="A136" s="10"/>
      <c r="B136" s="37"/>
      <c r="C136" s="9"/>
      <c r="D136" s="16"/>
      <c r="E136" s="17"/>
      <c r="F136" s="26">
        <v>117</v>
      </c>
      <c r="G136" s="22" t="s">
        <v>43</v>
      </c>
      <c r="H136" s="30">
        <f>27.51+63.25+63.25</f>
        <v>154.01</v>
      </c>
      <c r="I136" s="6" t="s">
        <v>156</v>
      </c>
    </row>
    <row r="137" spans="1:9" s="1" customFormat="1">
      <c r="A137" s="10"/>
      <c r="B137" s="37"/>
      <c r="C137" s="9"/>
      <c r="D137" s="16"/>
      <c r="E137" s="17"/>
      <c r="F137" s="26"/>
      <c r="G137" s="22"/>
      <c r="H137" s="30"/>
      <c r="I137" s="6"/>
    </row>
    <row r="138" spans="1:9" s="1" customFormat="1">
      <c r="A138" s="10"/>
      <c r="B138" s="37"/>
      <c r="C138" s="9" t="s">
        <v>57</v>
      </c>
      <c r="D138" s="16">
        <f>9.4</f>
        <v>9.4</v>
      </c>
      <c r="E138" s="17" t="s">
        <v>14</v>
      </c>
      <c r="F138" s="26">
        <f>12</f>
        <v>12</v>
      </c>
      <c r="G138" s="22" t="s">
        <v>191</v>
      </c>
      <c r="H138" s="30">
        <f>444.96+403.4</f>
        <v>848.3599999999999</v>
      </c>
      <c r="I138" s="6" t="s">
        <v>67</v>
      </c>
    </row>
    <row r="139" spans="1:9" s="1" customFormat="1">
      <c r="A139" s="10"/>
      <c r="B139" s="37"/>
      <c r="C139" s="9"/>
      <c r="D139" s="16">
        <f>20.74</f>
        <v>20.74</v>
      </c>
      <c r="E139" s="17" t="s">
        <v>397</v>
      </c>
      <c r="F139" s="26"/>
      <c r="G139" s="22"/>
      <c r="H139" s="30">
        <f>591.54+63.25+39+49+282.72-591.54</f>
        <v>433.97</v>
      </c>
      <c r="I139" s="6" t="s">
        <v>437</v>
      </c>
    </row>
    <row r="140" spans="1:9" s="1" customFormat="1">
      <c r="A140" s="10"/>
      <c r="B140" s="37"/>
      <c r="C140" s="9"/>
      <c r="D140" s="16"/>
      <c r="E140" s="17"/>
      <c r="F140" s="26"/>
      <c r="G140" s="22"/>
      <c r="H140" s="30">
        <f>14.09</f>
        <v>14.09</v>
      </c>
      <c r="I140" s="6" t="s">
        <v>15</v>
      </c>
    </row>
    <row r="141" spans="1:9" s="1" customFormat="1">
      <c r="A141" s="10"/>
      <c r="B141" s="37"/>
      <c r="C141" s="9"/>
      <c r="D141" s="16"/>
      <c r="E141" s="17"/>
      <c r="F141" s="26"/>
      <c r="G141" s="22"/>
      <c r="H141" s="30"/>
      <c r="I141" s="6"/>
    </row>
    <row r="142" spans="1:9" s="1" customFormat="1">
      <c r="A142" s="11" t="s">
        <v>4</v>
      </c>
      <c r="B142" s="10"/>
      <c r="C142" s="10"/>
      <c r="D142" s="18">
        <f>SUM(D134:D141)</f>
        <v>476.02000000000004</v>
      </c>
      <c r="E142" s="6"/>
      <c r="F142" s="27">
        <f>SUM(F134:F141)</f>
        <v>186.5</v>
      </c>
      <c r="G142" s="23"/>
      <c r="H142" s="31">
        <f>SUM(H134:H141)</f>
        <v>2500.1100000000006</v>
      </c>
      <c r="I142" s="2"/>
    </row>
    <row r="143" spans="1:9" s="1" customFormat="1" ht="15.75" thickBot="1">
      <c r="A143" s="12" t="s">
        <v>5</v>
      </c>
      <c r="B143" s="34">
        <f>SUM(D142+F142+H142)</f>
        <v>3162.6300000000006</v>
      </c>
      <c r="C143" s="33"/>
      <c r="D143" s="19"/>
      <c r="E143" s="20"/>
      <c r="F143" s="28"/>
      <c r="G143" s="24"/>
      <c r="H143" s="32"/>
      <c r="I143" s="3"/>
    </row>
    <row r="144" spans="1:9" s="1" customFormat="1">
      <c r="A144" s="43" t="s">
        <v>376</v>
      </c>
      <c r="B144" s="8" t="s">
        <v>55</v>
      </c>
      <c r="C144" s="8" t="s">
        <v>49</v>
      </c>
      <c r="D144" s="14">
        <f>20.9</f>
        <v>20.9</v>
      </c>
      <c r="E144" s="15" t="s">
        <v>16</v>
      </c>
      <c r="F144" s="25">
        <f>101.83</f>
        <v>101.83</v>
      </c>
      <c r="G144" s="21" t="s">
        <v>42</v>
      </c>
      <c r="H144" s="29">
        <f>580.03</f>
        <v>580.03</v>
      </c>
      <c r="I144" s="5" t="s">
        <v>67</v>
      </c>
    </row>
    <row r="145" spans="1:9" s="1" customFormat="1">
      <c r="A145" s="10"/>
      <c r="B145" s="37" t="s">
        <v>377</v>
      </c>
      <c r="C145" s="9"/>
      <c r="D145" s="16"/>
      <c r="E145" s="17"/>
      <c r="F145" s="26">
        <f>10.4</f>
        <v>10.4</v>
      </c>
      <c r="G145" s="22" t="s">
        <v>50</v>
      </c>
      <c r="H145" s="30">
        <f>226.18</f>
        <v>226.18</v>
      </c>
      <c r="I145" s="6" t="s">
        <v>45</v>
      </c>
    </row>
    <row r="146" spans="1:9" s="1" customFormat="1">
      <c r="A146" s="10"/>
      <c r="B146" s="37"/>
      <c r="C146" s="9"/>
      <c r="D146" s="16"/>
      <c r="E146" s="17"/>
      <c r="F146" s="26">
        <f>88</f>
        <v>88</v>
      </c>
      <c r="G146" s="22" t="s">
        <v>43</v>
      </c>
      <c r="H146" s="30">
        <f>61.59</f>
        <v>61.59</v>
      </c>
      <c r="I146" s="6" t="s">
        <v>15</v>
      </c>
    </row>
    <row r="147" spans="1:9" s="1" customFormat="1">
      <c r="A147" s="10"/>
      <c r="B147" s="37"/>
      <c r="C147" s="9"/>
      <c r="D147" s="16"/>
      <c r="E147" s="17"/>
      <c r="F147" s="26"/>
      <c r="G147" s="22"/>
      <c r="H147" s="30"/>
      <c r="I147" s="6"/>
    </row>
    <row r="148" spans="1:9" s="1" customFormat="1">
      <c r="A148" s="10"/>
      <c r="B148" s="37"/>
      <c r="C148" s="9" t="s">
        <v>71</v>
      </c>
      <c r="D148" s="16">
        <f>35.7+2.57</f>
        <v>38.270000000000003</v>
      </c>
      <c r="E148" s="17" t="s">
        <v>16</v>
      </c>
      <c r="F148" s="26"/>
      <c r="G148" s="22"/>
      <c r="H148" s="30">
        <f>580.03</f>
        <v>580.03</v>
      </c>
      <c r="I148" s="6" t="s">
        <v>67</v>
      </c>
    </row>
    <row r="149" spans="1:9" s="1" customFormat="1">
      <c r="A149" s="10"/>
      <c r="B149" s="37"/>
      <c r="C149" s="9"/>
      <c r="D149" s="16">
        <f>180</f>
        <v>180</v>
      </c>
      <c r="E149" s="17" t="s">
        <v>14</v>
      </c>
      <c r="F149" s="26"/>
      <c r="G149" s="22"/>
      <c r="H149" s="30">
        <f>226.18+158.44</f>
        <v>384.62</v>
      </c>
      <c r="I149" s="6" t="s">
        <v>81</v>
      </c>
    </row>
    <row r="150" spans="1:9" s="1" customFormat="1">
      <c r="A150" s="10"/>
      <c r="B150" s="37"/>
      <c r="C150" s="9"/>
      <c r="D150" s="16"/>
      <c r="E150" s="17"/>
      <c r="F150" s="26"/>
      <c r="G150" s="22"/>
      <c r="H150" s="30">
        <f>29.1</f>
        <v>29.1</v>
      </c>
      <c r="I150" s="6" t="s">
        <v>155</v>
      </c>
    </row>
    <row r="151" spans="1:9" s="1" customFormat="1">
      <c r="A151" s="10"/>
      <c r="B151" s="37"/>
      <c r="C151" s="9"/>
      <c r="D151" s="16"/>
      <c r="E151" s="17"/>
      <c r="F151" s="26"/>
      <c r="G151" s="22"/>
      <c r="H151" s="30"/>
      <c r="I151" s="6"/>
    </row>
    <row r="152" spans="1:9" s="1" customFormat="1">
      <c r="A152" s="11" t="s">
        <v>4</v>
      </c>
      <c r="B152" s="10"/>
      <c r="C152" s="10"/>
      <c r="D152" s="18">
        <f>SUM(D144:D151)</f>
        <v>239.17000000000002</v>
      </c>
      <c r="E152" s="6"/>
      <c r="F152" s="27">
        <f>SUM(F144:F151)</f>
        <v>200.23000000000002</v>
      </c>
      <c r="G152" s="23"/>
      <c r="H152" s="31">
        <f>SUM(H144:H151)</f>
        <v>1861.5499999999997</v>
      </c>
      <c r="I152" s="2"/>
    </row>
    <row r="153" spans="1:9" s="1" customFormat="1" ht="15.75" thickBot="1">
      <c r="A153" s="12" t="s">
        <v>5</v>
      </c>
      <c r="B153" s="34">
        <f>SUM(D152+F152+H152)</f>
        <v>2300.9499999999998</v>
      </c>
      <c r="C153" s="33"/>
      <c r="D153" s="19"/>
      <c r="E153" s="20"/>
      <c r="F153" s="28"/>
      <c r="G153" s="24"/>
      <c r="H153" s="32"/>
      <c r="I153" s="3"/>
    </row>
    <row r="154" spans="1:9" s="1" customFormat="1">
      <c r="A154" s="43" t="s">
        <v>402</v>
      </c>
      <c r="B154" s="8" t="s">
        <v>396</v>
      </c>
      <c r="C154" s="8" t="s">
        <v>57</v>
      </c>
      <c r="D154" s="14">
        <f>3.5+4.05+12.78</f>
        <v>20.329999999999998</v>
      </c>
      <c r="E154" s="15" t="s">
        <v>16</v>
      </c>
      <c r="F154" s="25">
        <f>12</f>
        <v>12</v>
      </c>
      <c r="G154" s="21" t="s">
        <v>191</v>
      </c>
      <c r="H154" s="29">
        <f>376.65</f>
        <v>376.65</v>
      </c>
      <c r="I154" s="5" t="s">
        <v>67</v>
      </c>
    </row>
    <row r="155" spans="1:9" s="1" customFormat="1">
      <c r="A155" s="10"/>
      <c r="B155" s="37" t="s">
        <v>99</v>
      </c>
      <c r="C155" s="9"/>
      <c r="D155" s="16">
        <f>6+96.69</f>
        <v>102.69</v>
      </c>
      <c r="E155" s="17" t="s">
        <v>14</v>
      </c>
      <c r="F155" s="26"/>
      <c r="G155" s="22"/>
      <c r="H155" s="30">
        <f>357.92</f>
        <v>357.92</v>
      </c>
      <c r="I155" s="6" t="s">
        <v>45</v>
      </c>
    </row>
    <row r="156" spans="1:9" s="1" customFormat="1">
      <c r="A156" s="10"/>
      <c r="B156" s="37"/>
      <c r="C156" s="9"/>
      <c r="D156" s="16">
        <f>194.4</f>
        <v>194.4</v>
      </c>
      <c r="E156" s="17" t="s">
        <v>397</v>
      </c>
      <c r="F156" s="26"/>
      <c r="G156" s="22"/>
      <c r="H156" s="30">
        <f>45.99</f>
        <v>45.99</v>
      </c>
      <c r="I156" s="6" t="s">
        <v>15</v>
      </c>
    </row>
    <row r="157" spans="1:9" s="1" customFormat="1">
      <c r="A157" s="10"/>
      <c r="B157" s="37"/>
      <c r="C157" s="9"/>
      <c r="D157" s="16"/>
      <c r="E157" s="17"/>
      <c r="F157" s="26"/>
      <c r="G157" s="22"/>
      <c r="H157" s="30">
        <f>35.42+35.42+35.42-35.42</f>
        <v>70.84</v>
      </c>
      <c r="I157" s="6" t="s">
        <v>155</v>
      </c>
    </row>
    <row r="158" spans="1:9" s="1" customFormat="1">
      <c r="A158" s="10"/>
      <c r="B158" s="37"/>
      <c r="C158" s="9"/>
      <c r="D158" s="16"/>
      <c r="E158" s="17"/>
      <c r="F158" s="26"/>
      <c r="G158" s="22"/>
      <c r="H158" s="30"/>
      <c r="I158" s="6"/>
    </row>
    <row r="159" spans="1:9" s="1" customFormat="1">
      <c r="A159" s="11" t="s">
        <v>4</v>
      </c>
      <c r="B159" s="10"/>
      <c r="C159" s="10"/>
      <c r="D159" s="18">
        <f>SUM(D154:D158)</f>
        <v>317.42</v>
      </c>
      <c r="E159" s="6"/>
      <c r="F159" s="27">
        <f>SUM(F154:F155)</f>
        <v>12</v>
      </c>
      <c r="G159" s="23"/>
      <c r="H159" s="31">
        <f>SUM(H154:H158)</f>
        <v>851.4</v>
      </c>
      <c r="I159" s="2"/>
    </row>
    <row r="160" spans="1:9" s="1" customFormat="1" ht="15.75" thickBot="1">
      <c r="A160" s="12" t="s">
        <v>5</v>
      </c>
      <c r="B160" s="34">
        <f>SUM(D159+F159+H159)</f>
        <v>1180.82</v>
      </c>
      <c r="C160" s="33"/>
      <c r="D160" s="19"/>
      <c r="E160" s="20"/>
      <c r="F160" s="28"/>
      <c r="G160" s="24"/>
      <c r="H160" s="32"/>
      <c r="I160" s="3"/>
    </row>
    <row r="161" spans="1:9" s="1" customFormat="1">
      <c r="A161" s="43" t="s">
        <v>402</v>
      </c>
      <c r="B161" s="8" t="s">
        <v>55</v>
      </c>
      <c r="C161" s="8" t="s">
        <v>12</v>
      </c>
      <c r="D161" s="14">
        <f>153.25</f>
        <v>153.25</v>
      </c>
      <c r="E161" s="15" t="s">
        <v>16</v>
      </c>
      <c r="F161" s="25"/>
      <c r="G161" s="21"/>
      <c r="H161" s="52"/>
      <c r="I161" s="53"/>
    </row>
    <row r="162" spans="1:9" s="1" customFormat="1">
      <c r="A162" s="10"/>
      <c r="B162" s="37" t="s">
        <v>404</v>
      </c>
      <c r="C162" s="9"/>
      <c r="D162" s="16">
        <f>115.96+29.94</f>
        <v>145.9</v>
      </c>
      <c r="E162" s="17" t="s">
        <v>14</v>
      </c>
      <c r="F162" s="26"/>
      <c r="G162" s="22"/>
      <c r="H162" s="30">
        <f>297.41</f>
        <v>297.41000000000003</v>
      </c>
      <c r="I162" s="6" t="s">
        <v>45</v>
      </c>
    </row>
    <row r="163" spans="1:9" s="1" customFormat="1">
      <c r="A163" s="10"/>
      <c r="B163" s="37"/>
      <c r="C163" s="9"/>
      <c r="D163" s="16"/>
      <c r="E163" s="17"/>
      <c r="F163" s="26"/>
      <c r="G163" s="22"/>
      <c r="H163" s="30">
        <f>63.08</f>
        <v>63.08</v>
      </c>
      <c r="I163" s="6" t="s">
        <v>15</v>
      </c>
    </row>
    <row r="164" spans="1:9" s="1" customFormat="1">
      <c r="A164" s="10"/>
      <c r="B164" s="37"/>
      <c r="C164" s="9"/>
      <c r="D164" s="16"/>
      <c r="E164" s="17"/>
      <c r="F164" s="26"/>
      <c r="G164" s="22"/>
      <c r="H164" s="30"/>
      <c r="I164" s="6"/>
    </row>
    <row r="165" spans="1:9" s="1" customFormat="1">
      <c r="A165" s="10"/>
      <c r="B165" s="37"/>
      <c r="C165" s="9" t="s">
        <v>11</v>
      </c>
      <c r="D165" s="16">
        <f>84.4</f>
        <v>84.4</v>
      </c>
      <c r="E165" s="17" t="s">
        <v>16</v>
      </c>
      <c r="F165" s="26"/>
      <c r="G165" s="22"/>
      <c r="H165" s="50"/>
      <c r="I165" s="51"/>
    </row>
    <row r="166" spans="1:9" s="1" customFormat="1">
      <c r="A166" s="10"/>
      <c r="B166" s="37"/>
      <c r="C166" s="9"/>
      <c r="D166" s="16">
        <f>25.22+27.72</f>
        <v>52.94</v>
      </c>
      <c r="E166" s="17" t="s">
        <v>14</v>
      </c>
      <c r="F166" s="26"/>
      <c r="G166" s="22"/>
      <c r="H166" s="30">
        <f>297.41</f>
        <v>297.41000000000003</v>
      </c>
      <c r="I166" s="6" t="s">
        <v>45</v>
      </c>
    </row>
    <row r="167" spans="1:9" s="1" customFormat="1">
      <c r="A167" s="10"/>
      <c r="B167" s="37"/>
      <c r="C167" s="9"/>
      <c r="D167" s="16">
        <f>14.37</f>
        <v>14.37</v>
      </c>
      <c r="E167" s="17" t="s">
        <v>397</v>
      </c>
      <c r="F167" s="26"/>
      <c r="G167" s="22"/>
      <c r="H167" s="30">
        <f>7.27</f>
        <v>7.27</v>
      </c>
      <c r="I167" s="6" t="s">
        <v>15</v>
      </c>
    </row>
    <row r="168" spans="1:9" s="1" customFormat="1">
      <c r="A168" s="10"/>
      <c r="B168" s="37"/>
      <c r="C168" s="9"/>
      <c r="D168" s="16"/>
      <c r="E168" s="17"/>
      <c r="F168" s="26"/>
      <c r="G168" s="22"/>
      <c r="H168" s="30"/>
      <c r="I168" s="6"/>
    </row>
    <row r="169" spans="1:9" s="1" customFormat="1">
      <c r="A169" s="11" t="s">
        <v>4</v>
      </c>
      <c r="B169" s="10"/>
      <c r="C169" s="10"/>
      <c r="D169" s="18">
        <f>SUM(D161:D168)</f>
        <v>450.85999999999996</v>
      </c>
      <c r="E169" s="6"/>
      <c r="F169" s="27">
        <f>SUM(F161:F162)</f>
        <v>0</v>
      </c>
      <c r="G169" s="23"/>
      <c r="H169" s="31">
        <f>SUM(H161:H168)</f>
        <v>665.17000000000007</v>
      </c>
      <c r="I169" s="2"/>
    </row>
    <row r="170" spans="1:9" s="1" customFormat="1" ht="15.75" thickBot="1">
      <c r="A170" s="12" t="s">
        <v>5</v>
      </c>
      <c r="B170" s="34">
        <f>SUM(D169+F169+H169)</f>
        <v>1116.03</v>
      </c>
      <c r="C170" s="33"/>
      <c r="D170" s="19"/>
      <c r="E170" s="20"/>
      <c r="F170" s="28"/>
      <c r="G170" s="24"/>
      <c r="H170" s="32"/>
      <c r="I170" s="3"/>
    </row>
    <row r="171" spans="1:9" s="1" customFormat="1">
      <c r="A171" s="43" t="s">
        <v>376</v>
      </c>
      <c r="B171" s="8" t="s">
        <v>407</v>
      </c>
      <c r="C171" s="8" t="s">
        <v>195</v>
      </c>
      <c r="D171" s="14">
        <f>61.85</f>
        <v>61.85</v>
      </c>
      <c r="E171" s="15" t="s">
        <v>16</v>
      </c>
      <c r="F171" s="25">
        <f>8.29</f>
        <v>8.2899999999999991</v>
      </c>
      <c r="G171" s="21" t="s">
        <v>42</v>
      </c>
      <c r="H171" s="29">
        <f>267.3+162.3</f>
        <v>429.6</v>
      </c>
      <c r="I171" s="5" t="s">
        <v>67</v>
      </c>
    </row>
    <row r="172" spans="1:9" s="1" customFormat="1">
      <c r="A172" s="10"/>
      <c r="B172" s="37" t="s">
        <v>408</v>
      </c>
      <c r="C172" s="9"/>
      <c r="D172" s="16">
        <f>43.3</f>
        <v>43.3</v>
      </c>
      <c r="E172" s="17" t="s">
        <v>14</v>
      </c>
      <c r="F172" s="26">
        <f>4.4</f>
        <v>4.4000000000000004</v>
      </c>
      <c r="G172" s="22" t="s">
        <v>50</v>
      </c>
      <c r="H172" s="30">
        <f>361.62+180.81-361.62+147.94</f>
        <v>328.75000000000006</v>
      </c>
      <c r="I172" s="6" t="s">
        <v>45</v>
      </c>
    </row>
    <row r="173" spans="1:9" s="1" customFormat="1">
      <c r="A173" s="10"/>
      <c r="B173" s="37"/>
      <c r="C173" s="9"/>
      <c r="D173" s="16"/>
      <c r="E173" s="17"/>
      <c r="F173" s="26">
        <f>69</f>
        <v>69</v>
      </c>
      <c r="G173" s="22" t="s">
        <v>43</v>
      </c>
      <c r="H173" s="30"/>
      <c r="I173" s="6"/>
    </row>
    <row r="174" spans="1:9" s="1" customFormat="1">
      <c r="A174" s="10"/>
      <c r="B174" s="37"/>
      <c r="C174" s="9"/>
      <c r="D174" s="16"/>
      <c r="E174" s="17"/>
      <c r="F174" s="26"/>
      <c r="G174" s="22"/>
      <c r="H174" s="30"/>
      <c r="I174" s="6"/>
    </row>
    <row r="175" spans="1:9" s="1" customFormat="1">
      <c r="A175" s="11" t="s">
        <v>4</v>
      </c>
      <c r="B175" s="10"/>
      <c r="C175" s="10"/>
      <c r="D175" s="18">
        <f>SUM(D171:D172)</f>
        <v>105.15</v>
      </c>
      <c r="E175" s="6"/>
      <c r="F175" s="27">
        <f>SUM(F171:F174)</f>
        <v>81.69</v>
      </c>
      <c r="G175" s="23"/>
      <c r="H175" s="31">
        <f>SUM(H171:H174)</f>
        <v>758.35000000000014</v>
      </c>
      <c r="I175" s="2"/>
    </row>
    <row r="176" spans="1:9" s="1" customFormat="1" ht="15.75" thickBot="1">
      <c r="A176" s="12" t="s">
        <v>5</v>
      </c>
      <c r="B176" s="34">
        <f>SUM(D175+F175+H175)</f>
        <v>945.19000000000017</v>
      </c>
      <c r="C176" s="33"/>
      <c r="D176" s="19"/>
      <c r="E176" s="20"/>
      <c r="F176" s="28"/>
      <c r="G176" s="24"/>
      <c r="H176" s="32"/>
      <c r="I176" s="3"/>
    </row>
    <row r="177" spans="1:9" s="1" customFormat="1">
      <c r="A177" s="43">
        <v>41969</v>
      </c>
      <c r="B177" s="8" t="s">
        <v>79</v>
      </c>
      <c r="C177" s="8" t="s">
        <v>10</v>
      </c>
      <c r="D177" s="14">
        <f>15</f>
        <v>15</v>
      </c>
      <c r="E177" s="15" t="s">
        <v>16</v>
      </c>
      <c r="F177" s="25">
        <f>244</f>
        <v>244</v>
      </c>
      <c r="G177" s="21" t="s">
        <v>32</v>
      </c>
      <c r="H177" s="29">
        <f>203</f>
        <v>203</v>
      </c>
      <c r="I177" s="5" t="s">
        <v>45</v>
      </c>
    </row>
    <row r="178" spans="1:9" s="1" customFormat="1">
      <c r="A178" s="10"/>
      <c r="B178" s="37" t="s">
        <v>405</v>
      </c>
      <c r="C178" s="9"/>
      <c r="D178" s="16"/>
      <c r="E178" s="17" t="s">
        <v>14</v>
      </c>
      <c r="F178" s="26"/>
      <c r="G178" s="22"/>
      <c r="H178" s="30">
        <f>29</f>
        <v>29</v>
      </c>
      <c r="I178" s="6" t="s">
        <v>15</v>
      </c>
    </row>
    <row r="179" spans="1:9" s="1" customFormat="1">
      <c r="A179" s="10"/>
      <c r="B179" s="37"/>
      <c r="C179" s="9"/>
      <c r="D179" s="16"/>
      <c r="E179" s="17"/>
      <c r="F179" s="26"/>
      <c r="G179" s="22"/>
      <c r="H179" s="30"/>
      <c r="I179" s="6"/>
    </row>
    <row r="180" spans="1:9" s="1" customFormat="1">
      <c r="A180" s="10"/>
      <c r="B180" s="37"/>
      <c r="C180" s="9" t="s">
        <v>9</v>
      </c>
      <c r="D180" s="16">
        <f>370.7</f>
        <v>370.7</v>
      </c>
      <c r="E180" s="17" t="s">
        <v>16</v>
      </c>
      <c r="F180" s="30">
        <f>244</f>
        <v>244</v>
      </c>
      <c r="G180" s="6" t="s">
        <v>32</v>
      </c>
      <c r="H180" s="30">
        <f>203</f>
        <v>203</v>
      </c>
      <c r="I180" s="6" t="s">
        <v>45</v>
      </c>
    </row>
    <row r="181" spans="1:9" s="1" customFormat="1">
      <c r="A181" s="10"/>
      <c r="B181" s="37"/>
      <c r="C181" s="9"/>
      <c r="D181" s="16">
        <f>73.1</f>
        <v>73.099999999999994</v>
      </c>
      <c r="E181" s="17" t="s">
        <v>14</v>
      </c>
      <c r="F181" s="26"/>
      <c r="G181" s="22"/>
      <c r="H181" s="30">
        <f>96.5</f>
        <v>96.5</v>
      </c>
      <c r="I181" s="6" t="s">
        <v>15</v>
      </c>
    </row>
    <row r="182" spans="1:9" s="1" customFormat="1">
      <c r="A182" s="10"/>
      <c r="B182" s="37"/>
      <c r="C182" s="9"/>
      <c r="D182" s="16"/>
      <c r="E182" s="17"/>
      <c r="F182" s="26"/>
      <c r="G182" s="22"/>
      <c r="H182" s="30"/>
      <c r="I182" s="6"/>
    </row>
    <row r="183" spans="1:9" s="1" customFormat="1">
      <c r="A183" s="10"/>
      <c r="B183" s="37"/>
      <c r="C183" s="9" t="s">
        <v>425</v>
      </c>
      <c r="D183" s="16"/>
      <c r="E183" s="17"/>
      <c r="F183" s="30">
        <f>244</f>
        <v>244</v>
      </c>
      <c r="G183" s="6" t="s">
        <v>32</v>
      </c>
      <c r="H183" s="30">
        <f>203</f>
        <v>203</v>
      </c>
      <c r="I183" s="6" t="s">
        <v>45</v>
      </c>
    </row>
    <row r="184" spans="1:9" s="1" customFormat="1">
      <c r="A184" s="10"/>
      <c r="B184" s="37"/>
      <c r="C184" s="9"/>
      <c r="D184" s="16"/>
      <c r="E184" s="17"/>
      <c r="F184" s="26"/>
      <c r="G184" s="22"/>
      <c r="H184" s="30"/>
      <c r="I184" s="6"/>
    </row>
    <row r="185" spans="1:9" s="1" customFormat="1">
      <c r="A185" s="10"/>
      <c r="B185" s="37"/>
      <c r="C185" s="9" t="s">
        <v>426</v>
      </c>
      <c r="D185" s="16"/>
      <c r="E185" s="17"/>
      <c r="F185" s="30">
        <f>244</f>
        <v>244</v>
      </c>
      <c r="G185" s="6" t="s">
        <v>32</v>
      </c>
      <c r="H185" s="30">
        <f>203</f>
        <v>203</v>
      </c>
      <c r="I185" s="6" t="s">
        <v>45</v>
      </c>
    </row>
    <row r="186" spans="1:9" s="1" customFormat="1">
      <c r="A186" s="10"/>
      <c r="B186" s="37"/>
      <c r="C186" s="9"/>
      <c r="D186" s="16"/>
      <c r="E186" s="17"/>
      <c r="F186" s="26"/>
      <c r="G186" s="22"/>
      <c r="H186" s="30"/>
      <c r="I186" s="6"/>
    </row>
    <row r="187" spans="1:9" s="1" customFormat="1">
      <c r="A187" s="11" t="s">
        <v>4</v>
      </c>
      <c r="B187" s="10"/>
      <c r="C187" s="10"/>
      <c r="D187" s="18">
        <f>SUM(D177:D186)</f>
        <v>458.79999999999995</v>
      </c>
      <c r="E187" s="6"/>
      <c r="F187" s="27">
        <f>SUM(F177:F186)</f>
        <v>976</v>
      </c>
      <c r="G187" s="23"/>
      <c r="H187" s="31">
        <f>SUM(H177:H186)</f>
        <v>937.5</v>
      </c>
      <c r="I187" s="2"/>
    </row>
    <row r="188" spans="1:9" s="1" customFormat="1" ht="15.75" thickBot="1">
      <c r="A188" s="12" t="s">
        <v>5</v>
      </c>
      <c r="B188" s="34">
        <f>SUM(D187+F187+H187)</f>
        <v>2372.3000000000002</v>
      </c>
      <c r="C188" s="33"/>
      <c r="D188" s="19"/>
      <c r="E188" s="20"/>
      <c r="F188" s="28"/>
      <c r="G188" s="24"/>
      <c r="H188" s="32"/>
      <c r="I188" s="3"/>
    </row>
    <row r="189" spans="1:9" s="1" customFormat="1">
      <c r="A189" s="43" t="s">
        <v>400</v>
      </c>
      <c r="B189" s="8" t="s">
        <v>37</v>
      </c>
      <c r="C189" s="8" t="s">
        <v>57</v>
      </c>
      <c r="D189" s="14">
        <f>5.1+13.79</f>
        <v>18.89</v>
      </c>
      <c r="E189" s="15" t="s">
        <v>16</v>
      </c>
      <c r="F189" s="25">
        <f>24</f>
        <v>24</v>
      </c>
      <c r="G189" s="21" t="s">
        <v>191</v>
      </c>
      <c r="H189" s="29">
        <f>554.28</f>
        <v>554.28</v>
      </c>
      <c r="I189" s="5" t="s">
        <v>67</v>
      </c>
    </row>
    <row r="190" spans="1:9" s="1" customFormat="1">
      <c r="A190" s="10"/>
      <c r="B190" s="37" t="s">
        <v>401</v>
      </c>
      <c r="C190" s="9"/>
      <c r="D190" s="16">
        <f>7.2+47.39</f>
        <v>54.59</v>
      </c>
      <c r="E190" s="17" t="s">
        <v>14</v>
      </c>
      <c r="F190" s="26"/>
      <c r="G190" s="22"/>
      <c r="H190" s="30">
        <f>134.92+29.73</f>
        <v>164.64999999999998</v>
      </c>
      <c r="I190" s="6" t="s">
        <v>437</v>
      </c>
    </row>
    <row r="191" spans="1:9" s="1" customFormat="1">
      <c r="A191" s="10"/>
      <c r="B191" s="37"/>
      <c r="C191" s="9"/>
      <c r="D191" s="16">
        <f>38.99</f>
        <v>38.99</v>
      </c>
      <c r="E191" s="17" t="s">
        <v>397</v>
      </c>
      <c r="F191" s="26"/>
      <c r="G191" s="22"/>
      <c r="H191" s="30">
        <v>86.35</v>
      </c>
      <c r="I191" s="6" t="s">
        <v>15</v>
      </c>
    </row>
    <row r="192" spans="1:9" s="1" customFormat="1">
      <c r="A192" s="10"/>
      <c r="B192" s="37"/>
      <c r="C192" s="9"/>
      <c r="D192" s="16"/>
      <c r="E192" s="17"/>
      <c r="F192" s="26"/>
      <c r="G192" s="22"/>
      <c r="H192" s="30"/>
      <c r="I192" s="6"/>
    </row>
    <row r="193" spans="1:11" s="1" customFormat="1">
      <c r="A193" s="11" t="s">
        <v>4</v>
      </c>
      <c r="B193" s="10"/>
      <c r="C193" s="10"/>
      <c r="D193" s="18">
        <f>SUM(D189:D192)</f>
        <v>112.47</v>
      </c>
      <c r="E193" s="6"/>
      <c r="F193" s="27">
        <f>SUM(F189:F190)</f>
        <v>24</v>
      </c>
      <c r="G193" s="23"/>
      <c r="H193" s="31">
        <f>SUM(H189:H192)</f>
        <v>805.28</v>
      </c>
      <c r="I193" s="2"/>
    </row>
    <row r="194" spans="1:11" s="1" customFormat="1" ht="15.75" thickBot="1">
      <c r="A194" s="12" t="s">
        <v>5</v>
      </c>
      <c r="B194" s="34">
        <f>SUM(D193+F193+H193)</f>
        <v>941.75</v>
      </c>
      <c r="C194" s="33"/>
      <c r="D194" s="19"/>
      <c r="E194" s="20"/>
      <c r="F194" s="28"/>
      <c r="G194" s="24"/>
      <c r="H194" s="32"/>
      <c r="I194" s="3"/>
    </row>
    <row r="195" spans="1:11" ht="15.75" thickBot="1">
      <c r="J195" s="1"/>
      <c r="K195" s="40"/>
    </row>
    <row r="196" spans="1:11" ht="20.25" thickBot="1">
      <c r="A196" s="35" t="s">
        <v>8</v>
      </c>
      <c r="B196" s="36">
        <f>SUM(B6,B16,B27,B37,B45,B55,B63,B72,B83,B95,B105,B115,B123,B133,B143,B153,B160,B170,B176,B188,B194)</f>
        <v>46166.09</v>
      </c>
      <c r="J196" s="1"/>
      <c r="K196" s="40"/>
    </row>
    <row r="197" spans="1:11">
      <c r="J197" s="1"/>
      <c r="K197" s="41"/>
    </row>
    <row r="198" spans="1:11">
      <c r="J198" s="1"/>
      <c r="K198" s="4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2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2"/>
  <sheetViews>
    <sheetView topLeftCell="A163" workbookViewId="0">
      <selection activeCell="H151" sqref="H151"/>
    </sheetView>
  </sheetViews>
  <sheetFormatPr defaultRowHeight="15"/>
  <cols>
    <col min="1" max="1" width="17.7109375" customWidth="1"/>
    <col min="2" max="2" width="35.5703125" bestFit="1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>
        <v>41974</v>
      </c>
      <c r="B2" s="8" t="s">
        <v>79</v>
      </c>
      <c r="C2" s="8" t="s">
        <v>76</v>
      </c>
      <c r="D2" s="14">
        <f>9.5</f>
        <v>9.5</v>
      </c>
      <c r="E2" s="15" t="s">
        <v>16</v>
      </c>
      <c r="F2" s="25"/>
      <c r="G2" s="21"/>
      <c r="H2" s="29"/>
      <c r="I2" s="5"/>
    </row>
    <row r="3" spans="1:9" s="1" customFormat="1">
      <c r="A3" s="10"/>
      <c r="B3" s="37" t="s">
        <v>135</v>
      </c>
      <c r="C3" s="9"/>
      <c r="D3" s="16"/>
      <c r="E3" s="17"/>
      <c r="F3" s="26"/>
      <c r="G3" s="22"/>
      <c r="H3" s="30"/>
      <c r="I3" s="6"/>
    </row>
    <row r="4" spans="1:9" s="1" customFormat="1">
      <c r="A4" s="11" t="s">
        <v>4</v>
      </c>
      <c r="B4" s="10"/>
      <c r="C4" s="10"/>
      <c r="D4" s="18">
        <f>SUM(D2:D3)</f>
        <v>9.5</v>
      </c>
      <c r="E4" s="6"/>
      <c r="F4" s="27">
        <f>SUM(F2:F3)</f>
        <v>0</v>
      </c>
      <c r="G4" s="23"/>
      <c r="H4" s="31">
        <f>SUM(H2:H3)</f>
        <v>0</v>
      </c>
      <c r="I4" s="2"/>
    </row>
    <row r="5" spans="1:9" s="1" customFormat="1" ht="15.75" thickBot="1">
      <c r="A5" s="12" t="s">
        <v>5</v>
      </c>
      <c r="B5" s="34">
        <f>SUM(D4+F4+H4)</f>
        <v>9.5</v>
      </c>
      <c r="C5" s="33"/>
      <c r="D5" s="19"/>
      <c r="E5" s="20"/>
      <c r="F5" s="28"/>
      <c r="G5" s="24"/>
      <c r="H5" s="32"/>
      <c r="I5" s="3"/>
    </row>
    <row r="6" spans="1:9" s="1" customFormat="1">
      <c r="A6" s="43" t="s">
        <v>406</v>
      </c>
      <c r="B6" s="8" t="s">
        <v>37</v>
      </c>
      <c r="C6" s="8" t="s">
        <v>49</v>
      </c>
      <c r="D6" s="14">
        <f>33.1</f>
        <v>33.1</v>
      </c>
      <c r="E6" s="15" t="s">
        <v>16</v>
      </c>
      <c r="F6" s="25">
        <f>17.5</f>
        <v>17.5</v>
      </c>
      <c r="G6" s="21" t="s">
        <v>43</v>
      </c>
      <c r="H6" s="29">
        <f>158</f>
        <v>158</v>
      </c>
      <c r="I6" s="5" t="s">
        <v>45</v>
      </c>
    </row>
    <row r="7" spans="1:9" s="1" customFormat="1">
      <c r="A7" s="10"/>
      <c r="B7" s="37" t="s">
        <v>405</v>
      </c>
      <c r="C7" s="9"/>
      <c r="D7" s="16">
        <f>63</f>
        <v>63</v>
      </c>
      <c r="E7" s="17" t="s">
        <v>14</v>
      </c>
      <c r="F7" s="26">
        <f>116+116</f>
        <v>232</v>
      </c>
      <c r="G7" s="22" t="s">
        <v>32</v>
      </c>
      <c r="H7" s="30">
        <f>8</f>
        <v>8</v>
      </c>
      <c r="I7" s="6" t="s">
        <v>15</v>
      </c>
    </row>
    <row r="8" spans="1:9" s="1" customFormat="1">
      <c r="A8" s="10"/>
      <c r="B8" s="37"/>
      <c r="C8" s="9"/>
      <c r="D8" s="16"/>
      <c r="E8" s="17"/>
      <c r="F8" s="26"/>
      <c r="G8" s="22"/>
      <c r="H8" s="30"/>
      <c r="I8" s="6"/>
    </row>
    <row r="9" spans="1:9" s="1" customFormat="1">
      <c r="A9" s="11" t="s">
        <v>4</v>
      </c>
      <c r="B9" s="10"/>
      <c r="C9" s="10"/>
      <c r="D9" s="18">
        <f>SUM(D6:D8)</f>
        <v>96.1</v>
      </c>
      <c r="E9" s="6"/>
      <c r="F9" s="27">
        <f>SUM(F6:F7)</f>
        <v>249.5</v>
      </c>
      <c r="G9" s="23"/>
      <c r="H9" s="31">
        <f>SUM(H6:H8)</f>
        <v>166</v>
      </c>
      <c r="I9" s="2"/>
    </row>
    <row r="10" spans="1:9" s="1" customFormat="1" ht="15.75" thickBot="1">
      <c r="A10" s="12" t="s">
        <v>5</v>
      </c>
      <c r="B10" s="34">
        <f>SUM(D9+F9+H9)</f>
        <v>511.6</v>
      </c>
      <c r="C10" s="33"/>
      <c r="D10" s="19"/>
      <c r="E10" s="20"/>
      <c r="F10" s="28"/>
      <c r="G10" s="24"/>
      <c r="H10" s="32"/>
      <c r="I10" s="3"/>
    </row>
    <row r="11" spans="1:9" s="1" customFormat="1">
      <c r="A11" s="43" t="s">
        <v>415</v>
      </c>
      <c r="B11" s="8" t="s">
        <v>55</v>
      </c>
      <c r="C11" s="8" t="s">
        <v>231</v>
      </c>
      <c r="D11" s="14">
        <f>59.42</f>
        <v>59.42</v>
      </c>
      <c r="E11" s="15" t="s">
        <v>16</v>
      </c>
      <c r="F11" s="25"/>
      <c r="G11" s="21"/>
      <c r="H11" s="29">
        <f>1483.81</f>
        <v>1483.81</v>
      </c>
      <c r="I11" s="5" t="s">
        <v>67</v>
      </c>
    </row>
    <row r="12" spans="1:9" s="1" customFormat="1">
      <c r="A12" s="10"/>
      <c r="B12" s="37" t="s">
        <v>19</v>
      </c>
      <c r="C12" s="9"/>
      <c r="D12" s="16">
        <f>28.43+27.26</f>
        <v>55.69</v>
      </c>
      <c r="E12" s="17" t="s">
        <v>14</v>
      </c>
      <c r="F12" s="26"/>
      <c r="G12" s="22"/>
      <c r="H12" s="30">
        <f>293.37</f>
        <v>293.37</v>
      </c>
      <c r="I12" s="6" t="s">
        <v>45</v>
      </c>
    </row>
    <row r="13" spans="1:9" s="1" customFormat="1">
      <c r="A13" s="10"/>
      <c r="B13" s="37"/>
      <c r="C13" s="9"/>
      <c r="D13" s="16">
        <f>28.85+64.03</f>
        <v>92.88</v>
      </c>
      <c r="E13" s="17" t="s">
        <v>29</v>
      </c>
      <c r="F13" s="26"/>
      <c r="G13" s="22"/>
      <c r="H13" s="30"/>
      <c r="I13" s="6"/>
    </row>
    <row r="14" spans="1:9" s="1" customFormat="1">
      <c r="A14" s="10"/>
      <c r="B14" s="37"/>
      <c r="C14" s="9"/>
      <c r="D14" s="16"/>
      <c r="E14" s="17"/>
      <c r="F14" s="26"/>
      <c r="G14" s="22"/>
      <c r="H14" s="30"/>
      <c r="I14" s="6"/>
    </row>
    <row r="15" spans="1:9" s="1" customFormat="1">
      <c r="A15" s="10"/>
      <c r="B15" s="37"/>
      <c r="C15" s="9" t="s">
        <v>369</v>
      </c>
      <c r="D15" s="16">
        <f>48.16</f>
        <v>48.16</v>
      </c>
      <c r="E15" s="17" t="s">
        <v>16</v>
      </c>
      <c r="F15" s="26"/>
      <c r="G15" s="22"/>
      <c r="H15" s="30">
        <f>521.52</f>
        <v>521.52</v>
      </c>
      <c r="I15" s="6" t="s">
        <v>67</v>
      </c>
    </row>
    <row r="16" spans="1:9" s="1" customFormat="1">
      <c r="A16" s="10"/>
      <c r="B16" s="37"/>
      <c r="C16" s="9"/>
      <c r="D16" s="16">
        <f>50.98</f>
        <v>50.98</v>
      </c>
      <c r="E16" s="17" t="s">
        <v>29</v>
      </c>
      <c r="F16" s="26"/>
      <c r="G16" s="22"/>
      <c r="H16" s="30">
        <f>293.37</f>
        <v>293.37</v>
      </c>
      <c r="I16" s="6" t="s">
        <v>45</v>
      </c>
    </row>
    <row r="17" spans="1:9" s="1" customFormat="1">
      <c r="A17" s="10"/>
      <c r="B17" s="37"/>
      <c r="C17" s="9"/>
      <c r="D17" s="16"/>
      <c r="E17" s="17"/>
      <c r="F17" s="26"/>
      <c r="G17" s="22"/>
      <c r="H17" s="30"/>
      <c r="I17" s="6"/>
    </row>
    <row r="18" spans="1:9" s="1" customFormat="1">
      <c r="A18" s="10"/>
      <c r="B18" s="37"/>
      <c r="C18" s="9" t="s">
        <v>77</v>
      </c>
      <c r="D18" s="16">
        <f>9.18</f>
        <v>9.18</v>
      </c>
      <c r="E18" s="17" t="s">
        <v>16</v>
      </c>
      <c r="F18" s="26"/>
      <c r="G18" s="22"/>
      <c r="H18" s="30">
        <f>558.87</f>
        <v>558.87</v>
      </c>
      <c r="I18" s="6" t="s">
        <v>67</v>
      </c>
    </row>
    <row r="19" spans="1:9" s="1" customFormat="1">
      <c r="A19" s="10"/>
      <c r="B19" s="37"/>
      <c r="C19" s="9"/>
      <c r="D19" s="16"/>
      <c r="E19" s="17"/>
      <c r="F19" s="26"/>
      <c r="G19" s="22"/>
      <c r="H19" s="30">
        <f>293.37</f>
        <v>293.37</v>
      </c>
      <c r="I19" s="6" t="s">
        <v>45</v>
      </c>
    </row>
    <row r="20" spans="1:9" s="1" customFormat="1">
      <c r="A20" s="10"/>
      <c r="B20" s="37"/>
      <c r="C20" s="9"/>
      <c r="D20" s="16"/>
      <c r="E20" s="17"/>
      <c r="F20" s="26"/>
      <c r="G20" s="22"/>
      <c r="H20" s="30">
        <f>34.09+137.95</f>
        <v>172.04</v>
      </c>
      <c r="I20" s="6" t="s">
        <v>15</v>
      </c>
    </row>
    <row r="21" spans="1:9" s="1" customFormat="1">
      <c r="A21" s="10"/>
      <c r="B21" s="37"/>
      <c r="C21" s="9"/>
      <c r="D21" s="16"/>
      <c r="E21" s="17"/>
      <c r="F21" s="26"/>
      <c r="G21" s="22"/>
      <c r="H21" s="30"/>
      <c r="I21" s="6"/>
    </row>
    <row r="22" spans="1:9" s="1" customFormat="1">
      <c r="A22" s="11" t="s">
        <v>4</v>
      </c>
      <c r="B22" s="10"/>
      <c r="C22" s="10"/>
      <c r="D22" s="18">
        <f>SUM(D11:D21)</f>
        <v>316.31</v>
      </c>
      <c r="E22" s="6"/>
      <c r="F22" s="27">
        <f>SUM(F11:F12)</f>
        <v>0</v>
      </c>
      <c r="G22" s="23"/>
      <c r="H22" s="31">
        <f>SUM(H11:H21)</f>
        <v>3616.3499999999995</v>
      </c>
      <c r="I22" s="2"/>
    </row>
    <row r="23" spans="1:9" s="1" customFormat="1" ht="15.75" thickBot="1">
      <c r="A23" s="12" t="s">
        <v>5</v>
      </c>
      <c r="B23" s="34">
        <f>SUM(D22+F22+H22)</f>
        <v>3932.6599999999994</v>
      </c>
      <c r="C23" s="33"/>
      <c r="D23" s="19"/>
      <c r="E23" s="20"/>
      <c r="F23" s="28"/>
      <c r="G23" s="24"/>
      <c r="H23" s="32"/>
      <c r="I23" s="3"/>
    </row>
    <row r="24" spans="1:9" s="1" customFormat="1">
      <c r="A24" s="43">
        <v>41976</v>
      </c>
      <c r="B24" s="8" t="s">
        <v>55</v>
      </c>
      <c r="C24" s="8" t="s">
        <v>71</v>
      </c>
      <c r="D24" s="14">
        <f>20</f>
        <v>20</v>
      </c>
      <c r="E24" s="15" t="s">
        <v>29</v>
      </c>
      <c r="F24" s="25">
        <f>29.5</f>
        <v>29.5</v>
      </c>
      <c r="G24" s="21" t="s">
        <v>43</v>
      </c>
      <c r="H24" s="29">
        <f>76.57+63.38</f>
        <v>139.94999999999999</v>
      </c>
      <c r="I24" s="5" t="s">
        <v>67</v>
      </c>
    </row>
    <row r="25" spans="1:9" s="1" customFormat="1">
      <c r="A25" s="10"/>
      <c r="B25" s="37" t="s">
        <v>424</v>
      </c>
      <c r="C25" s="9"/>
      <c r="D25" s="16"/>
      <c r="E25" s="17"/>
      <c r="F25" s="26"/>
      <c r="G25" s="22"/>
      <c r="H25" s="30"/>
      <c r="I25" s="6"/>
    </row>
    <row r="26" spans="1:9" s="1" customFormat="1">
      <c r="A26" s="10"/>
      <c r="B26" s="37"/>
      <c r="C26" s="9"/>
      <c r="D26" s="16"/>
      <c r="E26" s="17"/>
      <c r="F26" s="26"/>
      <c r="G26" s="22"/>
      <c r="H26" s="30"/>
      <c r="I26" s="6"/>
    </row>
    <row r="27" spans="1:9" s="1" customFormat="1">
      <c r="A27" s="10"/>
      <c r="B27" s="37"/>
      <c r="C27" s="9" t="s">
        <v>39</v>
      </c>
      <c r="D27" s="16">
        <f>13.8+55.83</f>
        <v>69.63</v>
      </c>
      <c r="E27" s="17" t="s">
        <v>16</v>
      </c>
      <c r="F27" s="26">
        <f>51.7</f>
        <v>51.7</v>
      </c>
      <c r="G27" s="22" t="s">
        <v>42</v>
      </c>
      <c r="H27" s="30">
        <f>76.57+68.38</f>
        <v>144.94999999999999</v>
      </c>
      <c r="I27" s="6" t="s">
        <v>67</v>
      </c>
    </row>
    <row r="28" spans="1:9" s="1" customFormat="1">
      <c r="A28" s="10"/>
      <c r="B28" s="37"/>
      <c r="C28" s="9"/>
      <c r="D28" s="16">
        <f>41.61</f>
        <v>41.61</v>
      </c>
      <c r="E28" s="17" t="s">
        <v>14</v>
      </c>
      <c r="F28" s="26">
        <v>6.2</v>
      </c>
      <c r="G28" s="22" t="s">
        <v>50</v>
      </c>
      <c r="H28" s="30"/>
      <c r="I28" s="6"/>
    </row>
    <row r="29" spans="1:9" s="1" customFormat="1">
      <c r="A29" s="10"/>
      <c r="B29" s="37"/>
      <c r="C29" s="9"/>
      <c r="D29" s="16"/>
      <c r="E29" s="17"/>
      <c r="F29" s="26">
        <f>19</f>
        <v>19</v>
      </c>
      <c r="G29" s="22" t="s">
        <v>43</v>
      </c>
      <c r="H29" s="30"/>
      <c r="I29" s="6"/>
    </row>
    <row r="30" spans="1:9" s="1" customFormat="1">
      <c r="A30" s="10"/>
      <c r="B30" s="37"/>
      <c r="C30" s="9"/>
      <c r="D30" s="16"/>
      <c r="E30" s="17"/>
      <c r="F30" s="26"/>
      <c r="G30" s="22"/>
      <c r="H30" s="30"/>
      <c r="I30" s="6"/>
    </row>
    <row r="31" spans="1:9" s="1" customFormat="1">
      <c r="A31" s="11" t="s">
        <v>4</v>
      </c>
      <c r="B31" s="10"/>
      <c r="C31" s="10"/>
      <c r="D31" s="18">
        <f>SUM(D24:D30)</f>
        <v>131.24</v>
      </c>
      <c r="E31" s="6"/>
      <c r="F31" s="27">
        <f>SUM(F24:F25)</f>
        <v>29.5</v>
      </c>
      <c r="G31" s="23"/>
      <c r="H31" s="31">
        <f>SUM(H24:H30)</f>
        <v>284.89999999999998</v>
      </c>
      <c r="I31" s="2"/>
    </row>
    <row r="32" spans="1:9" s="1" customFormat="1" ht="15.75" thickBot="1">
      <c r="A32" s="12" t="s">
        <v>5</v>
      </c>
      <c r="B32" s="34">
        <f>SUM(D31+F31+H31)</f>
        <v>445.64</v>
      </c>
      <c r="C32" s="33"/>
      <c r="D32" s="19"/>
      <c r="E32" s="20"/>
      <c r="F32" s="28"/>
      <c r="G32" s="24"/>
      <c r="H32" s="32"/>
      <c r="I32" s="3"/>
    </row>
    <row r="33" spans="1:9" s="1" customFormat="1">
      <c r="A33" s="43" t="s">
        <v>409</v>
      </c>
      <c r="B33" s="8" t="s">
        <v>410</v>
      </c>
      <c r="C33" s="8" t="s">
        <v>195</v>
      </c>
      <c r="D33" s="14">
        <f>4.9</f>
        <v>4.9000000000000004</v>
      </c>
      <c r="E33" s="15" t="s">
        <v>16</v>
      </c>
      <c r="F33" s="25">
        <f>26.66</f>
        <v>26.66</v>
      </c>
      <c r="G33" s="21" t="s">
        <v>42</v>
      </c>
      <c r="H33" s="29">
        <f>657.61</f>
        <v>657.61</v>
      </c>
      <c r="I33" s="5" t="s">
        <v>67</v>
      </c>
    </row>
    <row r="34" spans="1:9" s="1" customFormat="1">
      <c r="A34" s="10"/>
      <c r="B34" s="37" t="s">
        <v>175</v>
      </c>
      <c r="C34" s="9"/>
      <c r="D34" s="16"/>
      <c r="E34" s="17"/>
      <c r="F34" s="26">
        <f>9.2</f>
        <v>9.1999999999999993</v>
      </c>
      <c r="G34" s="22" t="s">
        <v>50</v>
      </c>
      <c r="H34" s="30">
        <f>409.23+66.37</f>
        <v>475.6</v>
      </c>
      <c r="I34" s="6" t="s">
        <v>45</v>
      </c>
    </row>
    <row r="35" spans="1:9" s="1" customFormat="1">
      <c r="A35" s="10"/>
      <c r="B35" s="37"/>
      <c r="C35" s="9"/>
      <c r="D35" s="16"/>
      <c r="E35" s="17"/>
      <c r="F35" s="26">
        <v>77</v>
      </c>
      <c r="G35" s="22" t="s">
        <v>43</v>
      </c>
      <c r="H35" s="30"/>
      <c r="I35" s="6"/>
    </row>
    <row r="36" spans="1:9" s="1" customFormat="1">
      <c r="A36" s="10"/>
      <c r="B36" s="37"/>
      <c r="C36" s="9"/>
      <c r="D36" s="16"/>
      <c r="E36" s="17"/>
      <c r="F36" s="26"/>
      <c r="G36" s="22"/>
      <c r="H36" s="30"/>
      <c r="I36" s="6"/>
    </row>
    <row r="37" spans="1:9" s="1" customFormat="1">
      <c r="A37" s="10"/>
      <c r="B37" s="37"/>
      <c r="C37" s="9" t="s">
        <v>11</v>
      </c>
      <c r="D37" s="16">
        <f>6.77+31</f>
        <v>37.769999999999996</v>
      </c>
      <c r="E37" s="17" t="s">
        <v>16</v>
      </c>
      <c r="F37" s="26">
        <f>33.51</f>
        <v>33.51</v>
      </c>
      <c r="G37" s="22" t="s">
        <v>32</v>
      </c>
      <c r="H37" s="30">
        <f>411.66</f>
        <v>411.66</v>
      </c>
      <c r="I37" s="6" t="s">
        <v>67</v>
      </c>
    </row>
    <row r="38" spans="1:9" s="1" customFormat="1">
      <c r="A38" s="10"/>
      <c r="B38" s="37"/>
      <c r="C38" s="9"/>
      <c r="D38" s="16">
        <f>7.02+62.87</f>
        <v>69.89</v>
      </c>
      <c r="E38" s="17" t="s">
        <v>14</v>
      </c>
      <c r="F38" s="26"/>
      <c r="G38" s="22"/>
      <c r="H38" s="30">
        <f>272.82+66.37</f>
        <v>339.19</v>
      </c>
      <c r="I38" s="6" t="s">
        <v>45</v>
      </c>
    </row>
    <row r="39" spans="1:9" s="1" customFormat="1">
      <c r="A39" s="10"/>
      <c r="B39" s="37"/>
      <c r="C39" s="9"/>
      <c r="D39" s="16">
        <f>21.47</f>
        <v>21.47</v>
      </c>
      <c r="E39" s="17" t="s">
        <v>29</v>
      </c>
      <c r="F39" s="26"/>
      <c r="G39" s="22"/>
      <c r="H39" s="30">
        <f>69.25</f>
        <v>69.25</v>
      </c>
      <c r="I39" s="6" t="s">
        <v>15</v>
      </c>
    </row>
    <row r="40" spans="1:9" s="1" customFormat="1">
      <c r="A40" s="10"/>
      <c r="B40" s="37"/>
      <c r="C40" s="9"/>
      <c r="D40" s="16"/>
      <c r="E40" s="17"/>
      <c r="F40" s="26"/>
      <c r="G40" s="22"/>
      <c r="H40" s="30"/>
      <c r="I40" s="6"/>
    </row>
    <row r="41" spans="1:9" s="1" customFormat="1">
      <c r="A41" s="10"/>
      <c r="B41" s="37"/>
      <c r="C41" s="9" t="s">
        <v>12</v>
      </c>
      <c r="D41" s="16">
        <f>311.27</f>
        <v>311.27</v>
      </c>
      <c r="E41" s="17" t="s">
        <v>16</v>
      </c>
      <c r="F41" s="26"/>
      <c r="G41" s="22"/>
      <c r="H41" s="30">
        <f>411.66</f>
        <v>411.66</v>
      </c>
      <c r="I41" s="6" t="s">
        <v>67</v>
      </c>
    </row>
    <row r="42" spans="1:9" s="1" customFormat="1">
      <c r="A42" s="10"/>
      <c r="B42" s="37"/>
      <c r="C42" s="9"/>
      <c r="D42" s="16">
        <f>70.02</f>
        <v>70.02</v>
      </c>
      <c r="E42" s="17" t="s">
        <v>14</v>
      </c>
      <c r="F42" s="26"/>
      <c r="G42" s="22"/>
      <c r="H42" s="30">
        <f>640.13+99.9</f>
        <v>740.03</v>
      </c>
      <c r="I42" s="6" t="s">
        <v>45</v>
      </c>
    </row>
    <row r="43" spans="1:9" s="1" customFormat="1">
      <c r="A43" s="10"/>
      <c r="B43" s="37"/>
      <c r="C43" s="9"/>
      <c r="D43" s="16"/>
      <c r="E43" s="17"/>
      <c r="F43" s="26"/>
      <c r="G43" s="22"/>
      <c r="H43" s="30">
        <f>56.9</f>
        <v>56.9</v>
      </c>
      <c r="I43" s="6" t="s">
        <v>15</v>
      </c>
    </row>
    <row r="44" spans="1:9" s="1" customFormat="1">
      <c r="A44" s="10"/>
      <c r="B44" s="37"/>
      <c r="C44" s="9"/>
      <c r="D44" s="16"/>
      <c r="E44" s="17"/>
      <c r="F44" s="26"/>
      <c r="G44" s="22"/>
      <c r="H44" s="30"/>
      <c r="I44" s="6"/>
    </row>
    <row r="45" spans="1:9" s="1" customFormat="1">
      <c r="A45" s="10"/>
      <c r="B45" s="37"/>
      <c r="C45" s="9" t="s">
        <v>76</v>
      </c>
      <c r="D45" s="16">
        <f>542.97</f>
        <v>542.97</v>
      </c>
      <c r="E45" s="17" t="s">
        <v>16</v>
      </c>
      <c r="F45" s="26">
        <f>15.86</f>
        <v>15.86</v>
      </c>
      <c r="G45" s="22" t="s">
        <v>42</v>
      </c>
      <c r="H45" s="30">
        <f>685.41</f>
        <v>685.41</v>
      </c>
      <c r="I45" s="6" t="s">
        <v>67</v>
      </c>
    </row>
    <row r="46" spans="1:9" s="1" customFormat="1">
      <c r="A46" s="10"/>
      <c r="B46" s="37"/>
      <c r="C46" s="9"/>
      <c r="D46" s="16">
        <f>47.71</f>
        <v>47.71</v>
      </c>
      <c r="E46" s="17" t="s">
        <v>14</v>
      </c>
      <c r="F46" s="26">
        <f>6.6</f>
        <v>6.6</v>
      </c>
      <c r="G46" s="22" t="s">
        <v>50</v>
      </c>
      <c r="H46" s="30">
        <f>272.82+66.37</f>
        <v>339.19</v>
      </c>
      <c r="I46" s="6" t="s">
        <v>45</v>
      </c>
    </row>
    <row r="47" spans="1:9" s="1" customFormat="1">
      <c r="A47" s="10"/>
      <c r="B47" s="37"/>
      <c r="C47" s="9"/>
      <c r="D47" s="16">
        <f>10</f>
        <v>10</v>
      </c>
      <c r="E47" s="17" t="s">
        <v>29</v>
      </c>
      <c r="F47" s="26">
        <f>33.1</f>
        <v>33.1</v>
      </c>
      <c r="G47" s="22" t="s">
        <v>43</v>
      </c>
      <c r="H47" s="30">
        <f>316.89</f>
        <v>316.89</v>
      </c>
      <c r="I47" s="6" t="s">
        <v>15</v>
      </c>
    </row>
    <row r="48" spans="1:9" s="1" customFormat="1">
      <c r="A48" s="10"/>
      <c r="B48" s="37"/>
      <c r="C48" s="9"/>
      <c r="D48" s="16"/>
      <c r="E48" s="17"/>
      <c r="F48" s="26">
        <f>30.15</f>
        <v>30.15</v>
      </c>
      <c r="G48" s="22" t="s">
        <v>32</v>
      </c>
      <c r="H48" s="30"/>
      <c r="I48" s="6"/>
    </row>
    <row r="49" spans="1:9" s="1" customFormat="1">
      <c r="A49" s="10"/>
      <c r="B49" s="37"/>
      <c r="C49" s="9"/>
      <c r="D49" s="16"/>
      <c r="E49" s="17"/>
      <c r="F49" s="26"/>
      <c r="G49" s="22"/>
      <c r="H49" s="30"/>
      <c r="I49" s="6"/>
    </row>
    <row r="50" spans="1:9" s="1" customFormat="1">
      <c r="A50" s="10"/>
      <c r="B50" s="37"/>
      <c r="C50" s="9" t="s">
        <v>57</v>
      </c>
      <c r="D50" s="16"/>
      <c r="E50" s="17"/>
      <c r="F50" s="26"/>
      <c r="G50" s="22"/>
      <c r="H50" s="30">
        <f>685.41-44.41</f>
        <v>641</v>
      </c>
      <c r="I50" s="6" t="s">
        <v>67</v>
      </c>
    </row>
    <row r="51" spans="1:9" s="1" customFormat="1">
      <c r="A51" s="10"/>
      <c r="B51" s="37"/>
      <c r="C51" s="9" t="s">
        <v>197</v>
      </c>
      <c r="D51" s="16"/>
      <c r="E51" s="17"/>
      <c r="F51" s="26"/>
      <c r="G51" s="22"/>
      <c r="H51" s="30">
        <f>272.82-272.82</f>
        <v>0</v>
      </c>
      <c r="I51" s="6" t="s">
        <v>296</v>
      </c>
    </row>
    <row r="52" spans="1:9" s="1" customFormat="1">
      <c r="A52" s="10"/>
      <c r="B52" s="37"/>
      <c r="C52" s="9"/>
      <c r="D52" s="16"/>
      <c r="E52" s="17"/>
      <c r="F52" s="26"/>
      <c r="G52" s="22"/>
      <c r="H52" s="30"/>
      <c r="I52" s="6"/>
    </row>
    <row r="53" spans="1:9" s="1" customFormat="1">
      <c r="A53" s="10"/>
      <c r="B53" s="37"/>
      <c r="C53" s="9" t="s">
        <v>196</v>
      </c>
      <c r="D53" s="16"/>
      <c r="E53" s="17"/>
      <c r="F53" s="26">
        <f>24.79</f>
        <v>24.79</v>
      </c>
      <c r="G53" s="22" t="s">
        <v>42</v>
      </c>
      <c r="H53" s="30">
        <f>685.41</f>
        <v>685.41</v>
      </c>
      <c r="I53" s="6" t="s">
        <v>67</v>
      </c>
    </row>
    <row r="54" spans="1:9" s="1" customFormat="1">
      <c r="A54" s="10"/>
      <c r="B54" s="37"/>
      <c r="C54" s="9"/>
      <c r="D54" s="16"/>
      <c r="E54" s="17"/>
      <c r="F54" s="26">
        <f>10.6</f>
        <v>10.6</v>
      </c>
      <c r="G54" s="22" t="s">
        <v>50</v>
      </c>
      <c r="H54" s="30">
        <f>272.82+66.37</f>
        <v>339.19</v>
      </c>
      <c r="I54" s="6" t="s">
        <v>45</v>
      </c>
    </row>
    <row r="55" spans="1:9" s="1" customFormat="1">
      <c r="A55" s="10"/>
      <c r="B55" s="37"/>
      <c r="C55" s="9"/>
      <c r="D55" s="16"/>
      <c r="E55" s="17"/>
      <c r="F55" s="26">
        <f>22</f>
        <v>22</v>
      </c>
      <c r="G55" s="22" t="s">
        <v>43</v>
      </c>
      <c r="H55" s="30"/>
      <c r="I55" s="6"/>
    </row>
    <row r="56" spans="1:9" s="1" customFormat="1">
      <c r="A56" s="10"/>
      <c r="B56" s="37"/>
      <c r="C56" s="9"/>
      <c r="D56" s="16"/>
      <c r="E56" s="17"/>
      <c r="F56" s="26"/>
      <c r="G56" s="22"/>
      <c r="H56" s="30"/>
      <c r="I56" s="6"/>
    </row>
    <row r="57" spans="1:9" s="1" customFormat="1">
      <c r="A57" s="10"/>
      <c r="B57" s="37"/>
      <c r="C57" s="9" t="s">
        <v>194</v>
      </c>
      <c r="D57" s="16">
        <f>393.14</f>
        <v>393.14</v>
      </c>
      <c r="E57" s="17" t="s">
        <v>16</v>
      </c>
      <c r="F57" s="26">
        <f>56.95</f>
        <v>56.95</v>
      </c>
      <c r="G57" s="22" t="s">
        <v>32</v>
      </c>
      <c r="H57" s="30">
        <f>657.61</f>
        <v>657.61</v>
      </c>
      <c r="I57" s="6" t="s">
        <v>67</v>
      </c>
    </row>
    <row r="58" spans="1:9" s="1" customFormat="1">
      <c r="A58" s="10"/>
      <c r="B58" s="37"/>
      <c r="C58" s="9"/>
      <c r="D58" s="16">
        <f>33.4</f>
        <v>33.4</v>
      </c>
      <c r="E58" s="17" t="s">
        <v>14</v>
      </c>
      <c r="F58" s="26"/>
      <c r="G58" s="22"/>
      <c r="H58" s="30">
        <f>682.05-272.82+66.37</f>
        <v>475.59999999999997</v>
      </c>
      <c r="I58" s="6" t="s">
        <v>44</v>
      </c>
    </row>
    <row r="59" spans="1:9" s="1" customFormat="1">
      <c r="A59" s="10"/>
      <c r="B59" s="37"/>
      <c r="C59" s="9"/>
      <c r="D59" s="16"/>
      <c r="E59" s="17"/>
      <c r="F59" s="26"/>
      <c r="G59" s="22"/>
      <c r="H59" s="30">
        <f>18.37</f>
        <v>18.37</v>
      </c>
      <c r="I59" s="6" t="s">
        <v>15</v>
      </c>
    </row>
    <row r="60" spans="1:9" s="1" customFormat="1">
      <c r="A60" s="10"/>
      <c r="B60" s="37"/>
      <c r="C60" s="9"/>
      <c r="D60" s="16"/>
      <c r="E60" s="17"/>
      <c r="F60" s="26"/>
      <c r="G60" s="22"/>
      <c r="H60" s="30"/>
      <c r="I60" s="6"/>
    </row>
    <row r="61" spans="1:9" s="1" customFormat="1">
      <c r="A61" s="11" t="s">
        <v>4</v>
      </c>
      <c r="B61" s="10"/>
      <c r="C61" s="10"/>
      <c r="D61" s="18">
        <f>SUM(D33:D60)</f>
        <v>1542.54</v>
      </c>
      <c r="E61" s="6"/>
      <c r="F61" s="27">
        <f>SUM(F33:F60)</f>
        <v>346.42</v>
      </c>
      <c r="G61" s="23"/>
      <c r="H61" s="31">
        <f>SUM(H33:H60)</f>
        <v>7320.57</v>
      </c>
      <c r="I61" s="2"/>
    </row>
    <row r="62" spans="1:9" s="1" customFormat="1" ht="15.75" thickBot="1">
      <c r="A62" s="12" t="s">
        <v>5</v>
      </c>
      <c r="B62" s="34">
        <f>SUM(D61+F61+H61)</f>
        <v>9209.5299999999988</v>
      </c>
      <c r="C62" s="33"/>
      <c r="D62" s="19"/>
      <c r="E62" s="20"/>
      <c r="F62" s="28"/>
      <c r="G62" s="24"/>
      <c r="H62" s="32"/>
      <c r="I62" s="3"/>
    </row>
    <row r="63" spans="1:9" s="1" customFormat="1">
      <c r="A63" s="43" t="s">
        <v>417</v>
      </c>
      <c r="B63" s="8" t="s">
        <v>149</v>
      </c>
      <c r="C63" s="8" t="s">
        <v>369</v>
      </c>
      <c r="D63" s="14">
        <f>57.72</f>
        <v>57.72</v>
      </c>
      <c r="E63" s="15" t="s">
        <v>16</v>
      </c>
      <c r="F63" s="25"/>
      <c r="G63" s="21"/>
      <c r="H63" s="29"/>
      <c r="I63" s="5"/>
    </row>
    <row r="64" spans="1:9" s="1" customFormat="1">
      <c r="A64" s="10"/>
      <c r="B64" s="37" t="s">
        <v>19</v>
      </c>
      <c r="C64" s="9"/>
      <c r="D64" s="16">
        <f>52.23</f>
        <v>52.23</v>
      </c>
      <c r="E64" s="17" t="s">
        <v>14</v>
      </c>
      <c r="F64" s="26"/>
      <c r="G64" s="22"/>
      <c r="H64" s="30">
        <f>399.72-399.72+399.72</f>
        <v>399.72</v>
      </c>
      <c r="I64" s="6" t="s">
        <v>45</v>
      </c>
    </row>
    <row r="65" spans="1:9" s="1" customFormat="1">
      <c r="A65" s="10"/>
      <c r="B65" s="37"/>
      <c r="C65" s="9"/>
      <c r="D65" s="16">
        <f>1.97</f>
        <v>1.97</v>
      </c>
      <c r="E65" s="17" t="s">
        <v>29</v>
      </c>
      <c r="F65" s="26"/>
      <c r="G65" s="22"/>
      <c r="H65" s="30"/>
      <c r="I65" s="6"/>
    </row>
    <row r="66" spans="1:9" s="1" customFormat="1">
      <c r="A66" s="10"/>
      <c r="B66" s="37"/>
      <c r="C66" s="9"/>
      <c r="D66" s="16"/>
      <c r="E66" s="17"/>
      <c r="F66" s="26"/>
      <c r="G66" s="22"/>
      <c r="H66" s="30"/>
      <c r="I66" s="6"/>
    </row>
    <row r="67" spans="1:9" s="1" customFormat="1">
      <c r="A67" s="10"/>
      <c r="B67" s="37"/>
      <c r="C67" s="9" t="s">
        <v>20</v>
      </c>
      <c r="D67" s="16">
        <f>110</f>
        <v>110</v>
      </c>
      <c r="E67" s="17" t="s">
        <v>16</v>
      </c>
      <c r="F67" s="26"/>
      <c r="G67" s="22"/>
      <c r="H67" s="30">
        <f>1644.97</f>
        <v>1644.97</v>
      </c>
      <c r="I67" s="6" t="s">
        <v>67</v>
      </c>
    </row>
    <row r="68" spans="1:9" s="1" customFormat="1">
      <c r="A68" s="10"/>
      <c r="B68" s="37"/>
      <c r="C68" s="9"/>
      <c r="D68" s="16">
        <f>65.05+30.85</f>
        <v>95.9</v>
      </c>
      <c r="E68" s="17" t="s">
        <v>14</v>
      </c>
      <c r="F68" s="26"/>
      <c r="G68" s="22"/>
      <c r="H68" s="30">
        <f>139.06+174.31+499.65</f>
        <v>813.02</v>
      </c>
      <c r="I68" s="6" t="s">
        <v>45</v>
      </c>
    </row>
    <row r="69" spans="1:9" s="1" customFormat="1">
      <c r="A69" s="10"/>
      <c r="B69" s="37"/>
      <c r="C69" s="9"/>
      <c r="D69" s="16">
        <f>31.52+16.99</f>
        <v>48.51</v>
      </c>
      <c r="E69" s="17" t="s">
        <v>29</v>
      </c>
      <c r="F69" s="26"/>
      <c r="G69" s="22"/>
      <c r="H69" s="30">
        <f>18.74</f>
        <v>18.739999999999998</v>
      </c>
      <c r="I69" s="6" t="s">
        <v>15</v>
      </c>
    </row>
    <row r="70" spans="1:9" s="1" customFormat="1">
      <c r="A70" s="10"/>
      <c r="B70" s="37"/>
      <c r="C70" s="9"/>
      <c r="D70" s="16"/>
      <c r="E70" s="17"/>
      <c r="F70" s="26"/>
      <c r="G70" s="22"/>
      <c r="H70" s="30"/>
      <c r="I70" s="6"/>
    </row>
    <row r="71" spans="1:9" s="1" customFormat="1">
      <c r="A71" s="11" t="s">
        <v>4</v>
      </c>
      <c r="B71" s="10"/>
      <c r="C71" s="10"/>
      <c r="D71" s="18">
        <f>SUM(D63:D70)</f>
        <v>366.33</v>
      </c>
      <c r="E71" s="6"/>
      <c r="F71" s="27">
        <f>SUM(F63:F70)</f>
        <v>0</v>
      </c>
      <c r="G71" s="23"/>
      <c r="H71" s="31">
        <f>SUM(H63:H70)</f>
        <v>2876.45</v>
      </c>
      <c r="I71" s="2"/>
    </row>
    <row r="72" spans="1:9" s="1" customFormat="1" ht="15.75" thickBot="1">
      <c r="A72" s="12" t="s">
        <v>5</v>
      </c>
      <c r="B72" s="34">
        <f>SUM(D71+F71+H71)</f>
        <v>3242.7799999999997</v>
      </c>
      <c r="C72" s="33"/>
      <c r="D72" s="19"/>
      <c r="E72" s="20"/>
      <c r="F72" s="28"/>
      <c r="G72" s="24"/>
      <c r="H72" s="32"/>
      <c r="I72" s="3"/>
    </row>
    <row r="73" spans="1:9" s="1" customFormat="1">
      <c r="A73" s="43" t="s">
        <v>413</v>
      </c>
      <c r="B73" s="8" t="s">
        <v>37</v>
      </c>
      <c r="C73" s="8" t="s">
        <v>57</v>
      </c>
      <c r="D73" s="14">
        <f>70.4+166.04</f>
        <v>236.44</v>
      </c>
      <c r="E73" s="15" t="s">
        <v>16</v>
      </c>
      <c r="F73" s="25">
        <f>12</f>
        <v>12</v>
      </c>
      <c r="G73" s="21" t="s">
        <v>191</v>
      </c>
      <c r="H73" s="29">
        <f>1580.38</f>
        <v>1580.38</v>
      </c>
      <c r="I73" s="5" t="s">
        <v>67</v>
      </c>
    </row>
    <row r="74" spans="1:9" s="1" customFormat="1">
      <c r="A74" s="10"/>
      <c r="B74" s="37" t="s">
        <v>412</v>
      </c>
      <c r="C74" s="9"/>
      <c r="D74" s="16">
        <f>31+132.09</f>
        <v>163.09</v>
      </c>
      <c r="E74" s="17" t="s">
        <v>14</v>
      </c>
      <c r="F74" s="26"/>
      <c r="G74" s="22"/>
      <c r="H74" s="30">
        <v>378.12</v>
      </c>
      <c r="I74" s="6" t="s">
        <v>45</v>
      </c>
    </row>
    <row r="75" spans="1:9" s="1" customFormat="1">
      <c r="A75" s="10"/>
      <c r="B75" s="37"/>
      <c r="C75" s="9"/>
      <c r="D75" s="16"/>
      <c r="E75" s="17"/>
      <c r="F75" s="26"/>
      <c r="G75" s="22"/>
      <c r="H75" s="30">
        <f>106.64</f>
        <v>106.64</v>
      </c>
      <c r="I75" s="6" t="s">
        <v>15</v>
      </c>
    </row>
    <row r="76" spans="1:9" s="1" customFormat="1">
      <c r="A76" s="10"/>
      <c r="B76" s="37"/>
      <c r="C76" s="9"/>
      <c r="D76" s="16"/>
      <c r="E76" s="17"/>
      <c r="F76" s="26"/>
      <c r="G76" s="22"/>
      <c r="H76" s="30"/>
      <c r="I76" s="6"/>
    </row>
    <row r="77" spans="1:9" s="1" customFormat="1">
      <c r="A77" s="10"/>
      <c r="B77" s="37"/>
      <c r="C77" s="9" t="s">
        <v>135</v>
      </c>
      <c r="D77" s="16"/>
      <c r="E77" s="17"/>
      <c r="F77" s="26"/>
      <c r="G77" s="22"/>
      <c r="H77" s="30">
        <f>1580.38-1580.38+180</f>
        <v>180</v>
      </c>
      <c r="I77" s="6" t="s">
        <v>432</v>
      </c>
    </row>
    <row r="78" spans="1:9" s="1" customFormat="1">
      <c r="A78" s="10"/>
      <c r="B78" s="37"/>
      <c r="C78" s="9" t="s">
        <v>197</v>
      </c>
      <c r="D78" s="16"/>
      <c r="E78" s="17"/>
      <c r="F78" s="26"/>
      <c r="G78" s="22"/>
      <c r="H78" s="30">
        <f>378.12-378.12+189.06-95.53</f>
        <v>93.53</v>
      </c>
      <c r="I78" s="6" t="s">
        <v>433</v>
      </c>
    </row>
    <row r="79" spans="1:9" s="1" customFormat="1">
      <c r="A79" s="10"/>
      <c r="B79" s="37"/>
      <c r="C79" s="9"/>
      <c r="D79" s="16"/>
      <c r="E79" s="17"/>
      <c r="F79" s="26"/>
      <c r="G79" s="22"/>
      <c r="H79" s="30"/>
      <c r="I79" s="6"/>
    </row>
    <row r="80" spans="1:9" s="1" customFormat="1">
      <c r="A80" s="11" t="s">
        <v>4</v>
      </c>
      <c r="B80" s="10"/>
      <c r="C80" s="10"/>
      <c r="D80" s="18">
        <f>SUM(D73:D79)</f>
        <v>399.53</v>
      </c>
      <c r="E80" s="6"/>
      <c r="F80" s="27">
        <f>SUM(F73:F79)</f>
        <v>12</v>
      </c>
      <c r="G80" s="23"/>
      <c r="H80" s="31">
        <f>SUM(H73:H79)</f>
        <v>2338.67</v>
      </c>
      <c r="I80" s="2"/>
    </row>
    <row r="81" spans="1:9" s="1" customFormat="1" ht="15.75" thickBot="1">
      <c r="A81" s="12" t="s">
        <v>5</v>
      </c>
      <c r="B81" s="34">
        <f>SUM(D80+F80+H80)</f>
        <v>2750.2</v>
      </c>
      <c r="C81" s="33"/>
      <c r="D81" s="19"/>
      <c r="E81" s="20"/>
      <c r="F81" s="28"/>
      <c r="G81" s="24"/>
      <c r="H81" s="32"/>
      <c r="I81" s="3"/>
    </row>
    <row r="82" spans="1:9" s="1" customFormat="1">
      <c r="A82" s="43" t="s">
        <v>413</v>
      </c>
      <c r="B82" s="8" t="s">
        <v>79</v>
      </c>
      <c r="C82" s="8" t="s">
        <v>12</v>
      </c>
      <c r="D82" s="14">
        <f>7.38</f>
        <v>7.38</v>
      </c>
      <c r="E82" s="15" t="s">
        <v>16</v>
      </c>
      <c r="F82" s="25"/>
      <c r="G82" s="21"/>
      <c r="H82" s="29"/>
      <c r="I82" s="5"/>
    </row>
    <row r="83" spans="1:9" s="1" customFormat="1">
      <c r="A83" s="10"/>
      <c r="B83" s="37" t="s">
        <v>92</v>
      </c>
      <c r="C83" s="9"/>
      <c r="D83" s="16">
        <f>76.91</f>
        <v>76.91</v>
      </c>
      <c r="E83" s="17" t="s">
        <v>14</v>
      </c>
      <c r="F83" s="26"/>
      <c r="G83" s="22"/>
      <c r="H83" s="30"/>
      <c r="I83" s="6"/>
    </row>
    <row r="84" spans="1:9" s="1" customFormat="1">
      <c r="A84" s="10"/>
      <c r="B84" s="37"/>
      <c r="C84" s="9"/>
      <c r="D84" s="16"/>
      <c r="E84" s="17"/>
      <c r="F84" s="26"/>
      <c r="G84" s="22"/>
      <c r="H84" s="30"/>
      <c r="I84" s="6"/>
    </row>
    <row r="85" spans="1:9" s="1" customFormat="1">
      <c r="A85" s="11" t="s">
        <v>4</v>
      </c>
      <c r="B85" s="10"/>
      <c r="C85" s="10"/>
      <c r="D85" s="18">
        <f>SUM(D82:D84)</f>
        <v>84.289999999999992</v>
      </c>
      <c r="E85" s="6"/>
      <c r="F85" s="27">
        <f>SUM(F82:F84)</f>
        <v>0</v>
      </c>
      <c r="G85" s="23"/>
      <c r="H85" s="31">
        <f>SUM(H82:H84)</f>
        <v>0</v>
      </c>
      <c r="I85" s="2"/>
    </row>
    <row r="86" spans="1:9" s="1" customFormat="1" ht="15.75" thickBot="1">
      <c r="A86" s="12" t="s">
        <v>5</v>
      </c>
      <c r="B86" s="34">
        <f>SUM(D85+F85+H85)</f>
        <v>84.289999999999992</v>
      </c>
      <c r="C86" s="33"/>
      <c r="D86" s="19"/>
      <c r="E86" s="20"/>
      <c r="F86" s="28"/>
      <c r="G86" s="24"/>
      <c r="H86" s="32"/>
      <c r="I86" s="3"/>
    </row>
    <row r="87" spans="1:9" s="1" customFormat="1">
      <c r="A87" s="43">
        <v>41982</v>
      </c>
      <c r="B87" s="8" t="s">
        <v>37</v>
      </c>
      <c r="C87" s="8" t="s">
        <v>76</v>
      </c>
      <c r="D87" s="14"/>
      <c r="E87" s="15"/>
      <c r="F87" s="25">
        <f>15.86</f>
        <v>15.86</v>
      </c>
      <c r="G87" s="21" t="s">
        <v>42</v>
      </c>
      <c r="H87" s="29"/>
      <c r="I87" s="5"/>
    </row>
    <row r="88" spans="1:9" s="1" customFormat="1">
      <c r="A88" s="10"/>
      <c r="B88" s="37" t="s">
        <v>422</v>
      </c>
      <c r="C88" s="9"/>
      <c r="D88" s="16"/>
      <c r="E88" s="17"/>
      <c r="F88" s="26">
        <f>6.6</f>
        <v>6.6</v>
      </c>
      <c r="G88" s="22" t="s">
        <v>50</v>
      </c>
      <c r="H88" s="30"/>
      <c r="I88" s="6"/>
    </row>
    <row r="89" spans="1:9" s="1" customFormat="1">
      <c r="A89" s="10"/>
      <c r="B89" s="37"/>
      <c r="C89" s="9"/>
      <c r="D89" s="16"/>
      <c r="E89" s="17"/>
      <c r="F89" s="26"/>
      <c r="G89" s="22"/>
      <c r="H89" s="30"/>
      <c r="I89" s="6"/>
    </row>
    <row r="90" spans="1:9" s="1" customFormat="1">
      <c r="A90" s="10"/>
      <c r="B90" s="37"/>
      <c r="C90" s="9" t="s">
        <v>39</v>
      </c>
      <c r="D90" s="16">
        <v>15.5</v>
      </c>
      <c r="E90" s="17" t="s">
        <v>16</v>
      </c>
      <c r="F90" s="26">
        <f>51.7</f>
        <v>51.7</v>
      </c>
      <c r="G90" s="22" t="s">
        <v>42</v>
      </c>
      <c r="H90" s="30"/>
      <c r="I90" s="6"/>
    </row>
    <row r="91" spans="1:9" s="1" customFormat="1">
      <c r="A91" s="10"/>
      <c r="B91" s="37"/>
      <c r="C91" s="9"/>
      <c r="D91" s="16"/>
      <c r="E91" s="17"/>
      <c r="F91" s="26">
        <f>5.8</f>
        <v>5.8</v>
      </c>
      <c r="G91" s="22" t="s">
        <v>50</v>
      </c>
      <c r="H91" s="30"/>
      <c r="I91" s="6"/>
    </row>
    <row r="92" spans="1:9" s="1" customFormat="1">
      <c r="A92" s="10"/>
      <c r="B92" s="37"/>
      <c r="C92" s="9"/>
      <c r="D92" s="16"/>
      <c r="E92" s="17"/>
      <c r="F92" s="26"/>
      <c r="G92" s="22"/>
      <c r="H92" s="30"/>
      <c r="I92" s="6"/>
    </row>
    <row r="93" spans="1:9" s="1" customFormat="1">
      <c r="A93" s="11" t="s">
        <v>4</v>
      </c>
      <c r="B93" s="10"/>
      <c r="C93" s="10"/>
      <c r="D93" s="18">
        <f>SUM(D87:D92)</f>
        <v>15.5</v>
      </c>
      <c r="E93" s="6"/>
      <c r="F93" s="27">
        <f>SUM(F87:F92)</f>
        <v>79.959999999999994</v>
      </c>
      <c r="G93" s="23"/>
      <c r="H93" s="31">
        <f>SUM(H87:H92)</f>
        <v>0</v>
      </c>
      <c r="I93" s="2"/>
    </row>
    <row r="94" spans="1:9" s="1" customFormat="1" ht="15.75" thickBot="1">
      <c r="A94" s="12" t="s">
        <v>5</v>
      </c>
      <c r="B94" s="34">
        <f>SUM(D93+F93+H93)</f>
        <v>95.46</v>
      </c>
      <c r="C94" s="33"/>
      <c r="D94" s="19"/>
      <c r="E94" s="20"/>
      <c r="F94" s="28"/>
      <c r="G94" s="24"/>
      <c r="H94" s="32"/>
      <c r="I94" s="3"/>
    </row>
    <row r="95" spans="1:9" s="1" customFormat="1">
      <c r="A95" s="43">
        <v>41984</v>
      </c>
      <c r="B95" s="8" t="s">
        <v>438</v>
      </c>
      <c r="C95" s="8" t="s">
        <v>9</v>
      </c>
      <c r="D95" s="14">
        <v>52.4</v>
      </c>
      <c r="E95" s="15" t="s">
        <v>16</v>
      </c>
      <c r="F95" s="25"/>
      <c r="G95" s="21"/>
      <c r="H95" s="29"/>
      <c r="I95" s="5"/>
    </row>
    <row r="96" spans="1:9" s="1" customFormat="1">
      <c r="A96" s="10"/>
      <c r="B96" s="37" t="s">
        <v>439</v>
      </c>
      <c r="C96" s="9"/>
      <c r="D96" s="16">
        <f>37.45</f>
        <v>37.450000000000003</v>
      </c>
      <c r="E96" s="17" t="s">
        <v>14</v>
      </c>
      <c r="F96" s="26"/>
      <c r="G96" s="22"/>
      <c r="H96" s="30"/>
      <c r="I96" s="6"/>
    </row>
    <row r="97" spans="1:9" s="1" customFormat="1">
      <c r="A97" s="10"/>
      <c r="B97" s="37"/>
      <c r="C97" s="9"/>
      <c r="D97" s="16"/>
      <c r="E97" s="17"/>
      <c r="F97" s="26"/>
      <c r="G97" s="22"/>
      <c r="H97" s="30"/>
      <c r="I97" s="6"/>
    </row>
    <row r="98" spans="1:9" s="1" customFormat="1">
      <c r="A98" s="11" t="s">
        <v>4</v>
      </c>
      <c r="B98" s="10"/>
      <c r="C98" s="10"/>
      <c r="D98" s="18">
        <f>SUM(D95:D97)</f>
        <v>89.85</v>
      </c>
      <c r="E98" s="6"/>
      <c r="F98" s="27">
        <f>SUM(F95:F97)</f>
        <v>0</v>
      </c>
      <c r="G98" s="23"/>
      <c r="H98" s="31">
        <f>SUM(H95:H97)</f>
        <v>0</v>
      </c>
      <c r="I98" s="2"/>
    </row>
    <row r="99" spans="1:9" s="1" customFormat="1" ht="15.75" thickBot="1">
      <c r="A99" s="12" t="s">
        <v>5</v>
      </c>
      <c r="B99" s="34">
        <f>SUM(D98+F98+H98)</f>
        <v>89.85</v>
      </c>
      <c r="C99" s="33"/>
      <c r="D99" s="19"/>
      <c r="E99" s="20"/>
      <c r="F99" s="28"/>
      <c r="G99" s="24"/>
      <c r="H99" s="32"/>
      <c r="I99" s="3"/>
    </row>
    <row r="100" spans="1:9" s="1" customFormat="1">
      <c r="A100" s="43">
        <v>41985</v>
      </c>
      <c r="B100" s="8" t="s">
        <v>427</v>
      </c>
      <c r="C100" s="8" t="s">
        <v>428</v>
      </c>
      <c r="D100" s="14"/>
      <c r="E100" s="15"/>
      <c r="F100" s="25"/>
      <c r="G100" s="21"/>
      <c r="H100" s="29">
        <f>198.21+236.57-236.57+50-198.21</f>
        <v>49.999999999999972</v>
      </c>
      <c r="I100" s="5" t="s">
        <v>432</v>
      </c>
    </row>
    <row r="101" spans="1:9" s="1" customFormat="1">
      <c r="A101" s="10"/>
      <c r="B101" s="37" t="s">
        <v>380</v>
      </c>
      <c r="C101" s="9"/>
      <c r="D101" s="16"/>
      <c r="E101" s="17"/>
      <c r="F101" s="26"/>
      <c r="G101" s="22"/>
      <c r="H101" s="30"/>
      <c r="I101" s="6"/>
    </row>
    <row r="102" spans="1:9" s="1" customFormat="1">
      <c r="A102" s="11" t="s">
        <v>4</v>
      </c>
      <c r="B102" s="10"/>
      <c r="C102" s="10"/>
      <c r="D102" s="18">
        <f>SUM(D100:D101)</f>
        <v>0</v>
      </c>
      <c r="E102" s="6"/>
      <c r="F102" s="27">
        <f>SUM(F100:F101)</f>
        <v>0</v>
      </c>
      <c r="G102" s="23"/>
      <c r="H102" s="31">
        <f>SUM(H100:H101)</f>
        <v>49.999999999999972</v>
      </c>
      <c r="I102" s="2"/>
    </row>
    <row r="103" spans="1:9" s="1" customFormat="1" ht="15.75" thickBot="1">
      <c r="A103" s="12" t="s">
        <v>5</v>
      </c>
      <c r="B103" s="34">
        <f>SUM(D102+F102+H102)</f>
        <v>49.999999999999972</v>
      </c>
      <c r="C103" s="33"/>
      <c r="D103" s="19"/>
      <c r="E103" s="20"/>
      <c r="F103" s="28"/>
      <c r="G103" s="24"/>
      <c r="H103" s="32"/>
      <c r="I103" s="3"/>
    </row>
    <row r="104" spans="1:9" s="1" customFormat="1">
      <c r="A104" s="43" t="s">
        <v>416</v>
      </c>
      <c r="B104" s="8" t="s">
        <v>34</v>
      </c>
      <c r="C104" s="8" t="s">
        <v>231</v>
      </c>
      <c r="D104" s="14">
        <f>19.71+48.22+2.41</f>
        <v>70.34</v>
      </c>
      <c r="E104" s="15" t="s">
        <v>16</v>
      </c>
      <c r="F104" s="25"/>
      <c r="G104" s="21"/>
      <c r="H104" s="29">
        <f>1221.63</f>
        <v>1221.6300000000001</v>
      </c>
      <c r="I104" s="5" t="s">
        <v>67</v>
      </c>
    </row>
    <row r="105" spans="1:9" s="1" customFormat="1">
      <c r="A105" s="10"/>
      <c r="B105" s="37" t="s">
        <v>19</v>
      </c>
      <c r="C105" s="9"/>
      <c r="D105" s="16">
        <f>21.57+39.67</f>
        <v>61.24</v>
      </c>
      <c r="E105" s="17" t="s">
        <v>14</v>
      </c>
      <c r="F105" s="26"/>
      <c r="G105" s="22"/>
      <c r="H105" s="30">
        <f>354.96</f>
        <v>354.96</v>
      </c>
      <c r="I105" s="6" t="s">
        <v>45</v>
      </c>
    </row>
    <row r="106" spans="1:9" s="1" customFormat="1">
      <c r="A106" s="10"/>
      <c r="B106" s="37"/>
      <c r="C106" s="9"/>
      <c r="D106" s="16">
        <f>63.15</f>
        <v>63.15</v>
      </c>
      <c r="E106" s="17" t="s">
        <v>29</v>
      </c>
      <c r="F106" s="26"/>
      <c r="G106" s="22"/>
      <c r="H106" s="30"/>
      <c r="I106" s="6"/>
    </row>
    <row r="107" spans="1:9" s="1" customFormat="1">
      <c r="A107" s="10"/>
      <c r="B107" s="37"/>
      <c r="C107" s="9"/>
      <c r="D107" s="16"/>
      <c r="E107" s="17"/>
      <c r="F107" s="26"/>
      <c r="G107" s="22"/>
      <c r="H107" s="30"/>
      <c r="I107" s="6"/>
    </row>
    <row r="108" spans="1:9" s="1" customFormat="1">
      <c r="A108" s="10"/>
      <c r="B108" s="37"/>
      <c r="C108" s="9" t="s">
        <v>369</v>
      </c>
      <c r="D108" s="16">
        <f>80.52</f>
        <v>80.52</v>
      </c>
      <c r="E108" s="17" t="s">
        <v>16</v>
      </c>
      <c r="F108" s="26"/>
      <c r="G108" s="22"/>
      <c r="H108" s="30">
        <f>356.45</f>
        <v>356.45</v>
      </c>
      <c r="I108" s="6" t="s">
        <v>67</v>
      </c>
    </row>
    <row r="109" spans="1:9" s="1" customFormat="1">
      <c r="A109" s="10"/>
      <c r="B109" s="37"/>
      <c r="C109" s="9"/>
      <c r="D109" s="16">
        <f>154</f>
        <v>154</v>
      </c>
      <c r="E109" s="17" t="s">
        <v>14</v>
      </c>
      <c r="F109" s="26"/>
      <c r="G109" s="22"/>
      <c r="H109" s="30">
        <f>354.96</f>
        <v>354.96</v>
      </c>
      <c r="I109" s="6" t="s">
        <v>45</v>
      </c>
    </row>
    <row r="110" spans="1:9" s="1" customFormat="1">
      <c r="A110" s="10"/>
      <c r="B110" s="37"/>
      <c r="C110" s="9"/>
      <c r="D110" s="16">
        <f>20.09</f>
        <v>20.09</v>
      </c>
      <c r="E110" s="17" t="s">
        <v>29</v>
      </c>
      <c r="F110" s="26"/>
      <c r="G110" s="22"/>
      <c r="H110" s="30"/>
      <c r="I110" s="6"/>
    </row>
    <row r="111" spans="1:9" s="1" customFormat="1">
      <c r="A111" s="10"/>
      <c r="B111" s="37"/>
      <c r="C111" s="9"/>
      <c r="D111" s="16"/>
      <c r="E111" s="17"/>
      <c r="F111" s="26"/>
      <c r="G111" s="22"/>
      <c r="H111" s="30"/>
      <c r="I111" s="6"/>
    </row>
    <row r="112" spans="1:9" s="1" customFormat="1">
      <c r="A112" s="10"/>
      <c r="B112" s="37"/>
      <c r="C112" s="9" t="s">
        <v>135</v>
      </c>
      <c r="D112" s="16">
        <f>4.5+216.88</f>
        <v>221.38</v>
      </c>
      <c r="E112" s="17" t="s">
        <v>16</v>
      </c>
      <c r="F112" s="26">
        <f>5.62</f>
        <v>5.62</v>
      </c>
      <c r="G112" s="22" t="s">
        <v>42</v>
      </c>
      <c r="H112" s="30">
        <f>2207.13</f>
        <v>2207.13</v>
      </c>
      <c r="I112" s="6" t="s">
        <v>67</v>
      </c>
    </row>
    <row r="113" spans="1:9" s="1" customFormat="1">
      <c r="A113" s="10"/>
      <c r="B113" s="37"/>
      <c r="C113" s="9"/>
      <c r="D113" s="16">
        <f>18.46</f>
        <v>18.46</v>
      </c>
      <c r="E113" s="17" t="s">
        <v>14</v>
      </c>
      <c r="F113" s="26">
        <f>45</f>
        <v>45</v>
      </c>
      <c r="G113" s="22" t="s">
        <v>43</v>
      </c>
      <c r="H113" s="30">
        <f>199.92</f>
        <v>199.92</v>
      </c>
      <c r="I113" s="6" t="s">
        <v>45</v>
      </c>
    </row>
    <row r="114" spans="1:9" s="1" customFormat="1">
      <c r="A114" s="10"/>
      <c r="B114" s="37"/>
      <c r="C114" s="9"/>
      <c r="D114" s="16">
        <f>14.9</f>
        <v>14.9</v>
      </c>
      <c r="E114" s="17" t="s">
        <v>29</v>
      </c>
      <c r="F114" s="26"/>
      <c r="G114" s="22"/>
      <c r="H114" s="30"/>
      <c r="I114" s="6"/>
    </row>
    <row r="115" spans="1:9" s="1" customFormat="1">
      <c r="A115" s="10"/>
      <c r="B115" s="37"/>
      <c r="C115" s="9"/>
      <c r="D115" s="16"/>
      <c r="E115" s="17"/>
      <c r="F115" s="26"/>
      <c r="G115" s="22"/>
      <c r="H115" s="30"/>
      <c r="I115" s="6"/>
    </row>
    <row r="116" spans="1:9" s="1" customFormat="1">
      <c r="A116" s="11" t="s">
        <v>4</v>
      </c>
      <c r="B116" s="10"/>
      <c r="C116" s="10"/>
      <c r="D116" s="18">
        <f>SUM(D104:D115)</f>
        <v>704.08</v>
      </c>
      <c r="E116" s="6"/>
      <c r="F116" s="27">
        <f>SUM(F104:F115)</f>
        <v>50.62</v>
      </c>
      <c r="G116" s="23"/>
      <c r="H116" s="31">
        <f>SUM(H104:H115)</f>
        <v>4695.05</v>
      </c>
      <c r="I116" s="2"/>
    </row>
    <row r="117" spans="1:9" s="1" customFormat="1" ht="15.75" thickBot="1">
      <c r="A117" s="12" t="s">
        <v>5</v>
      </c>
      <c r="B117" s="34">
        <f>SUM(D116+F116+H116)</f>
        <v>5449.75</v>
      </c>
      <c r="C117" s="33"/>
      <c r="D117" s="19"/>
      <c r="E117" s="20"/>
      <c r="F117" s="28"/>
      <c r="G117" s="24"/>
      <c r="H117" s="32"/>
      <c r="I117" s="3"/>
    </row>
    <row r="118" spans="1:9" s="1" customFormat="1">
      <c r="A118" s="43" t="s">
        <v>418</v>
      </c>
      <c r="B118" s="8" t="s">
        <v>34</v>
      </c>
      <c r="C118" s="8" t="s">
        <v>20</v>
      </c>
      <c r="D118" s="14">
        <f>92.68+27.15</f>
        <v>119.83000000000001</v>
      </c>
      <c r="E118" s="15" t="s">
        <v>16</v>
      </c>
      <c r="F118" s="25">
        <f>1.45</f>
        <v>1.45</v>
      </c>
      <c r="G118" s="21" t="s">
        <v>43</v>
      </c>
      <c r="H118" s="29">
        <f>948.21+1189.37</f>
        <v>2137.58</v>
      </c>
      <c r="I118" s="5" t="s">
        <v>67</v>
      </c>
    </row>
    <row r="119" spans="1:9" s="1" customFormat="1">
      <c r="A119" s="10"/>
      <c r="B119" s="37" t="s">
        <v>212</v>
      </c>
      <c r="C119" s="9"/>
      <c r="D119" s="16">
        <f>52.75</f>
        <v>52.75</v>
      </c>
      <c r="E119" s="17" t="s">
        <v>14</v>
      </c>
      <c r="F119" s="26">
        <f>7.8</f>
        <v>7.8</v>
      </c>
      <c r="G119" s="22" t="s">
        <v>191</v>
      </c>
      <c r="H119" s="30">
        <f>1116.22</f>
        <v>1116.22</v>
      </c>
      <c r="I119" s="6" t="s">
        <v>45</v>
      </c>
    </row>
    <row r="120" spans="1:9" s="1" customFormat="1">
      <c r="A120" s="10"/>
      <c r="B120" s="37"/>
      <c r="C120" s="9"/>
      <c r="D120" s="16">
        <f>5</f>
        <v>5</v>
      </c>
      <c r="E120" s="17" t="s">
        <v>29</v>
      </c>
      <c r="F120" s="26"/>
      <c r="G120" s="22"/>
      <c r="H120" s="30">
        <f>435.05</f>
        <v>435.05</v>
      </c>
      <c r="I120" s="6" t="s">
        <v>15</v>
      </c>
    </row>
    <row r="121" spans="1:9" s="1" customFormat="1">
      <c r="A121" s="10"/>
      <c r="B121" s="37"/>
      <c r="C121" s="9"/>
      <c r="D121" s="16"/>
      <c r="E121" s="17"/>
      <c r="F121" s="26"/>
      <c r="G121" s="22"/>
      <c r="H121" s="30"/>
      <c r="I121" s="6"/>
    </row>
    <row r="122" spans="1:9" s="1" customFormat="1">
      <c r="A122" s="10"/>
      <c r="B122" s="37"/>
      <c r="C122" s="9" t="s">
        <v>277</v>
      </c>
      <c r="D122" s="16">
        <f>29.65+155.35</f>
        <v>185</v>
      </c>
      <c r="E122" s="17" t="s">
        <v>16</v>
      </c>
      <c r="F122" s="26">
        <f>53.06</f>
        <v>53.06</v>
      </c>
      <c r="G122" s="22" t="s">
        <v>42</v>
      </c>
      <c r="H122" s="30">
        <f>2022.31</f>
        <v>2022.31</v>
      </c>
      <c r="I122" s="6" t="s">
        <v>67</v>
      </c>
    </row>
    <row r="123" spans="1:9" s="1" customFormat="1">
      <c r="A123" s="10"/>
      <c r="B123" s="37"/>
      <c r="C123" s="9"/>
      <c r="D123" s="16">
        <f>185.19</f>
        <v>185.19</v>
      </c>
      <c r="E123" s="17" t="s">
        <v>14</v>
      </c>
      <c r="F123" s="26"/>
      <c r="G123" s="22"/>
      <c r="H123" s="30">
        <f>951.48</f>
        <v>951.48</v>
      </c>
      <c r="I123" s="6" t="s">
        <v>45</v>
      </c>
    </row>
    <row r="124" spans="1:9" s="1" customFormat="1">
      <c r="A124" s="10"/>
      <c r="B124" s="37"/>
      <c r="C124" s="9"/>
      <c r="D124" s="16">
        <f>120+30.86</f>
        <v>150.86000000000001</v>
      </c>
      <c r="E124" s="17" t="s">
        <v>29</v>
      </c>
      <c r="F124" s="26"/>
      <c r="G124" s="22"/>
      <c r="H124" s="30">
        <f>234.62</f>
        <v>234.62</v>
      </c>
      <c r="I124" s="6" t="s">
        <v>15</v>
      </c>
    </row>
    <row r="125" spans="1:9" s="1" customFormat="1">
      <c r="A125" s="10"/>
      <c r="B125" s="37"/>
      <c r="C125" s="9"/>
      <c r="D125" s="16"/>
      <c r="E125" s="17"/>
      <c r="F125" s="26"/>
      <c r="G125" s="22"/>
      <c r="H125" s="30"/>
      <c r="I125" s="6"/>
    </row>
    <row r="126" spans="1:9" s="1" customFormat="1">
      <c r="A126" s="10"/>
      <c r="B126" s="37"/>
      <c r="C126" s="9" t="s">
        <v>77</v>
      </c>
      <c r="D126" s="16"/>
      <c r="E126" s="17"/>
      <c r="F126" s="26"/>
      <c r="G126" s="22"/>
      <c r="H126" s="30">
        <f>478.38</f>
        <v>478.38</v>
      </c>
      <c r="I126" s="6" t="s">
        <v>45</v>
      </c>
    </row>
    <row r="127" spans="1:9" s="1" customFormat="1">
      <c r="A127" s="10"/>
      <c r="B127" s="37"/>
      <c r="C127" s="9"/>
      <c r="D127" s="16"/>
      <c r="E127" s="17"/>
      <c r="F127" s="26"/>
      <c r="G127" s="22"/>
      <c r="H127" s="30"/>
      <c r="I127" s="6"/>
    </row>
    <row r="128" spans="1:9" s="1" customFormat="1">
      <c r="A128" s="11" t="s">
        <v>4</v>
      </c>
      <c r="B128" s="10"/>
      <c r="C128" s="10"/>
      <c r="D128" s="18">
        <f>SUM(D118:D127)</f>
        <v>698.63</v>
      </c>
      <c r="E128" s="6"/>
      <c r="F128" s="27">
        <f>SUM(F118:F127)</f>
        <v>62.31</v>
      </c>
      <c r="G128" s="23"/>
      <c r="H128" s="31">
        <f>SUM(H118:H127)</f>
        <v>7375.6399999999994</v>
      </c>
      <c r="I128" s="2"/>
    </row>
    <row r="129" spans="1:9" s="1" customFormat="1" ht="15.75" thickBot="1">
      <c r="A129" s="12" t="s">
        <v>5</v>
      </c>
      <c r="B129" s="34">
        <f>SUM(D128+F128+H128)</f>
        <v>8136.58</v>
      </c>
      <c r="C129" s="33"/>
      <c r="D129" s="19"/>
      <c r="E129" s="20"/>
      <c r="F129" s="28"/>
      <c r="G129" s="24"/>
      <c r="H129" s="32"/>
      <c r="I129" s="3"/>
    </row>
    <row r="130" spans="1:9" s="1" customFormat="1">
      <c r="A130" s="43" t="s">
        <v>419</v>
      </c>
      <c r="B130" s="8" t="s">
        <v>55</v>
      </c>
      <c r="C130" s="8" t="s">
        <v>77</v>
      </c>
      <c r="D130" s="14"/>
      <c r="E130" s="15" t="s">
        <v>16</v>
      </c>
      <c r="F130" s="25"/>
      <c r="G130" s="21"/>
      <c r="H130" s="29">
        <f>1207.69</f>
        <v>1207.69</v>
      </c>
      <c r="I130" s="5" t="s">
        <v>67</v>
      </c>
    </row>
    <row r="131" spans="1:9" s="1" customFormat="1">
      <c r="A131" s="10"/>
      <c r="B131" s="37" t="s">
        <v>420</v>
      </c>
      <c r="C131" s="9"/>
      <c r="D131" s="16"/>
      <c r="E131" s="17" t="s">
        <v>14</v>
      </c>
      <c r="F131" s="26"/>
      <c r="G131" s="22"/>
      <c r="H131" s="30">
        <f>439.89</f>
        <v>439.89</v>
      </c>
      <c r="I131" s="6" t="s">
        <v>45</v>
      </c>
    </row>
    <row r="132" spans="1:9" s="1" customFormat="1">
      <c r="A132" s="10"/>
      <c r="B132" s="37"/>
      <c r="C132" s="9"/>
      <c r="D132" s="16"/>
      <c r="E132" s="17" t="s">
        <v>29</v>
      </c>
      <c r="F132" s="26"/>
      <c r="G132" s="22"/>
      <c r="H132" s="30">
        <v>221.87</v>
      </c>
      <c r="I132" s="6" t="s">
        <v>15</v>
      </c>
    </row>
    <row r="133" spans="1:9" s="1" customFormat="1">
      <c r="A133" s="10"/>
      <c r="B133" s="37"/>
      <c r="C133" s="9"/>
      <c r="D133" s="16"/>
      <c r="E133" s="17"/>
      <c r="F133" s="26"/>
      <c r="G133" s="22"/>
      <c r="H133" s="30"/>
      <c r="I133" s="6"/>
    </row>
    <row r="134" spans="1:9" s="1" customFormat="1">
      <c r="A134" s="10"/>
      <c r="B134" s="37"/>
      <c r="C134" s="9" t="s">
        <v>39</v>
      </c>
      <c r="D134" s="16">
        <f>21.1+56.46+397.69</f>
        <v>475.25</v>
      </c>
      <c r="E134" s="17" t="s">
        <v>16</v>
      </c>
      <c r="F134" s="26">
        <f>51.7</f>
        <v>51.7</v>
      </c>
      <c r="G134" s="22" t="s">
        <v>42</v>
      </c>
      <c r="H134" s="30">
        <f>1549.67</f>
        <v>1549.67</v>
      </c>
      <c r="I134" s="6" t="s">
        <v>67</v>
      </c>
    </row>
    <row r="135" spans="1:9" s="1" customFormat="1">
      <c r="A135" s="10"/>
      <c r="B135" s="37"/>
      <c r="C135" s="9"/>
      <c r="D135" s="16">
        <f>16.25+68.6</f>
        <v>84.85</v>
      </c>
      <c r="E135" s="17" t="s">
        <v>14</v>
      </c>
      <c r="F135" s="26">
        <v>5.8</v>
      </c>
      <c r="G135" s="22" t="s">
        <v>50</v>
      </c>
      <c r="H135" s="30">
        <f>439.89</f>
        <v>439.89</v>
      </c>
      <c r="I135" s="6" t="s">
        <v>45</v>
      </c>
    </row>
    <row r="136" spans="1:9" s="1" customFormat="1">
      <c r="A136" s="10"/>
      <c r="B136" s="37"/>
      <c r="C136" s="9"/>
      <c r="D136" s="16">
        <v>10</v>
      </c>
      <c r="E136" s="17" t="s">
        <v>397</v>
      </c>
      <c r="F136" s="26">
        <f>45</f>
        <v>45</v>
      </c>
      <c r="G136" s="22" t="s">
        <v>43</v>
      </c>
      <c r="H136" s="30">
        <f>61.09</f>
        <v>61.09</v>
      </c>
      <c r="I136" s="6" t="s">
        <v>15</v>
      </c>
    </row>
    <row r="137" spans="1:9" s="1" customFormat="1">
      <c r="A137" s="10"/>
      <c r="B137" s="37"/>
      <c r="C137" s="9"/>
      <c r="D137" s="16"/>
      <c r="E137" s="17"/>
      <c r="F137" s="26"/>
      <c r="G137" s="22"/>
      <c r="H137" s="30"/>
      <c r="I137" s="6"/>
    </row>
    <row r="138" spans="1:9" s="1" customFormat="1">
      <c r="A138" s="11" t="s">
        <v>4</v>
      </c>
      <c r="B138" s="10"/>
      <c r="C138" s="10"/>
      <c r="D138" s="18">
        <f>SUM(D130:D137)</f>
        <v>570.1</v>
      </c>
      <c r="E138" s="6"/>
      <c r="F138" s="27">
        <f>SUM(F130:F137)</f>
        <v>102.5</v>
      </c>
      <c r="G138" s="23"/>
      <c r="H138" s="31">
        <f>SUM(H130:H137)</f>
        <v>3920.1</v>
      </c>
      <c r="I138" s="2"/>
    </row>
    <row r="139" spans="1:9" s="1" customFormat="1" ht="15.75" thickBot="1">
      <c r="A139" s="12" t="s">
        <v>5</v>
      </c>
      <c r="B139" s="34">
        <f>SUM(D138+F138+H138)</f>
        <v>4592.7</v>
      </c>
      <c r="C139" s="33"/>
      <c r="D139" s="19"/>
      <c r="E139" s="20"/>
      <c r="F139" s="28"/>
      <c r="G139" s="24"/>
      <c r="H139" s="32"/>
      <c r="I139" s="3"/>
    </row>
    <row r="140" spans="1:9" s="1" customFormat="1">
      <c r="A140" s="43">
        <v>41988</v>
      </c>
      <c r="B140" s="8" t="s">
        <v>79</v>
      </c>
      <c r="C140" s="8" t="s">
        <v>57</v>
      </c>
      <c r="D140" s="14">
        <f>5.5+115.12</f>
        <v>120.62</v>
      </c>
      <c r="E140" s="15" t="s">
        <v>16</v>
      </c>
      <c r="F140" s="25">
        <v>24</v>
      </c>
      <c r="G140" s="21" t="s">
        <v>191</v>
      </c>
      <c r="H140" s="29">
        <f>673.86</f>
        <v>673.86</v>
      </c>
      <c r="I140" s="5" t="s">
        <v>67</v>
      </c>
    </row>
    <row r="141" spans="1:9" s="1" customFormat="1">
      <c r="A141" s="10"/>
      <c r="B141" s="37" t="s">
        <v>399</v>
      </c>
      <c r="C141" s="9"/>
      <c r="D141" s="16">
        <f>15.1+92.79</f>
        <v>107.89</v>
      </c>
      <c r="E141" s="17" t="s">
        <v>14</v>
      </c>
      <c r="F141" s="26"/>
      <c r="G141" s="22"/>
      <c r="H141" s="30"/>
      <c r="I141" s="6"/>
    </row>
    <row r="142" spans="1:9" s="1" customFormat="1">
      <c r="A142" s="10"/>
      <c r="B142" s="37"/>
      <c r="C142" s="9"/>
      <c r="D142" s="16"/>
      <c r="E142" s="17"/>
      <c r="F142" s="26"/>
      <c r="G142" s="22"/>
      <c r="H142" s="30"/>
      <c r="I142" s="6"/>
    </row>
    <row r="143" spans="1:9" s="1" customFormat="1">
      <c r="A143" s="10"/>
      <c r="B143" s="37"/>
      <c r="C143" s="9" t="s">
        <v>9</v>
      </c>
      <c r="D143" s="16"/>
      <c r="E143" s="17"/>
      <c r="F143" s="26">
        <f>18</f>
        <v>18</v>
      </c>
      <c r="G143" s="22" t="s">
        <v>32</v>
      </c>
      <c r="H143" s="30">
        <f>673.86</f>
        <v>673.86</v>
      </c>
      <c r="I143" s="6" t="s">
        <v>67</v>
      </c>
    </row>
    <row r="144" spans="1:9" s="1" customFormat="1">
      <c r="A144" s="10"/>
      <c r="B144" s="37"/>
      <c r="C144" s="9"/>
      <c r="D144" s="16"/>
      <c r="E144" s="17"/>
      <c r="F144" s="26"/>
      <c r="G144" s="22"/>
      <c r="H144" s="30"/>
      <c r="I144" s="6"/>
    </row>
    <row r="145" spans="1:9" s="1" customFormat="1">
      <c r="A145" s="10"/>
      <c r="B145" s="37"/>
      <c r="C145" s="9" t="s">
        <v>426</v>
      </c>
      <c r="D145" s="16"/>
      <c r="E145" s="17"/>
      <c r="F145" s="26"/>
      <c r="G145" s="22"/>
      <c r="H145" s="30">
        <f>673.86</f>
        <v>673.86</v>
      </c>
      <c r="I145" s="6" t="s">
        <v>67</v>
      </c>
    </row>
    <row r="146" spans="1:9" s="1" customFormat="1">
      <c r="A146" s="10"/>
      <c r="B146" s="37"/>
      <c r="C146" s="9"/>
      <c r="D146" s="16"/>
      <c r="E146" s="17"/>
      <c r="F146" s="26"/>
      <c r="G146" s="22"/>
      <c r="H146" s="30"/>
      <c r="I146" s="6"/>
    </row>
    <row r="147" spans="1:9" s="1" customFormat="1">
      <c r="A147" s="11" t="s">
        <v>4</v>
      </c>
      <c r="B147" s="10"/>
      <c r="C147" s="10"/>
      <c r="D147" s="18">
        <f>SUM(D140:D146)</f>
        <v>228.51</v>
      </c>
      <c r="E147" s="6"/>
      <c r="F147" s="27">
        <f>SUM(F140:F146)</f>
        <v>42</v>
      </c>
      <c r="G147" s="23"/>
      <c r="H147" s="31">
        <f>SUM(H140:H146)</f>
        <v>2021.58</v>
      </c>
      <c r="I147" s="2"/>
    </row>
    <row r="148" spans="1:9" s="1" customFormat="1" ht="15.75" thickBot="1">
      <c r="A148" s="12" t="s">
        <v>5</v>
      </c>
      <c r="B148" s="34">
        <f>SUM(D147+F147+H147)</f>
        <v>2292.09</v>
      </c>
      <c r="C148" s="33"/>
      <c r="D148" s="19"/>
      <c r="E148" s="20"/>
      <c r="F148" s="28"/>
      <c r="G148" s="24"/>
      <c r="H148" s="32"/>
      <c r="I148" s="3"/>
    </row>
    <row r="149" spans="1:9" s="1" customFormat="1">
      <c r="A149" s="43" t="s">
        <v>434</v>
      </c>
      <c r="B149" s="8" t="s">
        <v>37</v>
      </c>
      <c r="C149" s="8" t="s">
        <v>11</v>
      </c>
      <c r="D149" s="14">
        <f>11.97+99.81</f>
        <v>111.78</v>
      </c>
      <c r="E149" s="15" t="s">
        <v>16</v>
      </c>
      <c r="F149" s="25">
        <f>20.86</f>
        <v>20.86</v>
      </c>
      <c r="G149" s="21" t="s">
        <v>32</v>
      </c>
      <c r="H149" s="29">
        <f>283.23</f>
        <v>283.23</v>
      </c>
      <c r="I149" s="5" t="s">
        <v>67</v>
      </c>
    </row>
    <row r="150" spans="1:9" s="1" customFormat="1">
      <c r="A150" s="10"/>
      <c r="B150" s="37" t="s">
        <v>175</v>
      </c>
      <c r="C150" s="9"/>
      <c r="D150" s="16">
        <f>6.88+32.43</f>
        <v>39.31</v>
      </c>
      <c r="E150" s="17" t="s">
        <v>14</v>
      </c>
      <c r="F150" s="26"/>
      <c r="G150" s="22"/>
      <c r="H150" s="30">
        <f>156.49+165.16-156.49+156.49</f>
        <v>321.64999999999998</v>
      </c>
      <c r="I150" s="6" t="s">
        <v>45</v>
      </c>
    </row>
    <row r="151" spans="1:9" s="1" customFormat="1">
      <c r="A151" s="10"/>
      <c r="B151" s="37"/>
      <c r="C151" s="9"/>
      <c r="D151" s="16">
        <f>1.89</f>
        <v>1.89</v>
      </c>
      <c r="E151" s="17" t="s">
        <v>29</v>
      </c>
      <c r="F151" s="26"/>
      <c r="G151" s="22"/>
      <c r="H151" s="30">
        <f>112.04</f>
        <v>112.04</v>
      </c>
      <c r="I151" s="6" t="s">
        <v>15</v>
      </c>
    </row>
    <row r="152" spans="1:9" s="1" customFormat="1">
      <c r="A152" s="10"/>
      <c r="B152" s="37"/>
      <c r="C152" s="9"/>
      <c r="D152" s="16"/>
      <c r="E152" s="17"/>
      <c r="F152" s="26"/>
      <c r="G152" s="22"/>
      <c r="H152" s="30"/>
      <c r="I152" s="6"/>
    </row>
    <row r="153" spans="1:9" s="1" customFormat="1">
      <c r="A153" s="11" t="s">
        <v>4</v>
      </c>
      <c r="B153" s="10"/>
      <c r="C153" s="10"/>
      <c r="D153" s="18">
        <f>SUM(D149:D152)</f>
        <v>152.97999999999999</v>
      </c>
      <c r="E153" s="6"/>
      <c r="F153" s="27">
        <f>SUM(F149:F152)</f>
        <v>20.86</v>
      </c>
      <c r="G153" s="23"/>
      <c r="H153" s="31">
        <f>SUM(H149:H152)</f>
        <v>716.92</v>
      </c>
      <c r="I153" s="2"/>
    </row>
    <row r="154" spans="1:9" s="1" customFormat="1" ht="15.75" thickBot="1">
      <c r="A154" s="12" t="s">
        <v>5</v>
      </c>
      <c r="B154" s="34">
        <f>SUM(D153+F153+H153)</f>
        <v>890.76</v>
      </c>
      <c r="C154" s="33"/>
      <c r="D154" s="19"/>
      <c r="E154" s="20"/>
      <c r="F154" s="28"/>
      <c r="G154" s="24"/>
      <c r="H154" s="32"/>
      <c r="I154" s="3"/>
    </row>
    <row r="155" spans="1:9" s="1" customFormat="1">
      <c r="A155" s="43">
        <v>41989</v>
      </c>
      <c r="B155" s="8" t="s">
        <v>79</v>
      </c>
      <c r="C155" s="8" t="s">
        <v>366</v>
      </c>
      <c r="D155" s="14"/>
      <c r="E155" s="15"/>
      <c r="F155" s="25"/>
      <c r="G155" s="21"/>
      <c r="H155" s="29">
        <f>376.77</f>
        <v>376.77</v>
      </c>
      <c r="I155" s="5" t="s">
        <v>67</v>
      </c>
    </row>
    <row r="156" spans="1:9" s="1" customFormat="1">
      <c r="A156" s="10"/>
      <c r="B156" s="37" t="s">
        <v>380</v>
      </c>
      <c r="C156" s="9"/>
      <c r="D156" s="16"/>
      <c r="E156" s="17"/>
      <c r="F156" s="26"/>
      <c r="G156" s="22"/>
      <c r="H156" s="30">
        <f>189</f>
        <v>189</v>
      </c>
      <c r="I156" s="6" t="s">
        <v>45</v>
      </c>
    </row>
    <row r="157" spans="1:9" s="1" customFormat="1">
      <c r="A157" s="10"/>
      <c r="B157" s="37"/>
      <c r="C157" s="9"/>
      <c r="D157" s="16"/>
      <c r="E157" s="17"/>
      <c r="F157" s="26"/>
      <c r="G157" s="22"/>
      <c r="H157" s="30"/>
      <c r="I157" s="6"/>
    </row>
    <row r="158" spans="1:9" s="1" customFormat="1">
      <c r="A158" s="49">
        <v>41990</v>
      </c>
      <c r="B158" s="37"/>
      <c r="C158" s="9" t="s">
        <v>367</v>
      </c>
      <c r="D158" s="16"/>
      <c r="E158" s="17"/>
      <c r="F158" s="26"/>
      <c r="G158" s="22"/>
      <c r="H158" s="30">
        <f>381.43</f>
        <v>381.43</v>
      </c>
      <c r="I158" s="6" t="s">
        <v>67</v>
      </c>
    </row>
    <row r="159" spans="1:9" s="1" customFormat="1">
      <c r="A159" s="10"/>
      <c r="B159" s="37"/>
      <c r="C159" s="9"/>
      <c r="D159" s="16"/>
      <c r="E159" s="17"/>
      <c r="F159" s="26"/>
      <c r="G159" s="22"/>
      <c r="H159" s="30">
        <f>189</f>
        <v>189</v>
      </c>
      <c r="I159" s="6" t="s">
        <v>45</v>
      </c>
    </row>
    <row r="160" spans="1:9" s="1" customFormat="1">
      <c r="A160" s="10"/>
      <c r="B160" s="37"/>
      <c r="C160" s="9"/>
      <c r="D160" s="16"/>
      <c r="E160" s="17"/>
      <c r="F160" s="26"/>
      <c r="G160" s="22"/>
      <c r="H160" s="30"/>
      <c r="I160" s="6"/>
    </row>
    <row r="161" spans="1:9" s="1" customFormat="1">
      <c r="A161" s="49">
        <v>41991</v>
      </c>
      <c r="B161" s="37"/>
      <c r="C161" s="9" t="s">
        <v>435</v>
      </c>
      <c r="D161" s="16">
        <f>52</f>
        <v>52</v>
      </c>
      <c r="E161" s="17" t="s">
        <v>16</v>
      </c>
      <c r="F161" s="26"/>
      <c r="G161" s="22"/>
      <c r="H161" s="30">
        <f>1971.36</f>
        <v>1971.36</v>
      </c>
      <c r="I161" s="6" t="s">
        <v>67</v>
      </c>
    </row>
    <row r="162" spans="1:9" s="1" customFormat="1">
      <c r="A162" s="10"/>
      <c r="B162" s="37"/>
      <c r="C162" s="9"/>
      <c r="D162" s="16">
        <f>127.2</f>
        <v>127.2</v>
      </c>
      <c r="E162" s="17" t="s">
        <v>14</v>
      </c>
      <c r="F162" s="26"/>
      <c r="G162" s="22"/>
      <c r="H162" s="30">
        <f>268+169+99-268</f>
        <v>268</v>
      </c>
      <c r="I162" s="6" t="s">
        <v>45</v>
      </c>
    </row>
    <row r="163" spans="1:9" s="1" customFormat="1">
      <c r="A163" s="10"/>
      <c r="B163" s="37"/>
      <c r="C163" s="9"/>
      <c r="D163" s="16"/>
      <c r="E163" s="17"/>
      <c r="F163" s="26"/>
      <c r="G163" s="22"/>
      <c r="H163" s="30">
        <f>29</f>
        <v>29</v>
      </c>
      <c r="I163" s="6" t="s">
        <v>15</v>
      </c>
    </row>
    <row r="164" spans="1:9" s="1" customFormat="1">
      <c r="A164" s="10"/>
      <c r="B164" s="37"/>
      <c r="C164" s="9"/>
      <c r="D164" s="16"/>
      <c r="E164" s="17"/>
      <c r="F164" s="26"/>
      <c r="G164" s="22"/>
      <c r="H164" s="30"/>
      <c r="I164" s="6"/>
    </row>
    <row r="165" spans="1:9" s="1" customFormat="1">
      <c r="A165" s="11" t="s">
        <v>4</v>
      </c>
      <c r="B165" s="10"/>
      <c r="C165" s="10"/>
      <c r="D165" s="18">
        <f>SUM(D155:D164)</f>
        <v>179.2</v>
      </c>
      <c r="E165" s="6"/>
      <c r="F165" s="27">
        <f>SUM(F155:F164)</f>
        <v>0</v>
      </c>
      <c r="G165" s="23"/>
      <c r="H165" s="31">
        <f>SUM(H155:H164)</f>
        <v>3404.56</v>
      </c>
      <c r="I165" s="2"/>
    </row>
    <row r="166" spans="1:9" s="1" customFormat="1" ht="15.75" thickBot="1">
      <c r="A166" s="12" t="s">
        <v>5</v>
      </c>
      <c r="B166" s="34">
        <f>SUM(D165+F165+H165)</f>
        <v>3583.7599999999998</v>
      </c>
      <c r="C166" s="33"/>
      <c r="D166" s="19"/>
      <c r="E166" s="20"/>
      <c r="F166" s="28"/>
      <c r="G166" s="24"/>
      <c r="H166" s="32"/>
      <c r="I166" s="3"/>
    </row>
    <row r="167" spans="1:9" s="1" customFormat="1">
      <c r="A167" s="43" t="s">
        <v>414</v>
      </c>
      <c r="B167" s="8" t="s">
        <v>79</v>
      </c>
      <c r="C167" s="8" t="s">
        <v>57</v>
      </c>
      <c r="D167" s="14">
        <f>2.3+1.9+4.08</f>
        <v>8.2799999999999994</v>
      </c>
      <c r="E167" s="15" t="s">
        <v>16</v>
      </c>
      <c r="F167" s="25">
        <f>24</f>
        <v>24</v>
      </c>
      <c r="G167" s="21" t="s">
        <v>191</v>
      </c>
      <c r="H167" s="29">
        <f>1076.54</f>
        <v>1076.54</v>
      </c>
      <c r="I167" s="5" t="s">
        <v>67</v>
      </c>
    </row>
    <row r="168" spans="1:9" s="1" customFormat="1">
      <c r="A168" s="10"/>
      <c r="B168" s="37" t="s">
        <v>395</v>
      </c>
      <c r="C168" s="9"/>
      <c r="D168" s="16">
        <f>16.3</f>
        <v>16.3</v>
      </c>
      <c r="E168" s="17" t="s">
        <v>14</v>
      </c>
      <c r="F168" s="26"/>
      <c r="G168" s="22"/>
      <c r="H168" s="30">
        <f>304.47</f>
        <v>304.47000000000003</v>
      </c>
      <c r="I168" s="6" t="s">
        <v>45</v>
      </c>
    </row>
    <row r="169" spans="1:9" s="1" customFormat="1">
      <c r="A169" s="10"/>
      <c r="B169" s="37"/>
      <c r="C169" s="9"/>
      <c r="D169" s="16">
        <f>20</f>
        <v>20</v>
      </c>
      <c r="E169" s="17" t="s">
        <v>29</v>
      </c>
      <c r="F169" s="26"/>
      <c r="G169" s="22"/>
      <c r="H169" s="30">
        <f>135.65</f>
        <v>135.65</v>
      </c>
      <c r="I169" s="6" t="s">
        <v>15</v>
      </c>
    </row>
    <row r="170" spans="1:9" s="1" customFormat="1">
      <c r="A170" s="10"/>
      <c r="B170" s="37"/>
      <c r="C170" s="9"/>
      <c r="D170" s="16"/>
      <c r="E170" s="17"/>
      <c r="F170" s="26"/>
      <c r="G170" s="22"/>
      <c r="H170" s="30"/>
      <c r="I170" s="6"/>
    </row>
    <row r="171" spans="1:9" s="1" customFormat="1">
      <c r="A171" s="11" t="s">
        <v>4</v>
      </c>
      <c r="B171" s="10"/>
      <c r="C171" s="10"/>
      <c r="D171" s="18">
        <f>SUM(D167:D170)</f>
        <v>44.58</v>
      </c>
      <c r="E171" s="6"/>
      <c r="F171" s="27">
        <f>SUM(F167:F170)</f>
        <v>24</v>
      </c>
      <c r="G171" s="23"/>
      <c r="H171" s="31">
        <f>SUM(H167:H170)</f>
        <v>1516.66</v>
      </c>
      <c r="I171" s="2"/>
    </row>
    <row r="172" spans="1:9" s="1" customFormat="1" ht="15.75" thickBot="1">
      <c r="A172" s="12" t="s">
        <v>5</v>
      </c>
      <c r="B172" s="34">
        <f>SUM(D171+F171+H171)</f>
        <v>1585.24</v>
      </c>
      <c r="C172" s="33"/>
      <c r="D172" s="19"/>
      <c r="E172" s="20"/>
      <c r="F172" s="28"/>
      <c r="G172" s="24"/>
      <c r="H172" s="32"/>
      <c r="I172" s="3"/>
    </row>
    <row r="173" spans="1:9" s="1" customFormat="1">
      <c r="A173" s="43">
        <v>41991</v>
      </c>
      <c r="B173" s="8" t="s">
        <v>79</v>
      </c>
      <c r="C173" s="8" t="s">
        <v>76</v>
      </c>
      <c r="D173" s="14"/>
      <c r="E173" s="15"/>
      <c r="F173" s="25">
        <f>11.87</f>
        <v>11.87</v>
      </c>
      <c r="G173" s="21" t="s">
        <v>42</v>
      </c>
      <c r="H173" s="29"/>
      <c r="I173" s="5"/>
    </row>
    <row r="174" spans="1:9" s="1" customFormat="1">
      <c r="A174" s="10"/>
      <c r="B174" s="37" t="s">
        <v>272</v>
      </c>
      <c r="C174" s="9"/>
      <c r="D174" s="16"/>
      <c r="E174" s="17"/>
      <c r="F174" s="26">
        <f>3.6</f>
        <v>3.6</v>
      </c>
      <c r="G174" s="22" t="s">
        <v>50</v>
      </c>
      <c r="H174" s="30"/>
      <c r="I174" s="6"/>
    </row>
    <row r="175" spans="1:9" s="1" customFormat="1">
      <c r="A175" s="10"/>
      <c r="B175" s="37"/>
      <c r="C175" s="9"/>
      <c r="D175" s="16"/>
      <c r="E175" s="17"/>
      <c r="F175" s="26"/>
      <c r="G175" s="22"/>
      <c r="H175" s="30"/>
      <c r="I175" s="6"/>
    </row>
    <row r="176" spans="1:9" s="1" customFormat="1">
      <c r="A176" s="11" t="s">
        <v>4</v>
      </c>
      <c r="B176" s="10"/>
      <c r="C176" s="10"/>
      <c r="D176" s="18">
        <f>SUM(D173:D175)</f>
        <v>0</v>
      </c>
      <c r="E176" s="6"/>
      <c r="F176" s="27">
        <f>SUM(F173:F175)</f>
        <v>15.469999999999999</v>
      </c>
      <c r="G176" s="23"/>
      <c r="H176" s="31">
        <f>SUM(H173:H175)</f>
        <v>0</v>
      </c>
      <c r="I176" s="2"/>
    </row>
    <row r="177" spans="1:9" s="1" customFormat="1" ht="15.75" thickBot="1">
      <c r="A177" s="12" t="s">
        <v>5</v>
      </c>
      <c r="B177" s="34">
        <f>SUM(D176+F176+H176)</f>
        <v>15.469999999999999</v>
      </c>
      <c r="C177" s="33"/>
      <c r="D177" s="19"/>
      <c r="E177" s="20"/>
      <c r="F177" s="28"/>
      <c r="G177" s="24"/>
      <c r="H177" s="32"/>
      <c r="I177" s="3"/>
    </row>
    <row r="178" spans="1:9" s="1" customFormat="1">
      <c r="A178" s="43">
        <v>41992</v>
      </c>
      <c r="B178" s="8" t="s">
        <v>79</v>
      </c>
      <c r="C178" s="8" t="s">
        <v>12</v>
      </c>
      <c r="D178" s="14">
        <f>119.45</f>
        <v>119.45</v>
      </c>
      <c r="E178" s="15" t="s">
        <v>16</v>
      </c>
      <c r="F178" s="25">
        <f>11.87</f>
        <v>11.87</v>
      </c>
      <c r="G178" s="21" t="s">
        <v>42</v>
      </c>
      <c r="H178" s="29"/>
      <c r="I178" s="5"/>
    </row>
    <row r="179" spans="1:9" s="1" customFormat="1">
      <c r="A179" s="10"/>
      <c r="B179" s="37" t="s">
        <v>92</v>
      </c>
      <c r="C179" s="9"/>
      <c r="D179" s="16"/>
      <c r="E179" s="17"/>
      <c r="F179" s="26">
        <f>3.6</f>
        <v>3.6</v>
      </c>
      <c r="G179" s="22" t="s">
        <v>50</v>
      </c>
      <c r="H179" s="30"/>
      <c r="I179" s="6"/>
    </row>
    <row r="180" spans="1:9" s="1" customFormat="1">
      <c r="A180" s="10"/>
      <c r="B180" s="37"/>
      <c r="C180" s="9"/>
      <c r="D180" s="16"/>
      <c r="E180" s="17"/>
      <c r="F180" s="26"/>
      <c r="G180" s="22"/>
      <c r="H180" s="30"/>
      <c r="I180" s="6"/>
    </row>
    <row r="181" spans="1:9" s="1" customFormat="1">
      <c r="A181" s="11" t="s">
        <v>4</v>
      </c>
      <c r="B181" s="10"/>
      <c r="C181" s="10"/>
      <c r="D181" s="18">
        <f>SUM(D178:D180)</f>
        <v>119.45</v>
      </c>
      <c r="E181" s="6"/>
      <c r="F181" s="27">
        <f>SUM(F178:F180)</f>
        <v>15.469999999999999</v>
      </c>
      <c r="G181" s="23"/>
      <c r="H181" s="31">
        <f>SUM(H178:H180)</f>
        <v>0</v>
      </c>
      <c r="I181" s="2"/>
    </row>
    <row r="182" spans="1:9" s="1" customFormat="1" ht="15.75" thickBot="1">
      <c r="A182" s="12" t="s">
        <v>5</v>
      </c>
      <c r="B182" s="34">
        <f>SUM(D181+F181+H181)</f>
        <v>134.92000000000002</v>
      </c>
      <c r="C182" s="33"/>
      <c r="D182" s="19"/>
      <c r="E182" s="20"/>
      <c r="F182" s="28"/>
      <c r="G182" s="24"/>
      <c r="H182" s="32"/>
      <c r="I182" s="3"/>
    </row>
    <row r="183" spans="1:9" s="1" customFormat="1">
      <c r="A183" s="43">
        <v>41992</v>
      </c>
      <c r="B183" s="8" t="s">
        <v>411</v>
      </c>
      <c r="C183" s="8" t="s">
        <v>195</v>
      </c>
      <c r="D183" s="14">
        <v>41.31</v>
      </c>
      <c r="E183" s="15" t="s">
        <v>16</v>
      </c>
      <c r="F183" s="25"/>
      <c r="G183" s="21"/>
      <c r="H183" s="29"/>
      <c r="I183" s="5"/>
    </row>
    <row r="184" spans="1:9" s="1" customFormat="1">
      <c r="A184" s="10"/>
      <c r="B184" s="37" t="s">
        <v>135</v>
      </c>
      <c r="C184" s="9"/>
      <c r="D184" s="16"/>
      <c r="E184" s="17"/>
      <c r="F184" s="26"/>
      <c r="G184" s="22"/>
      <c r="H184" s="30"/>
      <c r="I184" s="6"/>
    </row>
    <row r="185" spans="1:9" s="1" customFormat="1">
      <c r="A185" s="10"/>
      <c r="B185" s="37"/>
      <c r="C185" s="9"/>
      <c r="D185" s="16"/>
      <c r="E185" s="17"/>
      <c r="F185" s="26"/>
      <c r="G185" s="22"/>
      <c r="H185" s="30"/>
      <c r="I185" s="6"/>
    </row>
    <row r="186" spans="1:9" s="1" customFormat="1">
      <c r="A186" s="11" t="s">
        <v>4</v>
      </c>
      <c r="B186" s="10"/>
      <c r="C186" s="10"/>
      <c r="D186" s="18">
        <f>SUM(D183:D185)</f>
        <v>41.31</v>
      </c>
      <c r="E186" s="6"/>
      <c r="F186" s="27">
        <f>SUM(F183:F184)</f>
        <v>0</v>
      </c>
      <c r="G186" s="23"/>
      <c r="H186" s="31">
        <f>SUM(H183:H185)</f>
        <v>0</v>
      </c>
      <c r="I186" s="2"/>
    </row>
    <row r="187" spans="1:9" s="1" customFormat="1" ht="15.75" thickBot="1">
      <c r="A187" s="12" t="s">
        <v>5</v>
      </c>
      <c r="B187" s="34">
        <f>SUM(D186+F186+H186)</f>
        <v>41.31</v>
      </c>
      <c r="C187" s="33"/>
      <c r="D187" s="19"/>
      <c r="E187" s="20"/>
      <c r="F187" s="28"/>
      <c r="G187" s="24"/>
      <c r="H187" s="32"/>
      <c r="I187" s="3"/>
    </row>
    <row r="188" spans="1:9" s="1" customFormat="1">
      <c r="A188" s="43" t="s">
        <v>436</v>
      </c>
      <c r="B188" s="8" t="s">
        <v>79</v>
      </c>
      <c r="C188" s="8" t="s">
        <v>428</v>
      </c>
      <c r="D188" s="14"/>
      <c r="E188" s="15"/>
      <c r="F188" s="25"/>
      <c r="G188" s="21"/>
      <c r="H188" s="29">
        <f>846.93</f>
        <v>846.93</v>
      </c>
      <c r="I188" s="5" t="s">
        <v>67</v>
      </c>
    </row>
    <row r="189" spans="1:9" s="1" customFormat="1">
      <c r="A189" s="10"/>
      <c r="B189" s="37" t="s">
        <v>380</v>
      </c>
      <c r="C189" s="9"/>
      <c r="D189" s="16"/>
      <c r="E189" s="17"/>
      <c r="F189" s="26"/>
      <c r="G189" s="22"/>
      <c r="H189" s="30">
        <f>99</f>
        <v>99</v>
      </c>
      <c r="I189" s="6" t="s">
        <v>45</v>
      </c>
    </row>
    <row r="190" spans="1:9" s="1" customFormat="1">
      <c r="A190" s="10"/>
      <c r="B190" s="37"/>
      <c r="C190" s="9"/>
      <c r="D190" s="16"/>
      <c r="E190" s="17"/>
      <c r="F190" s="26"/>
      <c r="G190" s="22"/>
      <c r="H190" s="30"/>
      <c r="I190" s="6"/>
    </row>
    <row r="191" spans="1:9" s="1" customFormat="1">
      <c r="A191" s="11" t="s">
        <v>4</v>
      </c>
      <c r="B191" s="10"/>
      <c r="C191" s="10"/>
      <c r="D191" s="18">
        <f>SUM(D188:D190)</f>
        <v>0</v>
      </c>
      <c r="E191" s="6"/>
      <c r="F191" s="27">
        <f>SUM(F188:F189)</f>
        <v>0</v>
      </c>
      <c r="G191" s="23"/>
      <c r="H191" s="31">
        <f>SUM(H188:H190)</f>
        <v>945.93</v>
      </c>
      <c r="I191" s="2"/>
    </row>
    <row r="192" spans="1:9" s="1" customFormat="1" ht="15.75" thickBot="1">
      <c r="A192" s="12" t="s">
        <v>5</v>
      </c>
      <c r="B192" s="34">
        <f>SUM(D191+F191+H191)</f>
        <v>945.93</v>
      </c>
      <c r="C192" s="33"/>
      <c r="D192" s="19"/>
      <c r="E192" s="20"/>
      <c r="F192" s="28"/>
      <c r="G192" s="24"/>
      <c r="H192" s="32"/>
      <c r="I192" s="3"/>
    </row>
    <row r="193" spans="1:11" s="1" customFormat="1">
      <c r="A193" s="43"/>
      <c r="B193" s="8" t="s">
        <v>423</v>
      </c>
      <c r="C193" s="8" t="s">
        <v>49</v>
      </c>
      <c r="D193" s="14">
        <f>168.6</f>
        <v>168.6</v>
      </c>
      <c r="E193" s="15"/>
      <c r="F193" s="25"/>
      <c r="G193" s="21"/>
      <c r="H193" s="29"/>
      <c r="I193" s="5"/>
    </row>
    <row r="194" spans="1:11" s="1" customFormat="1">
      <c r="A194" s="10"/>
      <c r="B194" s="37"/>
      <c r="C194" s="9"/>
      <c r="D194" s="16"/>
      <c r="E194" s="17"/>
      <c r="F194" s="26"/>
      <c r="G194" s="22"/>
      <c r="H194" s="30"/>
      <c r="I194" s="6"/>
    </row>
    <row r="195" spans="1:11" s="1" customFormat="1">
      <c r="A195" s="10"/>
      <c r="B195" s="37"/>
      <c r="C195" s="9" t="s">
        <v>277</v>
      </c>
      <c r="D195" s="16">
        <f>168.23</f>
        <v>168.23</v>
      </c>
      <c r="E195" s="17"/>
      <c r="F195" s="26"/>
      <c r="G195" s="22"/>
      <c r="H195" s="30"/>
      <c r="I195" s="6"/>
    </row>
    <row r="196" spans="1:11" s="1" customFormat="1">
      <c r="A196" s="10"/>
      <c r="B196" s="37"/>
      <c r="C196" s="9"/>
      <c r="D196" s="16"/>
      <c r="E196" s="17"/>
      <c r="F196" s="26"/>
      <c r="G196" s="22"/>
      <c r="H196" s="30"/>
      <c r="I196" s="6"/>
    </row>
    <row r="197" spans="1:11" s="1" customFormat="1">
      <c r="A197" s="11" t="s">
        <v>4</v>
      </c>
      <c r="B197" s="10"/>
      <c r="C197" s="10"/>
      <c r="D197" s="18">
        <f>SUM(D193:D196)</f>
        <v>336.83</v>
      </c>
      <c r="E197" s="6"/>
      <c r="F197" s="27">
        <f>SUM(F193:F196)</f>
        <v>0</v>
      </c>
      <c r="G197" s="23"/>
      <c r="H197" s="31">
        <f>SUM(H193:H196)</f>
        <v>0</v>
      </c>
      <c r="I197" s="2"/>
    </row>
    <row r="198" spans="1:11" s="1" customFormat="1" ht="15.75" thickBot="1">
      <c r="A198" s="12" t="s">
        <v>5</v>
      </c>
      <c r="B198" s="34">
        <f>SUM(D197+F197+H197)</f>
        <v>336.83</v>
      </c>
      <c r="C198" s="33"/>
      <c r="D198" s="19"/>
      <c r="E198" s="20"/>
      <c r="F198" s="28"/>
      <c r="G198" s="24"/>
      <c r="H198" s="32"/>
      <c r="I198" s="3"/>
    </row>
    <row r="199" spans="1:11" ht="15.75" thickBot="1">
      <c r="J199" s="1"/>
      <c r="K199" s="40"/>
    </row>
    <row r="200" spans="1:11" ht="20.25" thickBot="1">
      <c r="A200" s="35" t="s">
        <v>8</v>
      </c>
      <c r="B200" s="36">
        <f>SUM(B5,B10,B23,B32,B62,B72,B81,B86,B94,B99,B103,B117,B129,B139,B148,B154,B166,B172,B177,B182,B187,B192,B198)</f>
        <v>48426.849999999991</v>
      </c>
      <c r="J200" s="1"/>
      <c r="K200" s="40"/>
    </row>
    <row r="201" spans="1:11">
      <c r="J201" s="1"/>
      <c r="K201" s="41"/>
    </row>
    <row r="202" spans="1:11">
      <c r="J202" s="1"/>
      <c r="K202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workbookViewId="0">
      <selection activeCell="H11" sqref="H11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11" s="1" customFormat="1">
      <c r="A2" s="43" t="s">
        <v>104</v>
      </c>
      <c r="B2" s="8" t="s">
        <v>79</v>
      </c>
      <c r="C2" s="8" t="s">
        <v>77</v>
      </c>
      <c r="D2" s="14">
        <f>16.5+52.01</f>
        <v>68.509999999999991</v>
      </c>
      <c r="E2" s="15" t="s">
        <v>16</v>
      </c>
      <c r="F2" s="25"/>
      <c r="G2" s="21"/>
      <c r="H2" s="29">
        <f>413.11</f>
        <v>413.11</v>
      </c>
      <c r="I2" s="5" t="s">
        <v>67</v>
      </c>
    </row>
    <row r="3" spans="1:11" s="1" customFormat="1">
      <c r="A3" s="10"/>
      <c r="B3" s="37" t="s">
        <v>19</v>
      </c>
      <c r="C3" s="9"/>
      <c r="D3" s="16">
        <f>231.05+37.12</f>
        <v>268.17</v>
      </c>
      <c r="E3" s="17" t="s">
        <v>14</v>
      </c>
      <c r="F3" s="26"/>
      <c r="G3" s="22"/>
      <c r="H3" s="30"/>
      <c r="I3" s="6"/>
    </row>
    <row r="4" spans="1:11" s="1" customFormat="1">
      <c r="A4" s="9"/>
      <c r="B4" s="9"/>
      <c r="C4" s="10"/>
      <c r="D4" s="16"/>
      <c r="E4" s="17"/>
      <c r="F4" s="26"/>
      <c r="G4" s="22"/>
      <c r="H4" s="30"/>
      <c r="I4" s="6"/>
      <c r="K4" s="38"/>
    </row>
    <row r="5" spans="1:11" s="1" customFormat="1">
      <c r="A5" s="10"/>
      <c r="B5" s="13"/>
      <c r="C5" s="9"/>
      <c r="D5" s="16"/>
      <c r="E5" s="17"/>
      <c r="F5" s="26"/>
      <c r="G5" s="22"/>
      <c r="H5" s="30"/>
      <c r="I5" s="6"/>
      <c r="K5" s="38"/>
    </row>
    <row r="6" spans="1:11" s="1" customFormat="1">
      <c r="A6" s="9"/>
      <c r="B6" s="9"/>
      <c r="C6" s="9"/>
      <c r="D6" s="16"/>
      <c r="E6" s="17"/>
      <c r="F6" s="26"/>
      <c r="G6" s="22"/>
      <c r="H6" s="30"/>
      <c r="I6" s="2"/>
      <c r="K6" s="4"/>
    </row>
    <row r="7" spans="1:11" s="1" customFormat="1">
      <c r="A7" s="11" t="s">
        <v>4</v>
      </c>
      <c r="B7" s="10"/>
      <c r="C7" s="10"/>
      <c r="D7" s="18">
        <f>SUM(D2:D6)</f>
        <v>336.68</v>
      </c>
      <c r="E7" s="6"/>
      <c r="F7" s="27">
        <f>SUM(F2:F6)</f>
        <v>0</v>
      </c>
      <c r="G7" s="23"/>
      <c r="H7" s="31">
        <f>SUM(H2:H6)</f>
        <v>413.11</v>
      </c>
      <c r="I7" s="2"/>
    </row>
    <row r="8" spans="1:11" s="1" customFormat="1" ht="15.75" thickBot="1">
      <c r="A8" s="12" t="s">
        <v>5</v>
      </c>
      <c r="B8" s="34">
        <f>SUM(D7+F7+H7)</f>
        <v>749.79</v>
      </c>
      <c r="C8" s="33"/>
      <c r="D8" s="19"/>
      <c r="E8" s="20"/>
      <c r="F8" s="28"/>
      <c r="G8" s="24"/>
      <c r="H8" s="32"/>
      <c r="I8" s="3"/>
    </row>
    <row r="9" spans="1:11" s="1" customFormat="1">
      <c r="A9" s="43" t="s">
        <v>137</v>
      </c>
      <c r="B9" s="8" t="s">
        <v>79</v>
      </c>
      <c r="C9" s="8" t="s">
        <v>9</v>
      </c>
      <c r="D9" s="14">
        <v>157.57</v>
      </c>
      <c r="E9" s="15" t="s">
        <v>14</v>
      </c>
      <c r="F9" s="25">
        <v>54</v>
      </c>
      <c r="G9" s="21" t="s">
        <v>141</v>
      </c>
      <c r="H9" s="29">
        <f>1078.75+626.72-473</f>
        <v>1232.47</v>
      </c>
      <c r="I9" s="5" t="s">
        <v>67</v>
      </c>
    </row>
    <row r="10" spans="1:11" s="1" customFormat="1">
      <c r="A10" s="10"/>
      <c r="B10" s="37" t="s">
        <v>130</v>
      </c>
      <c r="C10" s="9"/>
      <c r="D10" s="16"/>
      <c r="E10" s="17"/>
      <c r="F10" s="26"/>
      <c r="G10" s="22"/>
      <c r="H10" s="30">
        <f>473.64+483.71</f>
        <v>957.34999999999991</v>
      </c>
      <c r="I10" s="6" t="s">
        <v>45</v>
      </c>
    </row>
    <row r="11" spans="1:11" s="1" customFormat="1">
      <c r="A11" s="10"/>
      <c r="B11" s="37"/>
      <c r="C11" s="9"/>
      <c r="D11" s="16"/>
      <c r="E11" s="17"/>
      <c r="F11" s="26"/>
      <c r="G11" s="22"/>
      <c r="H11" s="30">
        <v>731.48</v>
      </c>
      <c r="I11" s="6" t="s">
        <v>15</v>
      </c>
    </row>
    <row r="12" spans="1:11" s="1" customFormat="1">
      <c r="A12" s="9"/>
      <c r="B12" s="9"/>
      <c r="C12" s="10"/>
      <c r="D12" s="16"/>
      <c r="E12" s="17"/>
      <c r="F12" s="26"/>
      <c r="G12" s="22"/>
      <c r="H12" s="30"/>
      <c r="I12" s="6"/>
      <c r="K12" s="38"/>
    </row>
    <row r="13" spans="1:11" s="1" customFormat="1">
      <c r="A13" s="10"/>
      <c r="B13" s="13"/>
      <c r="C13" s="9" t="s">
        <v>10</v>
      </c>
      <c r="D13" s="16"/>
      <c r="E13" s="17"/>
      <c r="F13" s="26"/>
      <c r="G13" s="22"/>
      <c r="H13" s="30">
        <f>1078.75-473+626.72</f>
        <v>1232.47</v>
      </c>
      <c r="I13" s="6" t="s">
        <v>67</v>
      </c>
      <c r="K13" s="38"/>
    </row>
    <row r="14" spans="1:11" s="1" customFormat="1">
      <c r="A14" s="10"/>
      <c r="B14" s="13"/>
      <c r="C14" s="9"/>
      <c r="D14" s="16"/>
      <c r="E14" s="17"/>
      <c r="F14" s="26"/>
      <c r="G14" s="22"/>
      <c r="H14" s="30">
        <f>473.64+492.15</f>
        <v>965.79</v>
      </c>
      <c r="I14" s="6" t="s">
        <v>45</v>
      </c>
      <c r="K14" s="4"/>
    </row>
    <row r="15" spans="1:11" s="1" customFormat="1">
      <c r="A15" s="10"/>
      <c r="B15" s="13"/>
      <c r="C15" s="9"/>
      <c r="D15" s="16"/>
      <c r="E15" s="17"/>
      <c r="F15" s="26"/>
      <c r="G15" s="22"/>
      <c r="H15" s="30"/>
      <c r="I15" s="6"/>
      <c r="K15" s="4"/>
    </row>
    <row r="16" spans="1:11" s="1" customFormat="1">
      <c r="A16" s="9"/>
      <c r="B16" s="9"/>
      <c r="C16" s="9"/>
      <c r="D16" s="18">
        <f>SUM(D10:D15)</f>
        <v>0</v>
      </c>
      <c r="E16" s="6"/>
      <c r="F16" s="27">
        <f>SUM(F10:F15)</f>
        <v>0</v>
      </c>
      <c r="G16" s="23"/>
      <c r="H16" s="31">
        <f>SUM(H10:H15)</f>
        <v>3887.09</v>
      </c>
      <c r="I16" s="2"/>
    </row>
    <row r="17" spans="1:11" s="1" customFormat="1" ht="15.75" thickBot="1">
      <c r="A17" s="12" t="s">
        <v>5</v>
      </c>
      <c r="B17" s="34">
        <f>SUM(D16+F16+H16)</f>
        <v>3887.09</v>
      </c>
      <c r="C17" s="33"/>
      <c r="D17" s="19"/>
      <c r="E17" s="20"/>
      <c r="F17" s="28"/>
      <c r="G17" s="24"/>
      <c r="H17" s="32"/>
      <c r="I17" s="3"/>
    </row>
    <row r="18" spans="1:11" s="1" customFormat="1">
      <c r="A18" s="43" t="s">
        <v>82</v>
      </c>
      <c r="B18" s="8" t="s">
        <v>83</v>
      </c>
      <c r="C18" s="8" t="s">
        <v>11</v>
      </c>
      <c r="D18" s="14">
        <f>47.61</f>
        <v>47.61</v>
      </c>
      <c r="E18" s="15" t="s">
        <v>16</v>
      </c>
      <c r="F18" s="25"/>
      <c r="G18" s="21"/>
      <c r="H18" s="29">
        <v>995</v>
      </c>
      <c r="I18" s="5" t="s">
        <v>45</v>
      </c>
    </row>
    <row r="19" spans="1:11" s="1" customFormat="1">
      <c r="A19" s="10"/>
      <c r="B19" s="37" t="s">
        <v>84</v>
      </c>
      <c r="C19" s="9"/>
      <c r="D19" s="16">
        <f>25.33+24.86</f>
        <v>50.19</v>
      </c>
      <c r="E19" s="17" t="s">
        <v>14</v>
      </c>
      <c r="F19" s="26"/>
      <c r="G19" s="22"/>
      <c r="H19" s="30">
        <f>725.43+549.69</f>
        <v>1275.1199999999999</v>
      </c>
      <c r="I19" s="6" t="s">
        <v>67</v>
      </c>
    </row>
    <row r="20" spans="1:11" s="1" customFormat="1">
      <c r="A20" s="9"/>
      <c r="B20" s="9"/>
      <c r="C20" s="10"/>
      <c r="D20" s="16">
        <f>8.73</f>
        <v>8.73</v>
      </c>
      <c r="E20" s="17" t="s">
        <v>29</v>
      </c>
      <c r="F20" s="26"/>
      <c r="G20" s="22"/>
      <c r="H20" s="30">
        <f>72.56</f>
        <v>72.56</v>
      </c>
      <c r="I20" s="6" t="s">
        <v>15</v>
      </c>
      <c r="K20" s="38"/>
    </row>
    <row r="21" spans="1:11" s="1" customFormat="1">
      <c r="A21" s="10"/>
      <c r="B21" s="13"/>
      <c r="C21" s="9"/>
      <c r="D21" s="16"/>
      <c r="E21" s="17"/>
      <c r="F21" s="26"/>
      <c r="G21" s="22"/>
      <c r="H21" s="30"/>
      <c r="I21" s="6"/>
      <c r="K21" s="38"/>
    </row>
    <row r="22" spans="1:11" s="1" customFormat="1">
      <c r="A22" s="10"/>
      <c r="B22" s="13"/>
      <c r="C22" s="9" t="s">
        <v>12</v>
      </c>
      <c r="D22" s="16">
        <f>157.99</f>
        <v>157.99</v>
      </c>
      <c r="E22" s="17" t="s">
        <v>16</v>
      </c>
      <c r="F22" s="26"/>
      <c r="G22" s="22"/>
      <c r="H22" s="30">
        <v>995</v>
      </c>
      <c r="I22" s="6" t="s">
        <v>45</v>
      </c>
      <c r="K22" s="38"/>
    </row>
    <row r="23" spans="1:11" s="1" customFormat="1">
      <c r="A23" s="10"/>
      <c r="B23" s="13"/>
      <c r="C23" s="9"/>
      <c r="D23" s="16">
        <f>62.8</f>
        <v>62.8</v>
      </c>
      <c r="E23" s="17" t="s">
        <v>14</v>
      </c>
      <c r="F23" s="26"/>
      <c r="G23" s="22"/>
      <c r="H23" s="30">
        <f>725.43</f>
        <v>725.43</v>
      </c>
      <c r="I23" s="6" t="s">
        <v>67</v>
      </c>
    </row>
    <row r="24" spans="1:11" s="1" customFormat="1">
      <c r="A24" s="10"/>
      <c r="B24" s="13"/>
      <c r="C24" s="9"/>
      <c r="D24" s="16"/>
      <c r="E24" s="17"/>
      <c r="F24" s="26"/>
      <c r="G24" s="22"/>
      <c r="H24" s="30">
        <f>18.24</f>
        <v>18.239999999999998</v>
      </c>
      <c r="I24" s="6" t="s">
        <v>15</v>
      </c>
    </row>
    <row r="25" spans="1:11" s="1" customFormat="1">
      <c r="A25" s="10"/>
      <c r="B25" s="13"/>
      <c r="C25" s="9"/>
      <c r="D25" s="16"/>
      <c r="E25" s="17"/>
      <c r="F25" s="26"/>
      <c r="G25" s="22"/>
      <c r="H25" s="30"/>
      <c r="I25" s="6"/>
    </row>
    <row r="26" spans="1:11" s="1" customFormat="1">
      <c r="A26" s="10"/>
      <c r="B26" s="13"/>
      <c r="C26" s="9" t="s">
        <v>76</v>
      </c>
      <c r="D26" s="16"/>
      <c r="E26" s="17"/>
      <c r="F26" s="26"/>
      <c r="G26" s="22"/>
      <c r="H26" s="30">
        <f>1193</f>
        <v>1193</v>
      </c>
      <c r="I26" s="6" t="s">
        <v>45</v>
      </c>
    </row>
    <row r="27" spans="1:11" s="1" customFormat="1">
      <c r="A27" s="10"/>
      <c r="B27" s="13"/>
      <c r="C27" s="9"/>
      <c r="D27" s="16"/>
      <c r="E27" s="17"/>
      <c r="F27" s="26"/>
      <c r="G27" s="22"/>
      <c r="H27" s="30">
        <f>973.28</f>
        <v>973.28</v>
      </c>
      <c r="I27" s="6" t="s">
        <v>67</v>
      </c>
    </row>
    <row r="28" spans="1:11" s="1" customFormat="1">
      <c r="A28" s="10"/>
      <c r="B28" s="13"/>
      <c r="C28" s="9"/>
      <c r="D28" s="16"/>
      <c r="E28" s="17"/>
      <c r="F28" s="26"/>
      <c r="G28" s="22"/>
      <c r="H28" s="30"/>
      <c r="I28" s="6"/>
    </row>
    <row r="29" spans="1:11" s="1" customFormat="1">
      <c r="A29" s="10"/>
      <c r="B29" s="13"/>
      <c r="C29" s="9"/>
      <c r="D29" s="16"/>
      <c r="E29" s="17"/>
      <c r="F29" s="26"/>
      <c r="G29" s="22"/>
      <c r="H29" s="30"/>
      <c r="I29" s="6"/>
    </row>
    <row r="30" spans="1:11" s="1" customFormat="1">
      <c r="A30" s="11" t="s">
        <v>4</v>
      </c>
      <c r="B30" s="10"/>
      <c r="C30" s="10"/>
      <c r="D30" s="18">
        <f>SUM(D18:D29)</f>
        <v>327.32</v>
      </c>
      <c r="E30" s="6"/>
      <c r="F30" s="27">
        <f>SUM(F18:F29)</f>
        <v>0</v>
      </c>
      <c r="G30" s="23"/>
      <c r="H30" s="31">
        <f>SUM(H18:H29)</f>
        <v>6247.6299999999992</v>
      </c>
      <c r="I30" s="2"/>
    </row>
    <row r="31" spans="1:11" s="1" customFormat="1" ht="15.75" thickBot="1">
      <c r="A31" s="12" t="s">
        <v>5</v>
      </c>
      <c r="B31" s="34">
        <f>SUM(D30+F30+H30)</f>
        <v>6574.9499999999989</v>
      </c>
      <c r="C31" s="33"/>
      <c r="D31" s="19"/>
      <c r="E31" s="20"/>
      <c r="F31" s="28"/>
      <c r="G31" s="24"/>
      <c r="H31" s="32"/>
      <c r="I31" s="3"/>
    </row>
    <row r="32" spans="1:11" s="1" customFormat="1">
      <c r="A32" s="43" t="s">
        <v>98</v>
      </c>
      <c r="B32" s="8" t="s">
        <v>55</v>
      </c>
      <c r="C32" s="8" t="s">
        <v>70</v>
      </c>
      <c r="D32" s="14">
        <v>213</v>
      </c>
      <c r="E32" s="15" t="s">
        <v>14</v>
      </c>
      <c r="F32" s="25"/>
      <c r="G32" s="21"/>
      <c r="H32" s="29">
        <v>315.77999999999997</v>
      </c>
      <c r="I32" s="5" t="s">
        <v>81</v>
      </c>
    </row>
    <row r="33" spans="1:11" s="1" customFormat="1">
      <c r="A33" s="10"/>
      <c r="B33" s="37" t="s">
        <v>99</v>
      </c>
      <c r="C33" s="9"/>
      <c r="D33" s="16"/>
      <c r="E33" s="17"/>
      <c r="F33" s="26"/>
      <c r="G33" s="22"/>
      <c r="H33" s="30">
        <f>1058.46+528.87</f>
        <v>1587.33</v>
      </c>
      <c r="I33" s="6" t="s">
        <v>67</v>
      </c>
    </row>
    <row r="34" spans="1:11" s="1" customFormat="1">
      <c r="A34" s="10"/>
      <c r="B34" s="37"/>
      <c r="C34" s="9"/>
      <c r="D34" s="16"/>
      <c r="E34" s="17"/>
      <c r="F34" s="26"/>
      <c r="G34" s="22"/>
      <c r="H34" s="30"/>
      <c r="I34" s="6"/>
    </row>
    <row r="35" spans="1:11" s="1" customFormat="1">
      <c r="A35" s="9"/>
      <c r="B35" s="9"/>
      <c r="C35" s="10" t="s">
        <v>65</v>
      </c>
      <c r="D35" s="16">
        <f>94.91</f>
        <v>94.91</v>
      </c>
      <c r="E35" s="17" t="s">
        <v>16</v>
      </c>
      <c r="F35" s="26"/>
      <c r="G35" s="22"/>
      <c r="H35" s="30">
        <f>1058.46+528.87</f>
        <v>1587.33</v>
      </c>
      <c r="I35" s="6" t="s">
        <v>67</v>
      </c>
      <c r="K35" s="38"/>
    </row>
    <row r="36" spans="1:11" s="1" customFormat="1">
      <c r="A36" s="10"/>
      <c r="B36" s="13"/>
      <c r="C36" s="9"/>
      <c r="D36" s="16">
        <f>60.63</f>
        <v>60.63</v>
      </c>
      <c r="E36" s="17" t="s">
        <v>14</v>
      </c>
      <c r="F36" s="26"/>
      <c r="G36" s="22"/>
      <c r="H36" s="30">
        <f>159.27</f>
        <v>159.27000000000001</v>
      </c>
      <c r="I36" s="6" t="s">
        <v>81</v>
      </c>
      <c r="K36" s="38"/>
    </row>
    <row r="37" spans="1:11" s="1" customFormat="1">
      <c r="A37" s="10"/>
      <c r="B37" s="13"/>
      <c r="C37" s="9"/>
      <c r="D37" s="16">
        <f>3.9+67.41</f>
        <v>71.31</v>
      </c>
      <c r="E37" s="17" t="s">
        <v>29</v>
      </c>
      <c r="F37" s="26"/>
      <c r="G37" s="22"/>
      <c r="H37" s="30"/>
      <c r="I37" s="6"/>
      <c r="K37" s="38"/>
    </row>
    <row r="38" spans="1:11" s="1" customFormat="1">
      <c r="A38" s="10"/>
      <c r="B38" s="13"/>
      <c r="C38" s="9"/>
      <c r="D38" s="16"/>
      <c r="E38" s="17"/>
      <c r="F38" s="26"/>
      <c r="G38" s="22"/>
      <c r="H38" s="30"/>
      <c r="I38" s="6"/>
      <c r="K38" s="38"/>
    </row>
    <row r="39" spans="1:11" s="1" customFormat="1">
      <c r="A39" s="9"/>
      <c r="B39" s="9"/>
      <c r="C39" s="9"/>
      <c r="D39" s="16"/>
      <c r="E39" s="17"/>
      <c r="F39" s="26"/>
      <c r="G39" s="22"/>
      <c r="H39" s="30"/>
      <c r="I39" s="2"/>
      <c r="K39" s="4"/>
    </row>
    <row r="40" spans="1:11" s="1" customFormat="1">
      <c r="A40" s="11" t="s">
        <v>4</v>
      </c>
      <c r="B40" s="10"/>
      <c r="C40" s="10"/>
      <c r="D40" s="18">
        <f>SUM(D32:D39)</f>
        <v>439.84999999999997</v>
      </c>
      <c r="E40" s="6"/>
      <c r="F40" s="27">
        <f>SUM(F32:F39)</f>
        <v>0</v>
      </c>
      <c r="G40" s="23"/>
      <c r="H40" s="31">
        <f>SUM(H32:H39)</f>
        <v>3649.7099999999996</v>
      </c>
      <c r="I40" s="2"/>
    </row>
    <row r="41" spans="1:11" s="1" customFormat="1" ht="15.75" thickBot="1">
      <c r="A41" s="12" t="s">
        <v>5</v>
      </c>
      <c r="B41" s="34">
        <f>SUM(D40+F40+H40)</f>
        <v>4089.5599999999995</v>
      </c>
      <c r="C41" s="33"/>
      <c r="D41" s="19"/>
      <c r="E41" s="20"/>
      <c r="F41" s="28"/>
      <c r="G41" s="24"/>
      <c r="H41" s="32"/>
      <c r="I41" s="3"/>
    </row>
    <row r="42" spans="1:11" s="1" customFormat="1">
      <c r="A42" s="43">
        <v>41683</v>
      </c>
      <c r="B42" s="8" t="s">
        <v>91</v>
      </c>
      <c r="C42" s="8" t="s">
        <v>11</v>
      </c>
      <c r="D42" s="14">
        <f>5.88</f>
        <v>5.88</v>
      </c>
      <c r="E42" s="15" t="s">
        <v>16</v>
      </c>
      <c r="F42" s="25"/>
      <c r="G42" s="21"/>
      <c r="H42" s="29"/>
      <c r="I42" s="5"/>
    </row>
    <row r="43" spans="1:11" s="1" customFormat="1">
      <c r="A43" s="10"/>
      <c r="B43" s="37" t="s">
        <v>92</v>
      </c>
      <c r="C43" s="9"/>
      <c r="D43" s="16">
        <f>50.18</f>
        <v>50.18</v>
      </c>
      <c r="E43" s="17" t="s">
        <v>14</v>
      </c>
      <c r="F43" s="26"/>
      <c r="G43" s="22"/>
      <c r="H43" s="30"/>
      <c r="I43" s="6"/>
    </row>
    <row r="44" spans="1:11" s="1" customFormat="1">
      <c r="A44" s="9"/>
      <c r="B44" s="9"/>
      <c r="C44" s="10"/>
      <c r="D44" s="16"/>
      <c r="E44" s="17"/>
      <c r="F44" s="26"/>
      <c r="G44" s="22"/>
      <c r="H44" s="30"/>
      <c r="I44" s="6"/>
      <c r="K44" s="38"/>
    </row>
    <row r="45" spans="1:11" s="1" customFormat="1">
      <c r="A45" s="10"/>
      <c r="B45" s="13"/>
      <c r="C45" s="9" t="s">
        <v>12</v>
      </c>
      <c r="D45" s="16"/>
      <c r="E45" s="17"/>
      <c r="F45" s="26">
        <f>71.79</f>
        <v>71.790000000000006</v>
      </c>
      <c r="G45" s="22" t="s">
        <v>100</v>
      </c>
      <c r="H45" s="30"/>
      <c r="I45" s="6"/>
      <c r="K45" s="38"/>
    </row>
    <row r="46" spans="1:11" s="1" customFormat="1">
      <c r="A46" s="10"/>
      <c r="B46" s="13"/>
      <c r="C46" s="9"/>
      <c r="D46" s="16">
        <f>54.67</f>
        <v>54.67</v>
      </c>
      <c r="E46" s="17" t="s">
        <v>14</v>
      </c>
      <c r="F46" s="26"/>
      <c r="G46" s="22"/>
      <c r="H46" s="30"/>
      <c r="I46" s="6"/>
      <c r="K46" s="38"/>
    </row>
    <row r="47" spans="1:11" s="1" customFormat="1">
      <c r="A47" s="9"/>
      <c r="B47" s="9"/>
      <c r="C47" s="9"/>
      <c r="D47" s="16"/>
      <c r="E47" s="17"/>
      <c r="F47" s="26"/>
      <c r="G47" s="22"/>
      <c r="H47" s="30"/>
      <c r="I47" s="2"/>
      <c r="K47" s="4"/>
    </row>
    <row r="48" spans="1:11" s="1" customFormat="1">
      <c r="A48" s="11" t="s">
        <v>4</v>
      </c>
      <c r="B48" s="10"/>
      <c r="C48" s="10"/>
      <c r="D48" s="18">
        <f>SUM(D42:D47)</f>
        <v>110.73</v>
      </c>
      <c r="E48" s="6"/>
      <c r="F48" s="27">
        <f>SUM(F42:F47)</f>
        <v>71.790000000000006</v>
      </c>
      <c r="G48" s="23"/>
      <c r="H48" s="31">
        <f>SUM(H42:H47)</f>
        <v>0</v>
      </c>
      <c r="I48" s="2"/>
    </row>
    <row r="49" spans="1:11" s="1" customFormat="1" ht="15.75" thickBot="1">
      <c r="A49" s="12" t="s">
        <v>5</v>
      </c>
      <c r="B49" s="34">
        <f>SUM(D48+F48+H48)</f>
        <v>182.52</v>
      </c>
      <c r="C49" s="33"/>
      <c r="D49" s="19"/>
      <c r="E49" s="20"/>
      <c r="F49" s="28"/>
      <c r="G49" s="24"/>
      <c r="H49" s="32"/>
      <c r="I49" s="3"/>
    </row>
    <row r="50" spans="1:11" s="1" customFormat="1">
      <c r="A50" s="8" t="s">
        <v>88</v>
      </c>
      <c r="B50" s="8" t="s">
        <v>55</v>
      </c>
      <c r="C50" s="8" t="s">
        <v>20</v>
      </c>
      <c r="D50" s="14">
        <f>87.93</f>
        <v>87.93</v>
      </c>
      <c r="E50" s="15" t="s">
        <v>16</v>
      </c>
      <c r="F50" s="25">
        <f>1.95</f>
        <v>1.95</v>
      </c>
      <c r="G50" s="21" t="s">
        <v>50</v>
      </c>
      <c r="H50" s="29">
        <f>1602.42</f>
        <v>1602.42</v>
      </c>
      <c r="I50" s="5" t="s">
        <v>67</v>
      </c>
    </row>
    <row r="51" spans="1:11" s="1" customFormat="1">
      <c r="A51" s="10"/>
      <c r="B51" s="37" t="s">
        <v>89</v>
      </c>
      <c r="C51" s="9"/>
      <c r="D51" s="16">
        <v>126.04</v>
      </c>
      <c r="E51" s="17" t="s">
        <v>14</v>
      </c>
      <c r="F51" s="26"/>
      <c r="G51" s="22"/>
      <c r="H51" s="30">
        <v>919</v>
      </c>
      <c r="I51" s="6" t="s">
        <v>45</v>
      </c>
    </row>
    <row r="52" spans="1:11" s="1" customFormat="1">
      <c r="A52" s="9"/>
      <c r="B52" s="9"/>
      <c r="C52" s="10"/>
      <c r="D52" s="16">
        <f>54.43+10.38</f>
        <v>64.81</v>
      </c>
      <c r="E52" s="17" t="s">
        <v>29</v>
      </c>
      <c r="F52" s="26"/>
      <c r="G52" s="22"/>
      <c r="H52" s="30">
        <f>207.22</f>
        <v>207.22</v>
      </c>
      <c r="I52" s="6" t="s">
        <v>15</v>
      </c>
      <c r="K52" s="38"/>
    </row>
    <row r="53" spans="1:11" s="1" customFormat="1">
      <c r="A53" s="10"/>
      <c r="B53" s="13"/>
      <c r="C53" s="9"/>
      <c r="D53" s="16"/>
      <c r="E53" s="17"/>
      <c r="F53" s="26"/>
      <c r="G53" s="22"/>
      <c r="H53" s="30"/>
      <c r="I53" s="6"/>
      <c r="K53" s="38"/>
    </row>
    <row r="54" spans="1:11" s="1" customFormat="1">
      <c r="A54" s="10" t="s">
        <v>103</v>
      </c>
      <c r="B54" s="13"/>
      <c r="C54" s="9" t="s">
        <v>77</v>
      </c>
      <c r="D54" s="16">
        <f>1.85+217.72</f>
        <v>219.57</v>
      </c>
      <c r="E54" s="17" t="s">
        <v>16</v>
      </c>
      <c r="F54" s="26"/>
      <c r="G54" s="22"/>
      <c r="H54" s="30">
        <f>427.67</f>
        <v>427.67</v>
      </c>
      <c r="I54" s="6" t="s">
        <v>67</v>
      </c>
      <c r="K54" s="38"/>
    </row>
    <row r="55" spans="1:11" s="1" customFormat="1">
      <c r="A55" s="10"/>
      <c r="B55" s="13"/>
      <c r="C55" s="9"/>
      <c r="D55" s="16">
        <f>237.54+185.03</f>
        <v>422.57</v>
      </c>
      <c r="E55" s="17" t="s">
        <v>14</v>
      </c>
      <c r="F55" s="26"/>
      <c r="G55" s="22"/>
      <c r="H55" s="30">
        <f>623.47+216.56</f>
        <v>840.03</v>
      </c>
      <c r="I55" s="6" t="s">
        <v>45</v>
      </c>
      <c r="K55" s="38"/>
    </row>
    <row r="56" spans="1:11" s="1" customFormat="1">
      <c r="A56" s="10"/>
      <c r="B56" s="13"/>
      <c r="C56" s="9"/>
      <c r="D56" s="16"/>
      <c r="E56" s="17"/>
      <c r="F56" s="26"/>
      <c r="G56" s="22"/>
      <c r="H56" s="30">
        <f>184.8+34.67</f>
        <v>219.47000000000003</v>
      </c>
      <c r="I56" s="6" t="s">
        <v>15</v>
      </c>
      <c r="K56" s="38"/>
    </row>
    <row r="57" spans="1:11" s="1" customFormat="1">
      <c r="A57" s="9"/>
      <c r="B57" s="9"/>
      <c r="C57" s="9"/>
      <c r="D57" s="16"/>
      <c r="E57" s="17"/>
      <c r="F57" s="26"/>
      <c r="G57" s="22"/>
      <c r="H57" s="30"/>
      <c r="I57" s="2"/>
      <c r="K57" s="4"/>
    </row>
    <row r="58" spans="1:11" s="1" customFormat="1">
      <c r="A58" s="11" t="s">
        <v>4</v>
      </c>
      <c r="B58" s="10"/>
      <c r="C58" s="10"/>
      <c r="D58" s="18">
        <f>SUM(D50:D57)</f>
        <v>920.92000000000007</v>
      </c>
      <c r="E58" s="6"/>
      <c r="F58" s="27">
        <f>SUM(F50:F57)</f>
        <v>1.95</v>
      </c>
      <c r="G58" s="23"/>
      <c r="H58" s="31">
        <f>SUM(H50:H57)</f>
        <v>4215.8100000000004</v>
      </c>
      <c r="I58" s="2"/>
    </row>
    <row r="59" spans="1:11" s="1" customFormat="1" ht="15.75" thickBot="1">
      <c r="A59" s="12" t="s">
        <v>5</v>
      </c>
      <c r="B59" s="34">
        <f>SUM(D58+F58+H58)</f>
        <v>5138.68</v>
      </c>
      <c r="C59" s="33"/>
      <c r="D59" s="19"/>
      <c r="E59" s="20"/>
      <c r="F59" s="28"/>
      <c r="G59" s="24"/>
      <c r="H59" s="32"/>
      <c r="I59" s="3"/>
    </row>
    <row r="60" spans="1:11" s="1" customFormat="1">
      <c r="A60" s="8" t="s">
        <v>95</v>
      </c>
      <c r="B60" s="8" t="s">
        <v>55</v>
      </c>
      <c r="C60" s="8" t="s">
        <v>75</v>
      </c>
      <c r="D60" s="14">
        <f>6+34.38</f>
        <v>40.380000000000003</v>
      </c>
      <c r="E60" s="15" t="s">
        <v>16</v>
      </c>
      <c r="F60" s="25">
        <v>7.66</v>
      </c>
      <c r="G60" s="21" t="s">
        <v>42</v>
      </c>
      <c r="H60" s="29">
        <v>398.34</v>
      </c>
      <c r="I60" s="5" t="s">
        <v>67</v>
      </c>
    </row>
    <row r="61" spans="1:11" s="1" customFormat="1">
      <c r="A61" s="10"/>
      <c r="B61" s="37" t="s">
        <v>61</v>
      </c>
      <c r="C61" s="9"/>
      <c r="D61" s="16">
        <f>105.8+13.98</f>
        <v>119.78</v>
      </c>
      <c r="E61" s="17" t="s">
        <v>14</v>
      </c>
      <c r="F61" s="26">
        <f>40.9</f>
        <v>40.9</v>
      </c>
      <c r="G61" s="22" t="s">
        <v>43</v>
      </c>
      <c r="H61" s="30">
        <f>188.19-188.19+193</f>
        <v>193</v>
      </c>
      <c r="I61" s="6" t="s">
        <v>45</v>
      </c>
    </row>
    <row r="62" spans="1:11" s="1" customFormat="1">
      <c r="A62" s="9"/>
      <c r="B62" s="9"/>
      <c r="C62" s="10"/>
      <c r="D62" s="16">
        <f>20</f>
        <v>20</v>
      </c>
      <c r="E62" s="17" t="s">
        <v>29</v>
      </c>
      <c r="F62" s="26">
        <v>10</v>
      </c>
      <c r="G62" s="22" t="s">
        <v>96</v>
      </c>
      <c r="H62" s="30">
        <f>28.08</f>
        <v>28.08</v>
      </c>
      <c r="I62" s="6" t="s">
        <v>15</v>
      </c>
      <c r="K62" s="38"/>
    </row>
    <row r="63" spans="1:11" s="1" customFormat="1">
      <c r="A63" s="9"/>
      <c r="B63" s="9"/>
      <c r="C63" s="10"/>
      <c r="D63" s="16"/>
      <c r="E63" s="17"/>
      <c r="F63" s="26"/>
      <c r="G63" s="22"/>
      <c r="H63" s="30"/>
      <c r="I63" s="6"/>
      <c r="K63" s="38"/>
    </row>
    <row r="64" spans="1:11" s="1" customFormat="1">
      <c r="A64" s="9"/>
      <c r="B64" s="9"/>
      <c r="C64" s="10" t="s">
        <v>57</v>
      </c>
      <c r="D64" s="16">
        <f>44.8</f>
        <v>44.8</v>
      </c>
      <c r="E64" s="17" t="s">
        <v>16</v>
      </c>
      <c r="F64" s="26">
        <v>21</v>
      </c>
      <c r="G64" s="22" t="s">
        <v>32</v>
      </c>
      <c r="H64" s="30">
        <v>398.34</v>
      </c>
      <c r="I64" s="6" t="s">
        <v>67</v>
      </c>
      <c r="K64" s="38"/>
    </row>
    <row r="65" spans="1:11" s="1" customFormat="1">
      <c r="A65" s="9"/>
      <c r="B65" s="9"/>
      <c r="C65" s="10"/>
      <c r="D65" s="16">
        <f>11.3</f>
        <v>11.3</v>
      </c>
      <c r="E65" s="17" t="s">
        <v>14</v>
      </c>
      <c r="F65" s="26"/>
      <c r="G65" s="22"/>
      <c r="H65" s="30">
        <f>188.19-188.19+193</f>
        <v>193</v>
      </c>
      <c r="I65" s="6" t="s">
        <v>45</v>
      </c>
      <c r="K65" s="38"/>
    </row>
    <row r="66" spans="1:11" s="1" customFormat="1">
      <c r="A66" s="10"/>
      <c r="B66" s="13"/>
      <c r="C66" s="9"/>
      <c r="D66" s="16"/>
      <c r="E66" s="17"/>
      <c r="F66" s="26"/>
      <c r="G66" s="22"/>
      <c r="H66" s="30">
        <f>45.28</f>
        <v>45.28</v>
      </c>
      <c r="I66" s="6" t="s">
        <v>15</v>
      </c>
      <c r="K66" s="38"/>
    </row>
    <row r="67" spans="1:11" s="1" customFormat="1">
      <c r="A67" s="9"/>
      <c r="B67" s="9"/>
      <c r="C67" s="9"/>
      <c r="D67" s="16"/>
      <c r="E67" s="17"/>
      <c r="F67" s="26"/>
      <c r="G67" s="22"/>
      <c r="H67" s="30"/>
      <c r="I67" s="2"/>
      <c r="K67" s="4"/>
    </row>
    <row r="68" spans="1:11" s="1" customFormat="1">
      <c r="A68" s="11" t="s">
        <v>4</v>
      </c>
      <c r="B68" s="10"/>
      <c r="C68" s="10"/>
      <c r="D68" s="18">
        <f>SUM(D60:D67)</f>
        <v>236.26</v>
      </c>
      <c r="E68" s="6"/>
      <c r="F68" s="27">
        <f>SUM(F60:F67)</f>
        <v>79.56</v>
      </c>
      <c r="G68" s="23"/>
      <c r="H68" s="31">
        <f>SUM(H60:H67)</f>
        <v>1256.04</v>
      </c>
      <c r="I68" s="2"/>
    </row>
    <row r="69" spans="1:11" s="1" customFormat="1" ht="15.75" thickBot="1">
      <c r="A69" s="12" t="s">
        <v>5</v>
      </c>
      <c r="B69" s="34">
        <f>SUM(D68+F68+H68)</f>
        <v>1571.86</v>
      </c>
      <c r="C69" s="33"/>
      <c r="D69" s="19"/>
      <c r="E69" s="20"/>
      <c r="F69" s="28"/>
      <c r="G69" s="24"/>
      <c r="H69" s="32"/>
      <c r="I69" s="3"/>
    </row>
    <row r="70" spans="1:11" s="1" customFormat="1">
      <c r="A70" s="8" t="s">
        <v>110</v>
      </c>
      <c r="B70" s="8" t="s">
        <v>55</v>
      </c>
      <c r="C70" s="8" t="s">
        <v>66</v>
      </c>
      <c r="D70" s="14">
        <f>15+66.75</f>
        <v>81.75</v>
      </c>
      <c r="E70" s="15" t="s">
        <v>16</v>
      </c>
      <c r="F70" s="25">
        <f>18.87</f>
        <v>18.87</v>
      </c>
      <c r="G70" s="21" t="s">
        <v>42</v>
      </c>
      <c r="H70" s="29">
        <f>110.87+751.48+938.91</f>
        <v>1801.26</v>
      </c>
      <c r="I70" s="5" t="s">
        <v>67</v>
      </c>
    </row>
    <row r="71" spans="1:11" s="1" customFormat="1">
      <c r="A71" s="10"/>
      <c r="B71" s="37" t="s">
        <v>111</v>
      </c>
      <c r="C71" s="9"/>
      <c r="D71" s="16">
        <f>2.72+20.5</f>
        <v>23.22</v>
      </c>
      <c r="E71" s="17" t="s">
        <v>14</v>
      </c>
      <c r="F71" s="26">
        <v>3.4</v>
      </c>
      <c r="G71" s="22" t="s">
        <v>50</v>
      </c>
      <c r="H71" s="30">
        <f>370.62+308.7+313-308.7</f>
        <v>683.61999999999989</v>
      </c>
      <c r="I71" s="6" t="s">
        <v>45</v>
      </c>
    </row>
    <row r="72" spans="1:11" s="1" customFormat="1">
      <c r="A72" s="9"/>
      <c r="B72" s="9"/>
      <c r="C72" s="10"/>
      <c r="D72" s="16"/>
      <c r="E72" s="17"/>
      <c r="F72" s="26">
        <v>146</v>
      </c>
      <c r="G72" s="22" t="s">
        <v>43</v>
      </c>
      <c r="H72" s="30">
        <f>2.73</f>
        <v>2.73</v>
      </c>
      <c r="I72" s="6" t="s">
        <v>15</v>
      </c>
      <c r="K72" s="38"/>
    </row>
    <row r="73" spans="1:11" s="1" customFormat="1">
      <c r="A73" s="9"/>
      <c r="B73" s="9"/>
      <c r="C73" s="10"/>
      <c r="D73" s="16"/>
      <c r="E73" s="17"/>
      <c r="F73" s="26"/>
      <c r="G73" s="22"/>
      <c r="H73" s="30"/>
      <c r="I73" s="6"/>
      <c r="K73" s="38"/>
    </row>
    <row r="74" spans="1:11" s="1" customFormat="1">
      <c r="A74" s="9"/>
      <c r="B74" s="9"/>
      <c r="C74" s="10" t="s">
        <v>71</v>
      </c>
      <c r="D74" s="16">
        <f>140.41+13.5</f>
        <v>153.91</v>
      </c>
      <c r="E74" s="17" t="s">
        <v>107</v>
      </c>
      <c r="F74" s="26">
        <f>51.5</f>
        <v>51.5</v>
      </c>
      <c r="G74" s="22" t="s">
        <v>43</v>
      </c>
      <c r="H74" s="30">
        <f>1345.68+110.87+120</f>
        <v>1576.5500000000002</v>
      </c>
      <c r="I74" s="6" t="s">
        <v>67</v>
      </c>
      <c r="K74" s="38"/>
    </row>
    <row r="75" spans="1:11" s="1" customFormat="1">
      <c r="A75" s="9"/>
      <c r="B75" s="9"/>
      <c r="C75" s="10"/>
      <c r="D75" s="16">
        <f>104.99+90</f>
        <v>194.99</v>
      </c>
      <c r="E75" s="17" t="s">
        <v>14</v>
      </c>
      <c r="F75" s="26"/>
      <c r="G75" s="22"/>
      <c r="H75" s="30">
        <f>308.7+370.62+184.8-184.8+313-308.7</f>
        <v>683.61999999999989</v>
      </c>
      <c r="I75" s="6" t="s">
        <v>45</v>
      </c>
      <c r="K75" s="38"/>
    </row>
    <row r="76" spans="1:11" s="1" customFormat="1">
      <c r="A76" s="10"/>
      <c r="B76" s="13"/>
      <c r="C76" s="9"/>
      <c r="D76" s="16">
        <f>26.9</f>
        <v>26.9</v>
      </c>
      <c r="E76" s="17" t="s">
        <v>29</v>
      </c>
      <c r="F76" s="26"/>
      <c r="G76" s="22"/>
      <c r="H76" s="30">
        <f>8.28</f>
        <v>8.2799999999999994</v>
      </c>
      <c r="I76" s="6" t="s">
        <v>15</v>
      </c>
      <c r="K76" s="38"/>
    </row>
    <row r="77" spans="1:11" s="1" customFormat="1">
      <c r="A77" s="9"/>
      <c r="B77" s="9"/>
      <c r="C77" s="9"/>
      <c r="D77" s="16"/>
      <c r="E77" s="17"/>
      <c r="F77" s="26"/>
      <c r="G77" s="22"/>
      <c r="H77" s="30"/>
      <c r="I77" s="2"/>
      <c r="K77" s="4"/>
    </row>
    <row r="78" spans="1:11" s="1" customFormat="1">
      <c r="A78" s="11" t="s">
        <v>4</v>
      </c>
      <c r="B78" s="10"/>
      <c r="C78" s="10"/>
      <c r="D78" s="18">
        <f>SUM(D70:D77)</f>
        <v>480.77</v>
      </c>
      <c r="E78" s="6"/>
      <c r="F78" s="27">
        <f>SUM(F70:F77)</f>
        <v>219.77</v>
      </c>
      <c r="G78" s="23"/>
      <c r="H78" s="31">
        <f>SUM(H70:H77)</f>
        <v>4756.0600000000004</v>
      </c>
      <c r="I78" s="2"/>
    </row>
    <row r="79" spans="1:11" s="1" customFormat="1" ht="15.75" thickBot="1">
      <c r="A79" s="12" t="s">
        <v>5</v>
      </c>
      <c r="B79" s="34">
        <f>SUM(D78+F78+H78)</f>
        <v>5456.6</v>
      </c>
      <c r="C79" s="33"/>
      <c r="D79" s="19"/>
      <c r="E79" s="20"/>
      <c r="F79" s="28"/>
      <c r="G79" s="24"/>
      <c r="H79" s="32"/>
      <c r="I79" s="3"/>
    </row>
    <row r="80" spans="1:11" s="1" customFormat="1">
      <c r="A80" s="8" t="s">
        <v>108</v>
      </c>
      <c r="B80" s="8" t="s">
        <v>105</v>
      </c>
      <c r="C80" s="8" t="s">
        <v>66</v>
      </c>
      <c r="D80" s="14">
        <f>88.98+67.47+15</f>
        <v>171.45</v>
      </c>
      <c r="E80" s="15" t="s">
        <v>107</v>
      </c>
      <c r="F80" s="25"/>
      <c r="G80" s="21"/>
      <c r="H80" s="29">
        <f>1952.51+284.88</f>
        <v>2237.39</v>
      </c>
      <c r="I80" s="5" t="s">
        <v>67</v>
      </c>
    </row>
    <row r="81" spans="1:11" s="1" customFormat="1">
      <c r="A81" s="10"/>
      <c r="B81" s="37" t="s">
        <v>106</v>
      </c>
      <c r="C81" s="9"/>
      <c r="D81" s="16">
        <f>35.5+21.83+63</f>
        <v>120.33</v>
      </c>
      <c r="E81" s="17" t="s">
        <v>14</v>
      </c>
      <c r="F81" s="26"/>
      <c r="G81" s="22"/>
      <c r="H81" s="30">
        <f>229.06+444</f>
        <v>673.06</v>
      </c>
      <c r="I81" s="6" t="s">
        <v>45</v>
      </c>
    </row>
    <row r="82" spans="1:11" s="1" customFormat="1">
      <c r="A82" s="9"/>
      <c r="B82" s="9" t="s">
        <v>109</v>
      </c>
      <c r="C82" s="10"/>
      <c r="D82" s="16">
        <f>6.84+39.99+6.5+6.5</f>
        <v>59.83</v>
      </c>
      <c r="E82" s="17" t="s">
        <v>29</v>
      </c>
      <c r="F82" s="26"/>
      <c r="G82" s="22"/>
      <c r="H82" s="30">
        <f>34.98+14.94</f>
        <v>49.919999999999995</v>
      </c>
      <c r="I82" s="6" t="s">
        <v>15</v>
      </c>
      <c r="K82" s="38"/>
    </row>
    <row r="83" spans="1:11" s="1" customFormat="1">
      <c r="A83" s="9"/>
      <c r="B83" s="9"/>
      <c r="C83" s="10"/>
      <c r="D83" s="16"/>
      <c r="E83" s="17"/>
      <c r="F83" s="26"/>
      <c r="G83" s="22"/>
      <c r="H83" s="30"/>
      <c r="I83" s="6"/>
      <c r="K83" s="38"/>
    </row>
    <row r="84" spans="1:11" s="1" customFormat="1">
      <c r="A84" s="9"/>
      <c r="B84" s="9"/>
      <c r="C84" s="10"/>
      <c r="D84" s="16"/>
      <c r="E84" s="17"/>
      <c r="F84" s="26"/>
      <c r="G84" s="22"/>
      <c r="H84" s="30"/>
      <c r="I84" s="6"/>
      <c r="K84" s="38"/>
    </row>
    <row r="85" spans="1:11" s="1" customFormat="1">
      <c r="A85" s="9"/>
      <c r="B85" s="9"/>
      <c r="C85" s="10"/>
      <c r="D85" s="16"/>
      <c r="E85" s="17"/>
      <c r="F85" s="26"/>
      <c r="G85" s="22"/>
      <c r="H85" s="30"/>
      <c r="I85" s="6"/>
      <c r="K85" s="38"/>
    </row>
    <row r="86" spans="1:11" s="1" customFormat="1">
      <c r="A86" s="10"/>
      <c r="B86" s="13"/>
      <c r="C86" s="9"/>
      <c r="D86" s="16"/>
      <c r="E86" s="17"/>
      <c r="F86" s="26"/>
      <c r="G86" s="22"/>
      <c r="H86" s="30"/>
      <c r="I86" s="6"/>
      <c r="K86" s="38"/>
    </row>
    <row r="87" spans="1:11" s="1" customFormat="1">
      <c r="A87" s="9"/>
      <c r="B87" s="9"/>
      <c r="C87" s="9"/>
      <c r="D87" s="16"/>
      <c r="E87" s="17"/>
      <c r="F87" s="26"/>
      <c r="G87" s="22"/>
      <c r="H87" s="30"/>
      <c r="I87" s="2"/>
      <c r="K87" s="4"/>
    </row>
    <row r="88" spans="1:11" s="1" customFormat="1">
      <c r="A88" s="11" t="s">
        <v>4</v>
      </c>
      <c r="B88" s="10"/>
      <c r="C88" s="10"/>
      <c r="D88" s="18">
        <f>SUM(D80:D87)</f>
        <v>351.60999999999996</v>
      </c>
      <c r="E88" s="6"/>
      <c r="F88" s="27">
        <f>SUM(F80:F87)</f>
        <v>0</v>
      </c>
      <c r="G88" s="23"/>
      <c r="H88" s="31">
        <f>SUM(H80:H87)</f>
        <v>2960.37</v>
      </c>
      <c r="I88" s="2"/>
    </row>
    <row r="89" spans="1:11" s="1" customFormat="1" ht="15.75" thickBot="1">
      <c r="A89" s="12" t="s">
        <v>5</v>
      </c>
      <c r="B89" s="34">
        <f>SUM(D88+F88+H88)</f>
        <v>3311.98</v>
      </c>
      <c r="C89" s="33"/>
      <c r="D89" s="19"/>
      <c r="E89" s="20"/>
      <c r="F89" s="28"/>
      <c r="G89" s="24"/>
      <c r="H89" s="32"/>
      <c r="I89" s="3"/>
    </row>
    <row r="90" spans="1:11" s="1" customFormat="1">
      <c r="A90" s="8" t="s">
        <v>93</v>
      </c>
      <c r="B90" s="8" t="s">
        <v>55</v>
      </c>
      <c r="C90" s="8" t="s">
        <v>11</v>
      </c>
      <c r="D90" s="14">
        <f>41.21+190.29</f>
        <v>231.5</v>
      </c>
      <c r="E90" s="15" t="s">
        <v>16</v>
      </c>
      <c r="F90" s="25"/>
      <c r="G90" s="21" t="s">
        <v>50</v>
      </c>
      <c r="H90" s="29">
        <f>650.27</f>
        <v>650.27</v>
      </c>
      <c r="I90" s="5" t="s">
        <v>67</v>
      </c>
    </row>
    <row r="91" spans="1:11" s="1" customFormat="1">
      <c r="A91" s="10"/>
      <c r="B91" s="37" t="s">
        <v>94</v>
      </c>
      <c r="C91" s="9"/>
      <c r="D91" s="16">
        <f>13.16</f>
        <v>13.16</v>
      </c>
      <c r="E91" s="17" t="s">
        <v>14</v>
      </c>
      <c r="F91" s="26"/>
      <c r="G91" s="22" t="s">
        <v>31</v>
      </c>
      <c r="H91" s="30">
        <v>336.6</v>
      </c>
      <c r="I91" s="6" t="s">
        <v>45</v>
      </c>
    </row>
    <row r="92" spans="1:11" s="1" customFormat="1">
      <c r="A92" s="9"/>
      <c r="B92" s="9"/>
      <c r="C92" s="10"/>
      <c r="D92" s="16">
        <f>11.01</f>
        <v>11.01</v>
      </c>
      <c r="E92" s="17" t="s">
        <v>29</v>
      </c>
      <c r="F92" s="26"/>
      <c r="G92" s="22" t="s">
        <v>32</v>
      </c>
      <c r="H92" s="30">
        <f>20.65</f>
        <v>20.65</v>
      </c>
      <c r="I92" s="6" t="s">
        <v>15</v>
      </c>
      <c r="K92" s="38"/>
    </row>
    <row r="93" spans="1:11" s="1" customFormat="1">
      <c r="A93" s="9"/>
      <c r="B93" s="9"/>
      <c r="C93" s="10"/>
      <c r="D93" s="16"/>
      <c r="E93" s="17"/>
      <c r="F93" s="26"/>
      <c r="G93" s="22"/>
      <c r="H93" s="30"/>
      <c r="I93" s="6"/>
      <c r="K93" s="38"/>
    </row>
    <row r="94" spans="1:11" s="1" customFormat="1">
      <c r="A94" s="9"/>
      <c r="B94" s="9"/>
      <c r="C94" s="10" t="s">
        <v>12</v>
      </c>
      <c r="D94" s="16">
        <f>46.59</f>
        <v>46.59</v>
      </c>
      <c r="E94" s="17" t="s">
        <v>14</v>
      </c>
      <c r="F94" s="26"/>
      <c r="G94" s="22"/>
      <c r="H94" s="30">
        <f>650.27</f>
        <v>650.27</v>
      </c>
      <c r="I94" s="6" t="s">
        <v>67</v>
      </c>
      <c r="K94" s="38"/>
    </row>
    <row r="95" spans="1:11" s="1" customFormat="1">
      <c r="A95" s="9"/>
      <c r="B95" s="9"/>
      <c r="C95" s="10"/>
      <c r="D95" s="16">
        <v>163.82</v>
      </c>
      <c r="E95" s="17" t="s">
        <v>101</v>
      </c>
      <c r="F95" s="26"/>
      <c r="G95" s="22"/>
      <c r="H95" s="30">
        <v>336.6</v>
      </c>
      <c r="I95" s="6" t="s">
        <v>45</v>
      </c>
      <c r="K95" s="38"/>
    </row>
    <row r="96" spans="1:11" s="1" customFormat="1">
      <c r="A96" s="9"/>
      <c r="B96" s="9"/>
      <c r="C96" s="10"/>
      <c r="D96" s="16"/>
      <c r="E96" s="17"/>
      <c r="F96" s="26"/>
      <c r="G96" s="22"/>
      <c r="H96" s="30">
        <v>24.14</v>
      </c>
      <c r="I96" s="6" t="s">
        <v>15</v>
      </c>
      <c r="K96" s="38"/>
    </row>
    <row r="97" spans="1:11" s="1" customFormat="1">
      <c r="A97" s="9"/>
      <c r="B97" s="9"/>
      <c r="C97" s="9"/>
      <c r="D97" s="16"/>
      <c r="E97" s="17"/>
      <c r="F97" s="26"/>
      <c r="G97" s="22"/>
      <c r="H97" s="30"/>
      <c r="I97" s="2"/>
      <c r="K97" s="4"/>
    </row>
    <row r="98" spans="1:11" s="1" customFormat="1">
      <c r="A98" s="11" t="s">
        <v>4</v>
      </c>
      <c r="B98" s="10"/>
      <c r="C98" s="10"/>
      <c r="D98" s="18">
        <f>SUM(D90:D97)</f>
        <v>466.08</v>
      </c>
      <c r="E98" s="6"/>
      <c r="F98" s="27">
        <f>SUM(F90:F97)</f>
        <v>0</v>
      </c>
      <c r="G98" s="23"/>
      <c r="H98" s="31">
        <f>SUM(H90:H97)</f>
        <v>2018.53</v>
      </c>
      <c r="I98" s="2"/>
    </row>
    <row r="99" spans="1:11" s="1" customFormat="1" ht="15.75" thickBot="1">
      <c r="A99" s="12" t="s">
        <v>5</v>
      </c>
      <c r="B99" s="34">
        <f>SUM(D98+F98+H98)</f>
        <v>2484.61</v>
      </c>
      <c r="C99" s="33"/>
      <c r="D99" s="19"/>
      <c r="E99" s="20"/>
      <c r="F99" s="28"/>
      <c r="G99" s="24"/>
      <c r="H99" s="32"/>
      <c r="I99" s="3"/>
    </row>
    <row r="100" spans="1:11" s="1" customFormat="1">
      <c r="A100" s="8" t="s">
        <v>90</v>
      </c>
      <c r="B100" s="8" t="s">
        <v>79</v>
      </c>
      <c r="C100" s="8" t="s">
        <v>20</v>
      </c>
      <c r="D100" s="14">
        <f>31.2</f>
        <v>31.2</v>
      </c>
      <c r="E100" s="15" t="s">
        <v>16</v>
      </c>
      <c r="F100" s="25">
        <f>5.85</f>
        <v>5.85</v>
      </c>
      <c r="G100" s="21" t="s">
        <v>50</v>
      </c>
      <c r="H100" s="29">
        <v>267.14</v>
      </c>
      <c r="I100" s="5" t="s">
        <v>67</v>
      </c>
    </row>
    <row r="101" spans="1:11" s="1" customFormat="1">
      <c r="A101" s="10"/>
      <c r="B101" s="37" t="s">
        <v>27</v>
      </c>
      <c r="C101" s="9"/>
      <c r="D101" s="16">
        <f>20</f>
        <v>20</v>
      </c>
      <c r="E101" s="17" t="s">
        <v>14</v>
      </c>
      <c r="F101" s="26">
        <f>1.5</f>
        <v>1.5</v>
      </c>
      <c r="G101" s="22" t="s">
        <v>31</v>
      </c>
      <c r="H101" s="30"/>
      <c r="I101" s="6"/>
    </row>
    <row r="102" spans="1:11" s="1" customFormat="1">
      <c r="A102" s="9"/>
      <c r="B102" s="9"/>
      <c r="C102" s="10"/>
      <c r="D102" s="16"/>
      <c r="E102" s="17"/>
      <c r="F102" s="26">
        <f>11</f>
        <v>11</v>
      </c>
      <c r="G102" s="22" t="s">
        <v>32</v>
      </c>
      <c r="H102" s="30">
        <v>3</v>
      </c>
      <c r="I102" s="6" t="s">
        <v>15</v>
      </c>
      <c r="K102" s="38"/>
    </row>
    <row r="103" spans="1:11" s="1" customFormat="1">
      <c r="A103" s="9"/>
      <c r="B103" s="9"/>
      <c r="C103" s="9"/>
      <c r="D103" s="16"/>
      <c r="E103" s="17"/>
      <c r="F103" s="26"/>
      <c r="G103" s="22"/>
      <c r="H103" s="30"/>
      <c r="I103" s="2"/>
      <c r="K103" s="4"/>
    </row>
    <row r="104" spans="1:11" s="1" customFormat="1">
      <c r="A104" s="11" t="s">
        <v>4</v>
      </c>
      <c r="B104" s="10"/>
      <c r="C104" s="10"/>
      <c r="D104" s="18">
        <f>SUM(D100:D103)</f>
        <v>51.2</v>
      </c>
      <c r="E104" s="6"/>
      <c r="F104" s="27">
        <f>SUM(F100:F103)</f>
        <v>18.350000000000001</v>
      </c>
      <c r="G104" s="23"/>
      <c r="H104" s="31">
        <f>SUM(H100:H103)</f>
        <v>270.14</v>
      </c>
      <c r="I104" s="2"/>
    </row>
    <row r="105" spans="1:11" s="1" customFormat="1" ht="15.75" thickBot="1">
      <c r="A105" s="12" t="s">
        <v>5</v>
      </c>
      <c r="B105" s="34">
        <f>SUM(D104+F104+H104)</f>
        <v>339.69</v>
      </c>
      <c r="C105" s="33"/>
      <c r="D105" s="19"/>
      <c r="E105" s="20"/>
      <c r="F105" s="28"/>
      <c r="G105" s="24"/>
      <c r="H105" s="32"/>
      <c r="I105" s="3"/>
    </row>
    <row r="106" spans="1:11" s="1" customFormat="1">
      <c r="A106" s="8" t="s">
        <v>85</v>
      </c>
      <c r="B106" s="8" t="s">
        <v>86</v>
      </c>
      <c r="C106" s="8" t="s">
        <v>65</v>
      </c>
      <c r="D106" s="14">
        <f>79.91</f>
        <v>79.91</v>
      </c>
      <c r="E106" s="15" t="s">
        <v>112</v>
      </c>
      <c r="F106" s="25">
        <f>232.4</f>
        <v>232.4</v>
      </c>
      <c r="G106" s="21" t="s">
        <v>42</v>
      </c>
      <c r="H106" s="29">
        <f>115.37</f>
        <v>115.37</v>
      </c>
      <c r="I106" s="5" t="s">
        <v>67</v>
      </c>
    </row>
    <row r="107" spans="1:11" s="1" customFormat="1">
      <c r="A107" s="10"/>
      <c r="B107" s="37" t="s">
        <v>87</v>
      </c>
      <c r="C107" s="9"/>
      <c r="D107" s="16">
        <f>401.49</f>
        <v>401.49</v>
      </c>
      <c r="E107" s="17" t="s">
        <v>14</v>
      </c>
      <c r="F107" s="26">
        <f>76</f>
        <v>76</v>
      </c>
      <c r="G107" s="22" t="s">
        <v>43</v>
      </c>
      <c r="H107" s="30">
        <f>427.48-427.48+460</f>
        <v>460</v>
      </c>
      <c r="I107" s="6" t="s">
        <v>45</v>
      </c>
    </row>
    <row r="108" spans="1:11" s="1" customFormat="1">
      <c r="A108" s="9"/>
      <c r="B108" s="9"/>
      <c r="C108" s="10"/>
      <c r="D108" s="16">
        <f>50</f>
        <v>50</v>
      </c>
      <c r="E108" s="17" t="s">
        <v>29</v>
      </c>
      <c r="F108" s="26"/>
      <c r="G108" s="22"/>
      <c r="H108" s="30">
        <f>8.52</f>
        <v>8.52</v>
      </c>
      <c r="I108" s="6" t="s">
        <v>15</v>
      </c>
      <c r="K108" s="38"/>
    </row>
    <row r="109" spans="1:11" s="1" customFormat="1">
      <c r="A109" s="10"/>
      <c r="B109" s="13"/>
      <c r="C109" s="9"/>
      <c r="D109" s="16"/>
      <c r="E109" s="17"/>
      <c r="F109" s="26"/>
      <c r="G109" s="22"/>
      <c r="H109" s="30"/>
      <c r="I109" s="6"/>
      <c r="K109" s="38"/>
    </row>
    <row r="110" spans="1:11" s="1" customFormat="1">
      <c r="A110" s="10"/>
      <c r="B110" s="13"/>
      <c r="C110" s="9" t="s">
        <v>57</v>
      </c>
      <c r="D110" s="16">
        <f>67+118.8</f>
        <v>185.8</v>
      </c>
      <c r="E110" s="17" t="s">
        <v>16</v>
      </c>
      <c r="F110" s="26">
        <f>41.24</f>
        <v>41.24</v>
      </c>
      <c r="G110" s="22" t="s">
        <v>97</v>
      </c>
      <c r="H110" s="30">
        <f>186.55</f>
        <v>186.55</v>
      </c>
      <c r="I110" s="6" t="s">
        <v>67</v>
      </c>
      <c r="K110" s="38"/>
    </row>
    <row r="111" spans="1:11" s="1" customFormat="1">
      <c r="A111" s="10"/>
      <c r="B111" s="13"/>
      <c r="C111" s="9"/>
      <c r="D111" s="16">
        <f>44.3+13.33</f>
        <v>57.629999999999995</v>
      </c>
      <c r="E111" s="17" t="s">
        <v>14</v>
      </c>
      <c r="F111" s="26"/>
      <c r="G111" s="22"/>
      <c r="H111" s="30">
        <f>427.48-427.48+460</f>
        <v>460</v>
      </c>
      <c r="I111" s="6" t="s">
        <v>45</v>
      </c>
    </row>
    <row r="112" spans="1:11" s="1" customFormat="1">
      <c r="A112" s="10"/>
      <c r="B112" s="13"/>
      <c r="C112" s="9"/>
      <c r="D112" s="16">
        <f>65+73.7</f>
        <v>138.69999999999999</v>
      </c>
      <c r="E112" s="17" t="s">
        <v>29</v>
      </c>
      <c r="F112" s="26"/>
      <c r="G112" s="22"/>
      <c r="H112" s="30"/>
      <c r="I112" s="6"/>
    </row>
    <row r="113" spans="1:11" s="1" customFormat="1">
      <c r="A113" s="9"/>
      <c r="B113" s="9"/>
      <c r="C113" s="9"/>
      <c r="D113" s="16"/>
      <c r="E113" s="17"/>
      <c r="F113" s="26"/>
      <c r="G113" s="22"/>
      <c r="H113" s="30"/>
      <c r="I113" s="2"/>
      <c r="K113" s="4"/>
    </row>
    <row r="114" spans="1:11" s="1" customFormat="1">
      <c r="A114" s="11" t="s">
        <v>4</v>
      </c>
      <c r="B114" s="10"/>
      <c r="C114" s="10"/>
      <c r="D114" s="18">
        <f>SUM(D106:D113)</f>
        <v>913.53</v>
      </c>
      <c r="E114" s="6"/>
      <c r="F114" s="27">
        <f>SUM(F106:F113)</f>
        <v>349.64</v>
      </c>
      <c r="G114" s="23"/>
      <c r="H114" s="31">
        <f>SUM(H106:H113)</f>
        <v>1230.44</v>
      </c>
      <c r="I114" s="2"/>
    </row>
    <row r="115" spans="1:11" s="1" customFormat="1" ht="15.75" thickBot="1">
      <c r="A115" s="12" t="s">
        <v>5</v>
      </c>
      <c r="B115" s="34">
        <f>SUM(D114+F114+H114)</f>
        <v>2493.61</v>
      </c>
      <c r="C115" s="33"/>
      <c r="D115" s="19"/>
      <c r="E115" s="20"/>
      <c r="F115" s="28"/>
      <c r="G115" s="24"/>
      <c r="H115" s="32"/>
      <c r="I115" s="3"/>
    </row>
    <row r="116" spans="1:11" ht="15.75" thickBot="1"/>
    <row r="117" spans="1:11" ht="20.25" thickBot="1">
      <c r="A117" s="35" t="s">
        <v>8</v>
      </c>
      <c r="B117" s="36">
        <f>SUM(B8,B17,B31,B41,B49,B59,B69,B79,B89,B99,B105,B115)</f>
        <v>36280.939999999995</v>
      </c>
      <c r="J117" s="1"/>
      <c r="K117" s="40"/>
    </row>
    <row r="118" spans="1:11">
      <c r="J118" s="1"/>
      <c r="K118" s="40"/>
    </row>
    <row r="119" spans="1:11">
      <c r="J119" s="1"/>
      <c r="K119" s="40"/>
    </row>
    <row r="120" spans="1:11">
      <c r="J120" s="1"/>
      <c r="K120" s="40"/>
    </row>
    <row r="121" spans="1:11">
      <c r="J121" s="1"/>
      <c r="K121" s="40"/>
    </row>
    <row r="122" spans="1:11">
      <c r="J122" s="1"/>
      <c r="K122" s="41"/>
    </row>
    <row r="123" spans="1:11">
      <c r="J123" s="1"/>
      <c r="K123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topLeftCell="A64" workbookViewId="0">
      <selection activeCell="I85" sqref="I85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11" s="1" customFormat="1">
      <c r="A2" s="43" t="s">
        <v>136</v>
      </c>
      <c r="B2" s="8" t="s">
        <v>34</v>
      </c>
      <c r="C2" s="8" t="s">
        <v>70</v>
      </c>
      <c r="D2" s="14">
        <f>167.53</f>
        <v>167.53</v>
      </c>
      <c r="E2" s="15" t="s">
        <v>16</v>
      </c>
      <c r="F2" s="25"/>
      <c r="G2" s="21"/>
      <c r="H2" s="29">
        <f>1232.06</f>
        <v>1232.06</v>
      </c>
      <c r="I2" s="5" t="s">
        <v>67</v>
      </c>
    </row>
    <row r="3" spans="1:11" s="1" customFormat="1">
      <c r="A3" s="10"/>
      <c r="B3" s="37" t="s">
        <v>99</v>
      </c>
      <c r="C3" s="9"/>
      <c r="D3" s="16">
        <f>117.4+70.68</f>
        <v>188.08</v>
      </c>
      <c r="E3" s="17" t="s">
        <v>14</v>
      </c>
      <c r="F3" s="26"/>
      <c r="G3" s="22"/>
      <c r="H3" s="30">
        <f>684.7</f>
        <v>684.7</v>
      </c>
      <c r="I3" s="6" t="s">
        <v>45</v>
      </c>
    </row>
    <row r="4" spans="1:11" s="1" customFormat="1">
      <c r="A4" s="9"/>
      <c r="B4" s="9"/>
      <c r="C4" s="10"/>
      <c r="D4" s="16"/>
      <c r="E4" s="17"/>
      <c r="F4" s="26"/>
      <c r="G4" s="22"/>
      <c r="H4" s="30">
        <v>106.65</v>
      </c>
      <c r="I4" s="6" t="s">
        <v>15</v>
      </c>
      <c r="K4" s="38"/>
    </row>
    <row r="5" spans="1:11" s="1" customFormat="1">
      <c r="A5" s="9"/>
      <c r="B5" s="9"/>
      <c r="C5" s="10"/>
      <c r="D5" s="16"/>
      <c r="E5" s="17"/>
      <c r="F5" s="26"/>
      <c r="G5" s="22"/>
      <c r="H5" s="30"/>
      <c r="I5" s="6"/>
      <c r="K5" s="38"/>
    </row>
    <row r="6" spans="1:11" s="1" customFormat="1">
      <c r="A6" s="9"/>
      <c r="B6" s="9"/>
      <c r="C6" s="10" t="s">
        <v>257</v>
      </c>
      <c r="D6" s="16"/>
      <c r="E6" s="17"/>
      <c r="F6" s="26"/>
      <c r="G6" s="22"/>
      <c r="H6" s="30">
        <f>489.84+837.3-1327.14</f>
        <v>0</v>
      </c>
      <c r="I6" s="6" t="s">
        <v>67</v>
      </c>
      <c r="K6" s="38"/>
    </row>
    <row r="7" spans="1:11" s="1" customFormat="1">
      <c r="A7" s="9"/>
      <c r="B7" s="9"/>
      <c r="C7" s="10"/>
      <c r="D7" s="16"/>
      <c r="E7" s="17"/>
      <c r="F7" s="26"/>
      <c r="G7" s="22"/>
      <c r="H7" s="30">
        <f>131.8</f>
        <v>131.80000000000001</v>
      </c>
      <c r="I7" s="6" t="s">
        <v>258</v>
      </c>
      <c r="K7" s="38"/>
    </row>
    <row r="8" spans="1:11" s="1" customFormat="1">
      <c r="A8" s="9"/>
      <c r="B8" s="9"/>
      <c r="C8" s="10"/>
      <c r="D8" s="16"/>
      <c r="E8" s="17"/>
      <c r="F8" s="26"/>
      <c r="G8" s="22"/>
      <c r="H8" s="30"/>
      <c r="I8" s="6"/>
      <c r="K8" s="38"/>
    </row>
    <row r="9" spans="1:11" s="1" customFormat="1">
      <c r="A9" s="10"/>
      <c r="B9" s="13"/>
      <c r="C9" s="9" t="s">
        <v>75</v>
      </c>
      <c r="D9" s="16">
        <f>21.93</f>
        <v>21.93</v>
      </c>
      <c r="E9" s="17" t="s">
        <v>16</v>
      </c>
      <c r="F9" s="26"/>
      <c r="G9" s="22"/>
      <c r="H9" s="30">
        <v>100</v>
      </c>
      <c r="I9" s="6" t="s">
        <v>45</v>
      </c>
      <c r="K9" s="38"/>
    </row>
    <row r="10" spans="1:11" s="1" customFormat="1">
      <c r="A10" s="9"/>
      <c r="B10" s="9"/>
      <c r="C10" s="9" t="s">
        <v>131</v>
      </c>
      <c r="D10" s="16">
        <f>58.5</f>
        <v>58.5</v>
      </c>
      <c r="E10" s="17" t="s">
        <v>14</v>
      </c>
      <c r="F10" s="26"/>
      <c r="G10" s="22"/>
      <c r="H10" s="30">
        <f>116+86</f>
        <v>202</v>
      </c>
      <c r="I10" s="2" t="s">
        <v>32</v>
      </c>
      <c r="K10" s="4"/>
    </row>
    <row r="11" spans="1:11" s="1" customFormat="1">
      <c r="A11" s="9"/>
      <c r="B11" s="9"/>
      <c r="C11" s="9"/>
      <c r="D11" s="16">
        <v>50</v>
      </c>
      <c r="E11" s="17" t="s">
        <v>140</v>
      </c>
      <c r="F11" s="26"/>
      <c r="G11" s="22"/>
      <c r="H11" s="30">
        <v>13</v>
      </c>
      <c r="I11" s="2" t="s">
        <v>15</v>
      </c>
      <c r="K11" s="4"/>
    </row>
    <row r="12" spans="1:11" s="1" customFormat="1">
      <c r="A12" s="9"/>
      <c r="B12" s="9"/>
      <c r="C12" s="9"/>
      <c r="D12" s="16"/>
      <c r="E12" s="17"/>
      <c r="F12" s="26"/>
      <c r="G12" s="22"/>
      <c r="H12" s="30"/>
      <c r="I12" s="2"/>
      <c r="K12" s="4"/>
    </row>
    <row r="13" spans="1:11" s="1" customFormat="1">
      <c r="A13" s="11" t="s">
        <v>4</v>
      </c>
      <c r="B13" s="10"/>
      <c r="C13" s="10"/>
      <c r="D13" s="18">
        <f>SUM(D2:D11)</f>
        <v>486.04</v>
      </c>
      <c r="E13" s="6"/>
      <c r="F13" s="27">
        <f>SUM(F2:F10)</f>
        <v>0</v>
      </c>
      <c r="G13" s="23"/>
      <c r="H13" s="31">
        <f>SUM(H2:H11)</f>
        <v>2470.21</v>
      </c>
      <c r="I13" s="2"/>
    </row>
    <row r="14" spans="1:11" s="1" customFormat="1" ht="15.75" thickBot="1">
      <c r="A14" s="12" t="s">
        <v>5</v>
      </c>
      <c r="B14" s="34">
        <f>SUM(D13+F13+H13)</f>
        <v>2956.25</v>
      </c>
      <c r="C14" s="33"/>
      <c r="D14" s="19"/>
      <c r="E14" s="20"/>
      <c r="F14" s="28"/>
      <c r="G14" s="24"/>
      <c r="H14" s="32"/>
      <c r="I14" s="3"/>
    </row>
    <row r="15" spans="1:11" s="1" customFormat="1">
      <c r="A15" s="43" t="s">
        <v>118</v>
      </c>
      <c r="B15" s="8" t="s">
        <v>119</v>
      </c>
      <c r="C15" s="8" t="s">
        <v>20</v>
      </c>
      <c r="D15" s="14">
        <f>59.05+53.36+113.87</f>
        <v>226.28</v>
      </c>
      <c r="E15" s="15" t="s">
        <v>16</v>
      </c>
      <c r="F15" s="25">
        <v>3.9</v>
      </c>
      <c r="G15" s="21" t="s">
        <v>50</v>
      </c>
      <c r="H15" s="29">
        <f>1558.38+121.26+1091.62+169.1</f>
        <v>2940.36</v>
      </c>
      <c r="I15" s="5" t="s">
        <v>67</v>
      </c>
    </row>
    <row r="16" spans="1:11" s="1" customFormat="1">
      <c r="A16" s="10"/>
      <c r="B16" s="37" t="s">
        <v>19</v>
      </c>
      <c r="C16" s="9"/>
      <c r="D16" s="16">
        <f>7.6+98.53+75.62</f>
        <v>181.75</v>
      </c>
      <c r="E16" s="17" t="s">
        <v>14</v>
      </c>
      <c r="F16" s="26">
        <v>2.4500000000000002</v>
      </c>
      <c r="G16" s="22" t="s">
        <v>43</v>
      </c>
      <c r="H16" s="30">
        <f>1111.34+892.6+976.5-892.6</f>
        <v>2087.84</v>
      </c>
      <c r="I16" s="6" t="s">
        <v>45</v>
      </c>
    </row>
    <row r="17" spans="1:11" s="1" customFormat="1">
      <c r="A17" s="9"/>
      <c r="B17" s="9" t="s">
        <v>106</v>
      </c>
      <c r="C17" s="10"/>
      <c r="D17" s="16">
        <f>57.81+10.59</f>
        <v>68.400000000000006</v>
      </c>
      <c r="E17" s="17" t="s">
        <v>29</v>
      </c>
      <c r="F17" s="26">
        <f>14.4</f>
        <v>14.4</v>
      </c>
      <c r="G17" s="22" t="s">
        <v>32</v>
      </c>
      <c r="H17" s="30">
        <f>74.32</f>
        <v>74.319999999999993</v>
      </c>
      <c r="I17" s="6" t="s">
        <v>15</v>
      </c>
      <c r="K17" s="38"/>
    </row>
    <row r="18" spans="1:11" s="1" customFormat="1">
      <c r="A18" s="10"/>
      <c r="B18" s="13"/>
      <c r="C18" s="9"/>
      <c r="D18" s="16"/>
      <c r="E18" s="17"/>
      <c r="F18" s="26">
        <f>3</f>
        <v>3</v>
      </c>
      <c r="G18" s="22" t="s">
        <v>31</v>
      </c>
      <c r="H18" s="30"/>
      <c r="I18" s="6"/>
      <c r="K18" s="38"/>
    </row>
    <row r="19" spans="1:11" s="1" customFormat="1">
      <c r="A19" s="10"/>
      <c r="B19" s="13"/>
      <c r="C19" s="9"/>
      <c r="D19" s="16"/>
      <c r="E19" s="17"/>
      <c r="F19" s="26"/>
      <c r="G19" s="22"/>
      <c r="H19" s="30"/>
      <c r="I19" s="6"/>
      <c r="K19" s="38"/>
    </row>
    <row r="20" spans="1:11" s="1" customFormat="1">
      <c r="A20" s="10"/>
      <c r="B20" s="13"/>
      <c r="C20" s="9" t="s">
        <v>77</v>
      </c>
      <c r="D20" s="16">
        <f>83.43+389.67</f>
        <v>473.1</v>
      </c>
      <c r="E20" s="17" t="s">
        <v>16</v>
      </c>
      <c r="F20" s="26"/>
      <c r="G20" s="22"/>
      <c r="H20" s="30">
        <f>380.32+121.26+1060.91+169.1</f>
        <v>1731.59</v>
      </c>
      <c r="I20" s="6" t="s">
        <v>67</v>
      </c>
      <c r="K20" s="38"/>
    </row>
    <row r="21" spans="1:11" s="1" customFormat="1">
      <c r="A21" s="10"/>
      <c r="B21" s="13"/>
      <c r="C21" s="9"/>
      <c r="D21" s="16">
        <f>224.23+21.6+51.48</f>
        <v>297.31</v>
      </c>
      <c r="E21" s="17" t="s">
        <v>14</v>
      </c>
      <c r="F21" s="26"/>
      <c r="G21" s="22"/>
      <c r="H21" s="30">
        <f>1119.94+612.08+848.5-612.08</f>
        <v>1968.44</v>
      </c>
      <c r="I21" s="6" t="s">
        <v>45</v>
      </c>
      <c r="K21" s="38"/>
    </row>
    <row r="22" spans="1:11" s="1" customFormat="1">
      <c r="A22" s="10"/>
      <c r="B22" s="13"/>
      <c r="C22" s="9"/>
      <c r="D22" s="16"/>
      <c r="E22" s="17"/>
      <c r="F22" s="26"/>
      <c r="G22" s="22"/>
      <c r="H22" s="30">
        <v>129.91</v>
      </c>
      <c r="I22" s="6" t="s">
        <v>15</v>
      </c>
      <c r="K22" s="38"/>
    </row>
    <row r="23" spans="1:11" s="1" customFormat="1">
      <c r="A23" s="9"/>
      <c r="B23" s="9"/>
      <c r="C23" s="9"/>
      <c r="D23" s="16"/>
      <c r="E23" s="17"/>
      <c r="F23" s="26"/>
      <c r="G23" s="22"/>
      <c r="H23" s="30"/>
      <c r="I23" s="2"/>
      <c r="K23" s="4"/>
    </row>
    <row r="24" spans="1:11" s="1" customFormat="1">
      <c r="A24" s="11" t="s">
        <v>4</v>
      </c>
      <c r="B24" s="10"/>
      <c r="C24" s="10"/>
      <c r="D24" s="18">
        <f>SUM(D15:D23)</f>
        <v>1246.8399999999999</v>
      </c>
      <c r="E24" s="6"/>
      <c r="F24" s="27">
        <f>SUM(F15:F23)</f>
        <v>23.75</v>
      </c>
      <c r="G24" s="23"/>
      <c r="H24" s="31">
        <f>SUM(H15:H23)</f>
        <v>8932.4600000000009</v>
      </c>
      <c r="I24" s="2"/>
    </row>
    <row r="25" spans="1:11" s="1" customFormat="1" ht="15.75" thickBot="1">
      <c r="A25" s="12" t="s">
        <v>5</v>
      </c>
      <c r="B25" s="34">
        <f>SUM(D24+F24+H24)</f>
        <v>10203.050000000001</v>
      </c>
      <c r="C25" s="33"/>
      <c r="D25" s="19"/>
      <c r="E25" s="20"/>
      <c r="F25" s="28"/>
      <c r="G25" s="24"/>
      <c r="H25" s="32"/>
      <c r="I25" s="3"/>
    </row>
    <row r="26" spans="1:11" s="1" customFormat="1">
      <c r="A26" s="43" t="s">
        <v>122</v>
      </c>
      <c r="B26" s="8" t="s">
        <v>123</v>
      </c>
      <c r="C26" s="8" t="s">
        <v>65</v>
      </c>
      <c r="D26" s="14">
        <f>287.66</f>
        <v>287.66000000000003</v>
      </c>
      <c r="E26" s="15" t="s">
        <v>16</v>
      </c>
      <c r="F26" s="25">
        <f>92.6</f>
        <v>92.6</v>
      </c>
      <c r="G26" s="21" t="s">
        <v>43</v>
      </c>
      <c r="H26" s="29">
        <f>725.78-525.78</f>
        <v>200</v>
      </c>
      <c r="I26" s="5" t="s">
        <v>67</v>
      </c>
    </row>
    <row r="27" spans="1:11" s="1" customFormat="1">
      <c r="A27" s="10"/>
      <c r="B27" s="37" t="s">
        <v>124</v>
      </c>
      <c r="C27" s="9"/>
      <c r="D27" s="16">
        <f>30+13.01</f>
        <v>43.01</v>
      </c>
      <c r="E27" s="17" t="s">
        <v>14</v>
      </c>
      <c r="F27" s="26">
        <f>116.2</f>
        <v>116.2</v>
      </c>
      <c r="G27" s="22" t="s">
        <v>42</v>
      </c>
      <c r="H27" s="30">
        <v>834.81</v>
      </c>
      <c r="I27" s="6" t="s">
        <v>45</v>
      </c>
    </row>
    <row r="28" spans="1:11" s="1" customFormat="1">
      <c r="A28" s="9"/>
      <c r="B28" s="9"/>
      <c r="C28" s="10"/>
      <c r="D28" s="16">
        <f>10</f>
        <v>10</v>
      </c>
      <c r="E28" s="17" t="s">
        <v>29</v>
      </c>
      <c r="F28" s="26"/>
      <c r="G28" s="22"/>
      <c r="H28" s="30">
        <f>144.7</f>
        <v>144.69999999999999</v>
      </c>
      <c r="I28" s="6" t="s">
        <v>15</v>
      </c>
      <c r="K28" s="38"/>
    </row>
    <row r="29" spans="1:11" s="1" customFormat="1">
      <c r="A29" s="10"/>
      <c r="B29" s="13"/>
      <c r="C29" s="9"/>
      <c r="D29" s="16"/>
      <c r="E29" s="17"/>
      <c r="F29" s="26"/>
      <c r="G29" s="22"/>
      <c r="H29" s="30"/>
      <c r="I29" s="6"/>
      <c r="K29" s="38"/>
    </row>
    <row r="30" spans="1:11" s="1" customFormat="1">
      <c r="A30" s="10"/>
      <c r="B30" s="13"/>
      <c r="C30" s="9" t="s">
        <v>76</v>
      </c>
      <c r="D30" s="16">
        <f>13.9+11.3</f>
        <v>25.200000000000003</v>
      </c>
      <c r="E30" s="17" t="s">
        <v>16</v>
      </c>
      <c r="F30" s="26">
        <f>39.1</f>
        <v>39.1</v>
      </c>
      <c r="G30" s="22" t="s">
        <v>43</v>
      </c>
      <c r="H30" s="30">
        <v>725.28</v>
      </c>
      <c r="I30" s="6" t="s">
        <v>67</v>
      </c>
      <c r="K30" s="38"/>
    </row>
    <row r="31" spans="1:11" s="1" customFormat="1">
      <c r="A31" s="10"/>
      <c r="B31" s="13"/>
      <c r="C31" s="9"/>
      <c r="D31" s="16">
        <f>13.64</f>
        <v>13.64</v>
      </c>
      <c r="E31" s="17" t="s">
        <v>14</v>
      </c>
      <c r="F31" s="26">
        <f>16.22</f>
        <v>16.22</v>
      </c>
      <c r="G31" s="22" t="s">
        <v>42</v>
      </c>
      <c r="H31" s="30">
        <v>1531.23</v>
      </c>
      <c r="I31" s="6" t="s">
        <v>45</v>
      </c>
      <c r="K31" s="38"/>
    </row>
    <row r="32" spans="1:11" s="1" customFormat="1">
      <c r="A32" s="10"/>
      <c r="B32" s="13"/>
      <c r="C32" s="9"/>
      <c r="D32" s="16">
        <f>10</f>
        <v>10</v>
      </c>
      <c r="E32" s="17" t="s">
        <v>29</v>
      </c>
      <c r="F32" s="26">
        <f>5.8</f>
        <v>5.8</v>
      </c>
      <c r="G32" s="22" t="s">
        <v>50</v>
      </c>
      <c r="H32" s="30">
        <f>926.53</f>
        <v>926.53</v>
      </c>
      <c r="I32" s="6" t="s">
        <v>15</v>
      </c>
      <c r="K32" s="38"/>
    </row>
    <row r="33" spans="1:11" s="1" customFormat="1">
      <c r="A33" s="10"/>
      <c r="B33" s="13"/>
      <c r="C33" s="9"/>
      <c r="D33" s="16"/>
      <c r="E33" s="17"/>
      <c r="F33" s="26"/>
      <c r="G33" s="22"/>
      <c r="H33" s="30"/>
      <c r="I33" s="6"/>
      <c r="K33" s="38"/>
    </row>
    <row r="34" spans="1:11" s="1" customFormat="1">
      <c r="A34" s="10"/>
      <c r="B34" s="13"/>
      <c r="C34" s="9" t="s">
        <v>57</v>
      </c>
      <c r="D34" s="16">
        <f>4+90.75</f>
        <v>94.75</v>
      </c>
      <c r="E34" s="17" t="s">
        <v>107</v>
      </c>
      <c r="F34" s="26">
        <v>21</v>
      </c>
      <c r="G34" s="22" t="s">
        <v>32</v>
      </c>
      <c r="H34" s="30">
        <v>745.78</v>
      </c>
      <c r="I34" s="6" t="s">
        <v>67</v>
      </c>
      <c r="K34" s="38"/>
    </row>
    <row r="35" spans="1:11" s="1" customFormat="1">
      <c r="A35" s="10"/>
      <c r="B35" s="13"/>
      <c r="C35" s="9"/>
      <c r="D35" s="16">
        <f>17.3+34.65</f>
        <v>51.95</v>
      </c>
      <c r="E35" s="17" t="s">
        <v>14</v>
      </c>
      <c r="F35" s="26"/>
      <c r="G35" s="22"/>
      <c r="H35" s="30">
        <v>1007.65</v>
      </c>
      <c r="I35" s="6" t="s">
        <v>45</v>
      </c>
      <c r="K35" s="38"/>
    </row>
    <row r="36" spans="1:11" s="1" customFormat="1">
      <c r="A36" s="10"/>
      <c r="B36" s="13"/>
      <c r="C36" s="9"/>
      <c r="D36" s="16">
        <v>4.0999999999999996</v>
      </c>
      <c r="E36" s="17" t="s">
        <v>29</v>
      </c>
      <c r="F36" s="26"/>
      <c r="G36" s="22"/>
      <c r="H36" s="30">
        <v>59.39</v>
      </c>
      <c r="I36" s="6" t="s">
        <v>15</v>
      </c>
      <c r="K36" s="38"/>
    </row>
    <row r="37" spans="1:11" s="1" customFormat="1">
      <c r="A37" s="10"/>
      <c r="B37" s="13"/>
      <c r="C37" s="9"/>
      <c r="D37" s="16"/>
      <c r="E37" s="17"/>
      <c r="F37" s="26"/>
      <c r="G37" s="22"/>
      <c r="H37" s="30"/>
      <c r="I37" s="6"/>
      <c r="K37" s="38"/>
    </row>
    <row r="38" spans="1:11" s="1" customFormat="1">
      <c r="A38" s="10"/>
      <c r="B38" s="13"/>
      <c r="C38" s="9" t="s">
        <v>12</v>
      </c>
      <c r="D38" s="16">
        <f>41.73</f>
        <v>41.73</v>
      </c>
      <c r="E38" s="17" t="s">
        <v>16</v>
      </c>
      <c r="F38" s="26"/>
      <c r="G38" s="22"/>
      <c r="H38" s="30">
        <v>358.42</v>
      </c>
      <c r="I38" s="6" t="s">
        <v>67</v>
      </c>
      <c r="K38" s="38"/>
    </row>
    <row r="39" spans="1:11" s="1" customFormat="1">
      <c r="A39" s="10"/>
      <c r="B39" s="13"/>
      <c r="C39" s="9"/>
      <c r="D39" s="16">
        <f>40.1</f>
        <v>40.1</v>
      </c>
      <c r="E39" s="17" t="s">
        <v>14</v>
      </c>
      <c r="F39" s="26"/>
      <c r="G39" s="22"/>
      <c r="H39" s="30">
        <v>834.81</v>
      </c>
      <c r="I39" s="6" t="s">
        <v>45</v>
      </c>
      <c r="K39" s="38"/>
    </row>
    <row r="40" spans="1:11" s="1" customFormat="1">
      <c r="A40" s="10"/>
      <c r="B40" s="13"/>
      <c r="C40" s="9"/>
      <c r="D40" s="16"/>
      <c r="E40" s="17"/>
      <c r="F40" s="26"/>
      <c r="G40" s="22"/>
      <c r="H40" s="30">
        <v>125.27</v>
      </c>
      <c r="I40" s="6" t="s">
        <v>15</v>
      </c>
      <c r="K40" s="38"/>
    </row>
    <row r="41" spans="1:11" s="1" customFormat="1">
      <c r="A41" s="10"/>
      <c r="B41" s="13"/>
      <c r="C41" s="9"/>
      <c r="D41" s="16"/>
      <c r="E41" s="17"/>
      <c r="F41" s="26"/>
      <c r="G41" s="22"/>
      <c r="H41" s="30"/>
      <c r="I41" s="6"/>
      <c r="K41" s="38"/>
    </row>
    <row r="42" spans="1:11" s="1" customFormat="1">
      <c r="A42" s="10"/>
      <c r="B42" s="13"/>
      <c r="C42" s="9" t="s">
        <v>13</v>
      </c>
      <c r="D42" s="16">
        <v>49.89</v>
      </c>
      <c r="E42" s="17" t="s">
        <v>16</v>
      </c>
      <c r="F42" s="26">
        <v>22</v>
      </c>
      <c r="G42" s="22" t="s">
        <v>32</v>
      </c>
      <c r="H42" s="30">
        <v>725.78</v>
      </c>
      <c r="I42" s="6" t="s">
        <v>67</v>
      </c>
      <c r="K42" s="38"/>
    </row>
    <row r="43" spans="1:11" s="1" customFormat="1">
      <c r="A43" s="10"/>
      <c r="B43" s="13"/>
      <c r="C43" s="9"/>
      <c r="D43" s="16">
        <v>52.75</v>
      </c>
      <c r="E43" s="17" t="s">
        <v>14</v>
      </c>
      <c r="F43" s="26"/>
      <c r="G43" s="22"/>
      <c r="H43" s="30">
        <v>833.4</v>
      </c>
      <c r="I43" s="6" t="s">
        <v>45</v>
      </c>
      <c r="K43" s="38"/>
    </row>
    <row r="44" spans="1:11" s="1" customFormat="1">
      <c r="A44" s="10"/>
      <c r="B44" s="13"/>
      <c r="C44" s="9"/>
      <c r="D44" s="16">
        <v>40.29</v>
      </c>
      <c r="E44" s="17" t="s">
        <v>29</v>
      </c>
      <c r="F44" s="26"/>
      <c r="G44" s="22"/>
      <c r="H44" s="30">
        <v>87.69</v>
      </c>
      <c r="I44" s="6" t="s">
        <v>15</v>
      </c>
      <c r="K44" s="38"/>
    </row>
    <row r="45" spans="1:11" s="1" customFormat="1">
      <c r="A45" s="10"/>
      <c r="B45" s="13"/>
      <c r="C45" s="9"/>
      <c r="D45" s="16"/>
      <c r="E45" s="17"/>
      <c r="F45" s="26"/>
      <c r="G45" s="22"/>
      <c r="H45" s="30"/>
      <c r="I45" s="6"/>
      <c r="K45" s="38"/>
    </row>
    <row r="46" spans="1:11" s="1" customFormat="1">
      <c r="A46" s="10"/>
      <c r="B46" s="13"/>
      <c r="C46" s="9" t="s">
        <v>9</v>
      </c>
      <c r="D46" s="16"/>
      <c r="E46" s="17"/>
      <c r="F46" s="26"/>
      <c r="G46" s="22"/>
      <c r="H46" s="30">
        <f>2688.72</f>
        <v>2688.72</v>
      </c>
      <c r="I46" s="6" t="s">
        <v>67</v>
      </c>
      <c r="K46" s="38"/>
    </row>
    <row r="47" spans="1:11" s="1" customFormat="1">
      <c r="A47" s="10"/>
      <c r="B47" s="13"/>
      <c r="C47" s="9"/>
      <c r="D47" s="16"/>
      <c r="E47" s="17"/>
      <c r="F47" s="26"/>
      <c r="G47" s="22"/>
      <c r="H47" s="30">
        <v>414.33</v>
      </c>
      <c r="I47" s="6" t="s">
        <v>45</v>
      </c>
      <c r="K47" s="38"/>
    </row>
    <row r="48" spans="1:11" s="1" customFormat="1">
      <c r="A48" s="10"/>
      <c r="B48" s="13"/>
      <c r="C48" s="9"/>
      <c r="D48" s="16"/>
      <c r="E48" s="17"/>
      <c r="F48" s="26"/>
      <c r="G48" s="22"/>
      <c r="H48" s="30">
        <v>127.15</v>
      </c>
      <c r="I48" s="6" t="s">
        <v>15</v>
      </c>
      <c r="K48" s="38"/>
    </row>
    <row r="49" spans="1:11" s="1" customFormat="1">
      <c r="A49" s="10"/>
      <c r="B49" s="13"/>
      <c r="C49" s="9"/>
      <c r="D49" s="16"/>
      <c r="E49" s="17"/>
      <c r="F49" s="26"/>
      <c r="G49" s="22"/>
      <c r="H49" s="30"/>
      <c r="I49" s="6"/>
      <c r="K49" s="38"/>
    </row>
    <row r="50" spans="1:11" s="1" customFormat="1">
      <c r="A50" s="10"/>
      <c r="B50" s="13"/>
      <c r="C50" s="9" t="s">
        <v>11</v>
      </c>
      <c r="D50" s="16">
        <f>17.38</f>
        <v>17.38</v>
      </c>
      <c r="E50" s="17" t="s">
        <v>16</v>
      </c>
      <c r="F50" s="26"/>
      <c r="G50" s="22"/>
      <c r="H50" s="30">
        <v>358.42</v>
      </c>
      <c r="I50" s="6" t="s">
        <v>67</v>
      </c>
      <c r="K50" s="38"/>
    </row>
    <row r="51" spans="1:11" s="1" customFormat="1">
      <c r="A51" s="10"/>
      <c r="B51" s="13"/>
      <c r="C51" s="9"/>
      <c r="D51" s="16">
        <f>27.41</f>
        <v>27.41</v>
      </c>
      <c r="E51" s="17" t="s">
        <v>14</v>
      </c>
      <c r="F51" s="26"/>
      <c r="G51" s="22"/>
      <c r="H51" s="30">
        <v>834.81</v>
      </c>
      <c r="I51" s="6" t="s">
        <v>45</v>
      </c>
      <c r="K51" s="38"/>
    </row>
    <row r="52" spans="1:11" s="1" customFormat="1">
      <c r="A52" s="10"/>
      <c r="B52" s="13"/>
      <c r="C52" s="9"/>
      <c r="D52" s="16"/>
      <c r="E52" s="17"/>
      <c r="F52" s="26"/>
      <c r="G52" s="22"/>
      <c r="H52" s="30">
        <f>178.84</f>
        <v>178.84</v>
      </c>
      <c r="I52" s="6" t="s">
        <v>15</v>
      </c>
      <c r="K52" s="38"/>
    </row>
    <row r="53" spans="1:11" s="1" customFormat="1">
      <c r="A53" s="9"/>
      <c r="B53" s="9"/>
      <c r="C53" s="9"/>
      <c r="D53" s="16"/>
      <c r="E53" s="17"/>
      <c r="F53" s="26"/>
      <c r="G53" s="22"/>
      <c r="H53" s="30"/>
      <c r="I53" s="2"/>
      <c r="K53" s="4"/>
    </row>
    <row r="54" spans="1:11" s="1" customFormat="1">
      <c r="A54" s="11" t="s">
        <v>4</v>
      </c>
      <c r="B54" s="10"/>
      <c r="C54" s="10"/>
      <c r="D54" s="18">
        <f>SUM(D26:D53)</f>
        <v>809.86</v>
      </c>
      <c r="E54" s="6"/>
      <c r="F54" s="27">
        <f>SUM(F26:F53)</f>
        <v>312.92</v>
      </c>
      <c r="G54" s="23"/>
      <c r="H54" s="31">
        <f>SUM(H26:H53)</f>
        <v>13743.01</v>
      </c>
      <c r="I54" s="2"/>
    </row>
    <row r="55" spans="1:11" s="1" customFormat="1" ht="15.75" thickBot="1">
      <c r="A55" s="12" t="s">
        <v>5</v>
      </c>
      <c r="B55" s="34">
        <f>SUM(D54+F54+H54)</f>
        <v>14865.79</v>
      </c>
      <c r="C55" s="33"/>
      <c r="D55" s="19"/>
      <c r="E55" s="20"/>
      <c r="F55" s="28"/>
      <c r="G55" s="24"/>
      <c r="H55" s="32"/>
      <c r="I55" s="3"/>
    </row>
    <row r="56" spans="1:11" s="1" customFormat="1">
      <c r="A56" s="43" t="s">
        <v>113</v>
      </c>
      <c r="B56" s="8" t="s">
        <v>114</v>
      </c>
      <c r="C56" s="8" t="s">
        <v>49</v>
      </c>
      <c r="D56" s="14">
        <f>13.5+24.43</f>
        <v>37.93</v>
      </c>
      <c r="E56" s="15" t="s">
        <v>16</v>
      </c>
      <c r="F56" s="25">
        <f>111.95</f>
        <v>111.95</v>
      </c>
      <c r="G56" s="21" t="s">
        <v>42</v>
      </c>
      <c r="H56" s="29">
        <f>467.98</f>
        <v>467.98</v>
      </c>
      <c r="I56" s="5" t="s">
        <v>67</v>
      </c>
    </row>
    <row r="57" spans="1:11" s="1" customFormat="1">
      <c r="A57" s="10"/>
      <c r="B57" s="37" t="s">
        <v>115</v>
      </c>
      <c r="C57" s="9"/>
      <c r="D57" s="16"/>
      <c r="E57" s="17"/>
      <c r="F57" s="26">
        <f>10.4</f>
        <v>10.4</v>
      </c>
      <c r="G57" s="22" t="s">
        <v>50</v>
      </c>
      <c r="H57" s="30">
        <f>252.52+56.29</f>
        <v>308.81</v>
      </c>
      <c r="I57" s="6" t="s">
        <v>45</v>
      </c>
    </row>
    <row r="58" spans="1:11" s="1" customFormat="1">
      <c r="A58" s="9"/>
      <c r="B58" s="9"/>
      <c r="C58" s="10"/>
      <c r="D58" s="16"/>
      <c r="E58" s="17"/>
      <c r="F58" s="26">
        <f>68.4</f>
        <v>68.400000000000006</v>
      </c>
      <c r="G58" s="22" t="s">
        <v>43</v>
      </c>
      <c r="H58" s="30">
        <f>105.94</f>
        <v>105.94</v>
      </c>
      <c r="I58" s="6" t="s">
        <v>117</v>
      </c>
      <c r="K58" s="38"/>
    </row>
    <row r="59" spans="1:11" s="1" customFormat="1">
      <c r="A59" s="10"/>
      <c r="B59" s="13"/>
      <c r="C59" s="9"/>
      <c r="D59" s="16"/>
      <c r="E59" s="17"/>
      <c r="F59" s="26"/>
      <c r="G59" s="22"/>
      <c r="H59" s="30"/>
      <c r="I59" s="6"/>
      <c r="K59" s="38"/>
    </row>
    <row r="60" spans="1:11" s="1" customFormat="1">
      <c r="A60" s="10"/>
      <c r="B60" s="13"/>
      <c r="C60" s="9" t="s">
        <v>65</v>
      </c>
      <c r="D60" s="16">
        <f>131.88</f>
        <v>131.88</v>
      </c>
      <c r="E60" s="17" t="s">
        <v>16</v>
      </c>
      <c r="F60" s="26"/>
      <c r="G60" s="22"/>
      <c r="H60" s="30">
        <f>388.83</f>
        <v>388.83</v>
      </c>
      <c r="I60" s="6" t="s">
        <v>81</v>
      </c>
      <c r="K60" s="38"/>
    </row>
    <row r="61" spans="1:11" s="1" customFormat="1">
      <c r="A61" s="10"/>
      <c r="B61" s="13"/>
      <c r="C61" s="9"/>
      <c r="D61" s="16">
        <f>141.51</f>
        <v>141.51</v>
      </c>
      <c r="E61" s="17" t="s">
        <v>14</v>
      </c>
      <c r="F61" s="26"/>
      <c r="G61" s="22"/>
      <c r="H61" s="30">
        <f>748.95</f>
        <v>748.95</v>
      </c>
      <c r="I61" s="6" t="s">
        <v>67</v>
      </c>
      <c r="K61" s="38"/>
    </row>
    <row r="62" spans="1:11" s="1" customFormat="1">
      <c r="A62" s="10"/>
      <c r="B62" s="13"/>
      <c r="C62" s="9"/>
      <c r="D62" s="16">
        <f>144.32</f>
        <v>144.32</v>
      </c>
      <c r="E62" s="17" t="s">
        <v>127</v>
      </c>
      <c r="F62" s="26"/>
      <c r="G62" s="22"/>
      <c r="H62" s="30"/>
      <c r="I62" s="6"/>
      <c r="K62" s="38"/>
    </row>
    <row r="63" spans="1:11" s="1" customFormat="1">
      <c r="A63" s="10"/>
      <c r="B63" s="13"/>
      <c r="C63" s="9"/>
      <c r="D63" s="16"/>
      <c r="E63" s="17"/>
      <c r="F63" s="26"/>
      <c r="G63" s="22"/>
      <c r="H63" s="30"/>
      <c r="I63" s="6"/>
      <c r="K63" s="38"/>
    </row>
    <row r="64" spans="1:11" s="1" customFormat="1">
      <c r="A64" s="10"/>
      <c r="B64" s="13"/>
      <c r="C64" s="9" t="s">
        <v>39</v>
      </c>
      <c r="D64" s="16">
        <f>10+34</f>
        <v>44</v>
      </c>
      <c r="E64" s="17" t="s">
        <v>16</v>
      </c>
      <c r="F64" s="26"/>
      <c r="G64" s="22"/>
      <c r="H64" s="30">
        <f>604.98+353.06+401.8</f>
        <v>1359.84</v>
      </c>
      <c r="I64" s="6" t="s">
        <v>67</v>
      </c>
      <c r="K64" s="38"/>
    </row>
    <row r="65" spans="1:11" s="1" customFormat="1">
      <c r="A65" s="10"/>
      <c r="B65" s="13"/>
      <c r="C65" s="9"/>
      <c r="D65" s="16"/>
      <c r="E65" s="17"/>
      <c r="F65" s="26"/>
      <c r="G65" s="22"/>
      <c r="H65" s="30">
        <f>252.52+239.88</f>
        <v>492.4</v>
      </c>
      <c r="I65" s="6" t="s">
        <v>45</v>
      </c>
      <c r="K65" s="38"/>
    </row>
    <row r="66" spans="1:11" s="1" customFormat="1">
      <c r="A66" s="10"/>
      <c r="B66" s="13"/>
      <c r="C66" s="9"/>
      <c r="D66" s="16"/>
      <c r="E66" s="17"/>
      <c r="F66" s="26"/>
      <c r="G66" s="22"/>
      <c r="H66" s="30">
        <f>47</f>
        <v>47</v>
      </c>
      <c r="I66" s="6" t="s">
        <v>155</v>
      </c>
      <c r="K66" s="38"/>
    </row>
    <row r="67" spans="1:11" s="1" customFormat="1">
      <c r="A67" s="9"/>
      <c r="B67" s="9"/>
      <c r="C67" s="9"/>
      <c r="D67" s="16"/>
      <c r="E67" s="17"/>
      <c r="F67" s="26"/>
      <c r="G67" s="22"/>
      <c r="H67" s="30"/>
      <c r="I67" s="2"/>
      <c r="K67" s="4"/>
    </row>
    <row r="68" spans="1:11" s="1" customFormat="1">
      <c r="A68" s="11" t="s">
        <v>4</v>
      </c>
      <c r="B68" s="10"/>
      <c r="C68" s="10"/>
      <c r="D68" s="18">
        <f>SUM(D56:D67)</f>
        <v>499.64</v>
      </c>
      <c r="E68" s="6"/>
      <c r="F68" s="27">
        <f>SUM(F56:F67)</f>
        <v>190.75</v>
      </c>
      <c r="G68" s="23"/>
      <c r="H68" s="31">
        <f>SUM(H56:H67)</f>
        <v>3919.75</v>
      </c>
      <c r="I68" s="2"/>
    </row>
    <row r="69" spans="1:11" s="1" customFormat="1" ht="15.75" thickBot="1">
      <c r="A69" s="12" t="s">
        <v>5</v>
      </c>
      <c r="B69" s="34">
        <f>SUM(D68+F68+H68)</f>
        <v>4610.1400000000003</v>
      </c>
      <c r="C69" s="33"/>
      <c r="D69" s="19"/>
      <c r="E69" s="20"/>
      <c r="F69" s="28"/>
      <c r="G69" s="24"/>
      <c r="H69" s="32"/>
      <c r="I69" s="3"/>
    </row>
    <row r="70" spans="1:11" s="1" customFormat="1">
      <c r="A70" s="43" t="s">
        <v>116</v>
      </c>
      <c r="B70" s="8" t="s">
        <v>37</v>
      </c>
      <c r="C70" s="8" t="s">
        <v>49</v>
      </c>
      <c r="D70" s="14">
        <f>7.1+20.22+8.49+12.5</f>
        <v>48.31</v>
      </c>
      <c r="E70" s="15" t="s">
        <v>16</v>
      </c>
      <c r="F70" s="25">
        <f>111.95</f>
        <v>111.95</v>
      </c>
      <c r="G70" s="21" t="s">
        <v>42</v>
      </c>
      <c r="H70" s="29">
        <f>310.07</f>
        <v>310.07</v>
      </c>
      <c r="I70" s="5" t="s">
        <v>67</v>
      </c>
    </row>
    <row r="71" spans="1:11" s="1" customFormat="1">
      <c r="A71" s="10"/>
      <c r="B71" s="37" t="s">
        <v>73</v>
      </c>
      <c r="C71" s="9"/>
      <c r="D71" s="16">
        <f>32.66</f>
        <v>32.659999999999997</v>
      </c>
      <c r="E71" s="17" t="s">
        <v>14</v>
      </c>
      <c r="F71" s="26">
        <f>10.4</f>
        <v>10.4</v>
      </c>
      <c r="G71" s="22" t="s">
        <v>50</v>
      </c>
      <c r="H71" s="30"/>
      <c r="I71" s="6"/>
    </row>
    <row r="72" spans="1:11" s="1" customFormat="1">
      <c r="A72" s="9"/>
      <c r="B72" s="9"/>
      <c r="C72" s="10"/>
      <c r="D72" s="16"/>
      <c r="E72" s="17"/>
      <c r="F72" s="26">
        <f>161</f>
        <v>161</v>
      </c>
      <c r="G72" s="22" t="s">
        <v>43</v>
      </c>
      <c r="H72" s="30"/>
      <c r="I72" s="6"/>
      <c r="K72" s="38"/>
    </row>
    <row r="73" spans="1:11" s="1" customFormat="1">
      <c r="A73" s="9"/>
      <c r="B73" s="9"/>
      <c r="C73" s="10"/>
      <c r="D73" s="16"/>
      <c r="E73" s="17"/>
      <c r="F73" s="26"/>
      <c r="G73" s="22"/>
      <c r="H73" s="30"/>
      <c r="I73" s="6"/>
      <c r="K73" s="38"/>
    </row>
    <row r="74" spans="1:11" s="1" customFormat="1">
      <c r="A74" s="10"/>
      <c r="B74" s="13"/>
      <c r="C74" s="9" t="s">
        <v>46</v>
      </c>
      <c r="D74" s="16">
        <v>12.45</v>
      </c>
      <c r="E74" s="17" t="s">
        <v>16</v>
      </c>
      <c r="F74" s="26">
        <v>20</v>
      </c>
      <c r="G74" s="22" t="s">
        <v>32</v>
      </c>
      <c r="H74" s="30">
        <v>310.07</v>
      </c>
      <c r="I74" s="6" t="s">
        <v>67</v>
      </c>
      <c r="K74" s="38"/>
    </row>
    <row r="75" spans="1:11" s="1" customFormat="1">
      <c r="A75" s="10"/>
      <c r="B75" s="13"/>
      <c r="C75" s="9"/>
      <c r="D75" s="16"/>
      <c r="E75" s="17"/>
      <c r="F75" s="26"/>
      <c r="G75" s="22"/>
      <c r="H75" s="30"/>
      <c r="I75" s="6"/>
    </row>
    <row r="76" spans="1:11" s="1" customFormat="1">
      <c r="A76" s="11" t="s">
        <v>4</v>
      </c>
      <c r="B76" s="10"/>
      <c r="C76" s="10"/>
      <c r="D76" s="18">
        <f>SUM(D70:D75)</f>
        <v>93.42</v>
      </c>
      <c r="E76" s="6"/>
      <c r="F76" s="27">
        <f>SUM(F70:F75)</f>
        <v>303.35000000000002</v>
      </c>
      <c r="G76" s="23"/>
      <c r="H76" s="31">
        <f>SUM(H70:H75)</f>
        <v>620.14</v>
      </c>
      <c r="I76" s="2"/>
    </row>
    <row r="77" spans="1:11" s="1" customFormat="1" ht="15.75" thickBot="1">
      <c r="A77" s="12" t="s">
        <v>5</v>
      </c>
      <c r="B77" s="34">
        <f>SUM(D76+F76+H76)</f>
        <v>1016.9100000000001</v>
      </c>
      <c r="C77" s="33"/>
      <c r="D77" s="19"/>
      <c r="E77" s="20"/>
      <c r="F77" s="28"/>
      <c r="G77" s="24"/>
      <c r="H77" s="32"/>
      <c r="I77" s="3"/>
    </row>
    <row r="78" spans="1:11" s="1" customFormat="1">
      <c r="A78" s="43" t="s">
        <v>128</v>
      </c>
      <c r="B78" s="8" t="s">
        <v>129</v>
      </c>
      <c r="C78" s="8" t="s">
        <v>76</v>
      </c>
      <c r="D78" s="14">
        <f>7.9+164.05</f>
        <v>171.95000000000002</v>
      </c>
      <c r="E78" s="15" t="s">
        <v>16</v>
      </c>
      <c r="F78" s="25">
        <v>42</v>
      </c>
      <c r="G78" s="21" t="s">
        <v>43</v>
      </c>
      <c r="H78" s="29">
        <f>157.99+253.62-137.99</f>
        <v>273.62</v>
      </c>
      <c r="I78" s="5" t="s">
        <v>67</v>
      </c>
    </row>
    <row r="79" spans="1:11" s="1" customFormat="1">
      <c r="A79" s="10"/>
      <c r="B79" s="37" t="s">
        <v>130</v>
      </c>
      <c r="C79" s="9"/>
      <c r="D79" s="16">
        <v>215.2</v>
      </c>
      <c r="E79" s="17" t="s">
        <v>14</v>
      </c>
      <c r="F79" s="26">
        <f>11.79</f>
        <v>11.79</v>
      </c>
      <c r="G79" s="22" t="s">
        <v>42</v>
      </c>
      <c r="H79" s="30">
        <v>760.64</v>
      </c>
      <c r="I79" s="6" t="s">
        <v>45</v>
      </c>
    </row>
    <row r="80" spans="1:11" s="1" customFormat="1">
      <c r="A80" s="9"/>
      <c r="B80" s="9"/>
      <c r="C80" s="10"/>
      <c r="D80" s="16"/>
      <c r="E80" s="17"/>
      <c r="F80" s="26"/>
      <c r="G80" s="22"/>
      <c r="H80" s="30"/>
      <c r="I80" s="6"/>
      <c r="K80" s="38"/>
    </row>
    <row r="81" spans="1:11" s="1" customFormat="1">
      <c r="A81" s="10"/>
      <c r="B81" s="13"/>
      <c r="C81" s="9" t="s">
        <v>71</v>
      </c>
      <c r="D81" s="16">
        <f>20.59+7</f>
        <v>27.59</v>
      </c>
      <c r="E81" s="17" t="s">
        <v>16</v>
      </c>
      <c r="F81" s="26">
        <f>74</f>
        <v>74</v>
      </c>
      <c r="G81" s="22" t="s">
        <v>43</v>
      </c>
      <c r="H81" s="30">
        <f>157.77+253.62</f>
        <v>411.39</v>
      </c>
      <c r="I81" s="6" t="s">
        <v>67</v>
      </c>
      <c r="K81" s="38"/>
    </row>
    <row r="82" spans="1:11" s="1" customFormat="1">
      <c r="A82" s="10"/>
      <c r="B82" s="13"/>
      <c r="C82" s="9"/>
      <c r="D82" s="16">
        <f>78.15</f>
        <v>78.150000000000006</v>
      </c>
      <c r="E82" s="17" t="s">
        <v>14</v>
      </c>
      <c r="F82" s="26"/>
      <c r="G82" s="22"/>
      <c r="H82" s="30">
        <v>711.03</v>
      </c>
      <c r="I82" s="6" t="s">
        <v>45</v>
      </c>
      <c r="K82" s="38"/>
    </row>
    <row r="83" spans="1:11" s="1" customFormat="1">
      <c r="A83" s="10"/>
      <c r="B83" s="13"/>
      <c r="C83" s="9"/>
      <c r="D83" s="16"/>
      <c r="E83" s="17"/>
      <c r="F83" s="26"/>
      <c r="G83" s="22"/>
      <c r="H83" s="30">
        <v>181.48</v>
      </c>
      <c r="I83" s="6" t="s">
        <v>15</v>
      </c>
      <c r="K83" s="38"/>
    </row>
    <row r="84" spans="1:11" s="1" customFormat="1">
      <c r="A84" s="10"/>
      <c r="B84" s="13"/>
      <c r="C84" s="9"/>
      <c r="D84" s="16"/>
      <c r="E84" s="17"/>
      <c r="F84" s="26"/>
      <c r="G84" s="22"/>
      <c r="H84" s="30"/>
      <c r="I84" s="6"/>
      <c r="K84" s="38"/>
    </row>
    <row r="85" spans="1:11" s="1" customFormat="1" ht="30">
      <c r="A85" s="10"/>
      <c r="B85" s="13"/>
      <c r="C85" s="44" t="s">
        <v>157</v>
      </c>
      <c r="D85" s="16"/>
      <c r="E85" s="17"/>
      <c r="F85" s="26"/>
      <c r="G85" s="22"/>
      <c r="H85" s="30">
        <f>200.55+250.62-200.55</f>
        <v>250.62</v>
      </c>
      <c r="I85" s="6" t="s">
        <v>67</v>
      </c>
      <c r="K85" s="38"/>
    </row>
    <row r="86" spans="1:11" s="1" customFormat="1">
      <c r="A86" s="9"/>
      <c r="B86" s="9"/>
      <c r="C86" s="9"/>
      <c r="D86" s="16"/>
      <c r="E86" s="17"/>
      <c r="F86" s="26"/>
      <c r="G86" s="22"/>
      <c r="H86" s="30"/>
      <c r="I86" s="2"/>
      <c r="K86" s="4"/>
    </row>
    <row r="87" spans="1:11" s="1" customFormat="1">
      <c r="A87" s="11" t="s">
        <v>4</v>
      </c>
      <c r="B87" s="10"/>
      <c r="C87" s="10"/>
      <c r="D87" s="18">
        <f>SUM(D78:D86)</f>
        <v>492.89</v>
      </c>
      <c r="E87" s="6"/>
      <c r="F87" s="27">
        <f>SUM(F78:F86)</f>
        <v>127.78999999999999</v>
      </c>
      <c r="G87" s="23"/>
      <c r="H87" s="31">
        <f>SUM(H78:H86)</f>
        <v>2588.7800000000002</v>
      </c>
      <c r="I87" s="2"/>
    </row>
    <row r="88" spans="1:11" s="1" customFormat="1" ht="15.75" thickBot="1">
      <c r="A88" s="12" t="s">
        <v>5</v>
      </c>
      <c r="B88" s="34">
        <f>SUM(D87+F87+H87)</f>
        <v>3209.46</v>
      </c>
      <c r="C88" s="33"/>
      <c r="D88" s="19"/>
      <c r="E88" s="20"/>
      <c r="F88" s="28"/>
      <c r="G88" s="24"/>
      <c r="H88" s="32"/>
      <c r="I88" s="3"/>
    </row>
    <row r="89" spans="1:11" s="1" customFormat="1">
      <c r="A89" s="43" t="s">
        <v>138</v>
      </c>
      <c r="B89" s="8" t="s">
        <v>114</v>
      </c>
      <c r="C89" s="8" t="s">
        <v>65</v>
      </c>
      <c r="D89" s="14"/>
      <c r="E89" s="15"/>
      <c r="F89" s="25"/>
      <c r="G89" s="21"/>
      <c r="H89" s="29">
        <f>183.88</f>
        <v>183.88</v>
      </c>
      <c r="I89" s="5" t="s">
        <v>45</v>
      </c>
    </row>
    <row r="90" spans="1:11" s="1" customFormat="1">
      <c r="A90" s="10"/>
      <c r="B90" s="37" t="s">
        <v>126</v>
      </c>
      <c r="C90" s="9"/>
      <c r="D90" s="16"/>
      <c r="E90" s="17"/>
      <c r="F90" s="26"/>
      <c r="G90" s="22"/>
      <c r="H90" s="30"/>
      <c r="I90" s="6"/>
    </row>
    <row r="91" spans="1:11" s="1" customFormat="1">
      <c r="A91" s="9"/>
      <c r="B91" s="9"/>
      <c r="C91" s="10" t="s">
        <v>39</v>
      </c>
      <c r="D91" s="16">
        <f>41.43+8.29</f>
        <v>49.72</v>
      </c>
      <c r="E91" s="17" t="s">
        <v>16</v>
      </c>
      <c r="F91" s="26">
        <v>156.9</v>
      </c>
      <c r="G91" s="22" t="s">
        <v>42</v>
      </c>
      <c r="H91" s="30"/>
      <c r="I91" s="6"/>
      <c r="K91" s="38"/>
    </row>
    <row r="92" spans="1:11" s="1" customFormat="1">
      <c r="A92" s="10"/>
      <c r="B92" s="13"/>
      <c r="C92" s="9"/>
      <c r="D92" s="16">
        <v>103.57</v>
      </c>
      <c r="E92" s="17" t="s">
        <v>29</v>
      </c>
      <c r="F92" s="26">
        <f>2.9+32.9</f>
        <v>35.799999999999997</v>
      </c>
      <c r="G92" s="22" t="s">
        <v>50</v>
      </c>
      <c r="H92" s="30"/>
      <c r="I92" s="6"/>
      <c r="K92" s="38"/>
    </row>
    <row r="93" spans="1:11" s="1" customFormat="1">
      <c r="A93" s="10"/>
      <c r="B93" s="13"/>
      <c r="C93" s="9"/>
      <c r="D93" s="16"/>
      <c r="E93" s="17"/>
      <c r="F93" s="26">
        <f>68.4+2.5</f>
        <v>70.900000000000006</v>
      </c>
      <c r="G93" s="22" t="s">
        <v>43</v>
      </c>
      <c r="H93" s="30">
        <f>261.81</f>
        <v>261.81</v>
      </c>
      <c r="I93" s="6" t="s">
        <v>15</v>
      </c>
      <c r="K93" s="38"/>
    </row>
    <row r="94" spans="1:11" s="1" customFormat="1">
      <c r="A94" s="9"/>
      <c r="B94" s="9"/>
      <c r="C94" s="9"/>
      <c r="D94" s="16"/>
      <c r="E94" s="17"/>
      <c r="F94" s="26"/>
      <c r="G94" s="22"/>
      <c r="H94" s="30"/>
      <c r="I94" s="2"/>
      <c r="K94" s="4"/>
    </row>
    <row r="95" spans="1:11" s="1" customFormat="1">
      <c r="A95" s="11" t="s">
        <v>4</v>
      </c>
      <c r="B95" s="10"/>
      <c r="C95" s="10"/>
      <c r="D95" s="18">
        <f>SUM(D89:D94)</f>
        <v>153.29</v>
      </c>
      <c r="E95" s="6"/>
      <c r="F95" s="27">
        <f>SUM(F89:F94)</f>
        <v>263.60000000000002</v>
      </c>
      <c r="G95" s="23"/>
      <c r="H95" s="31">
        <f>SUM(H89:H94)</f>
        <v>445.69</v>
      </c>
      <c r="I95" s="2"/>
    </row>
    <row r="96" spans="1:11" s="1" customFormat="1" ht="15.75" thickBot="1">
      <c r="A96" s="12" t="s">
        <v>5</v>
      </c>
      <c r="B96" s="34">
        <f>SUM(D95+F95+H95)</f>
        <v>862.57999999999993</v>
      </c>
      <c r="C96" s="33"/>
      <c r="D96" s="19"/>
      <c r="E96" s="20"/>
      <c r="F96" s="28"/>
      <c r="G96" s="24"/>
      <c r="H96" s="32"/>
      <c r="I96" s="3"/>
    </row>
    <row r="97" spans="1:11" s="1" customFormat="1">
      <c r="A97" s="43" t="s">
        <v>148</v>
      </c>
      <c r="B97" s="8" t="s">
        <v>149</v>
      </c>
      <c r="C97" s="8" t="s">
        <v>151</v>
      </c>
      <c r="D97" s="14"/>
      <c r="E97" s="15"/>
      <c r="F97" s="25"/>
      <c r="G97" s="21"/>
      <c r="H97" s="29">
        <f>1254.81</f>
        <v>1254.81</v>
      </c>
      <c r="I97" s="5" t="s">
        <v>67</v>
      </c>
    </row>
    <row r="98" spans="1:11" s="1" customFormat="1">
      <c r="A98" s="10"/>
      <c r="B98" s="37" t="s">
        <v>150</v>
      </c>
      <c r="C98" s="9"/>
      <c r="D98" s="16"/>
      <c r="E98" s="17"/>
      <c r="F98" s="26"/>
      <c r="G98" s="22"/>
      <c r="H98" s="30"/>
      <c r="I98" s="6"/>
    </row>
    <row r="99" spans="1:11" s="1" customFormat="1">
      <c r="A99" s="9"/>
      <c r="B99" s="9"/>
      <c r="C99" s="9"/>
      <c r="D99" s="16"/>
      <c r="E99" s="17"/>
      <c r="F99" s="26"/>
      <c r="G99" s="22"/>
      <c r="H99" s="30"/>
      <c r="I99" s="2"/>
      <c r="K99" s="4"/>
    </row>
    <row r="100" spans="1:11" s="1" customFormat="1">
      <c r="A100" s="11" t="s">
        <v>4</v>
      </c>
      <c r="B100" s="10"/>
      <c r="C100" s="10"/>
      <c r="D100" s="18">
        <f>SUM(D97:D99)</f>
        <v>0</v>
      </c>
      <c r="E100" s="6"/>
      <c r="F100" s="27">
        <f>SUM(F97:F99)</f>
        <v>0</v>
      </c>
      <c r="G100" s="23"/>
      <c r="H100" s="31">
        <f>SUM(H97:H99)</f>
        <v>1254.81</v>
      </c>
      <c r="I100" s="2"/>
    </row>
    <row r="101" spans="1:11" s="1" customFormat="1" ht="15.75" thickBot="1">
      <c r="A101" s="12" t="s">
        <v>5</v>
      </c>
      <c r="B101" s="34">
        <f>SUM(D100+F100+H100)</f>
        <v>1254.81</v>
      </c>
      <c r="C101" s="33"/>
      <c r="D101" s="19"/>
      <c r="E101" s="20"/>
      <c r="F101" s="28"/>
      <c r="G101" s="24"/>
      <c r="H101" s="32"/>
      <c r="I101" s="3"/>
    </row>
    <row r="102" spans="1:11" s="1" customFormat="1">
      <c r="A102" s="43" t="s">
        <v>132</v>
      </c>
      <c r="B102" s="8" t="s">
        <v>133</v>
      </c>
      <c r="C102" s="8" t="s">
        <v>57</v>
      </c>
      <c r="D102" s="14">
        <f>1350.9+302.4+200</f>
        <v>1853.3000000000002</v>
      </c>
      <c r="E102" s="15" t="s">
        <v>16</v>
      </c>
      <c r="F102" s="25">
        <f>9</f>
        <v>9</v>
      </c>
      <c r="G102" s="21" t="s">
        <v>31</v>
      </c>
      <c r="H102" s="29"/>
      <c r="I102" s="5"/>
    </row>
    <row r="103" spans="1:11" s="1" customFormat="1">
      <c r="A103" s="10"/>
      <c r="B103" s="37" t="s">
        <v>134</v>
      </c>
      <c r="C103" s="9"/>
      <c r="D103" s="16">
        <f>112</f>
        <v>112</v>
      </c>
      <c r="E103" s="17" t="s">
        <v>14</v>
      </c>
      <c r="F103" s="26">
        <f>86+43-86+17.2+100+71</f>
        <v>231.2</v>
      </c>
      <c r="G103" s="22" t="s">
        <v>32</v>
      </c>
      <c r="H103" s="30">
        <f>147</f>
        <v>147</v>
      </c>
      <c r="I103" s="6" t="s">
        <v>45</v>
      </c>
    </row>
    <row r="104" spans="1:11" s="1" customFormat="1">
      <c r="A104" s="9"/>
      <c r="B104" s="9"/>
      <c r="C104" s="10"/>
      <c r="D104" s="16">
        <f>60</f>
        <v>60</v>
      </c>
      <c r="E104" s="17" t="s">
        <v>29</v>
      </c>
      <c r="F104" s="26"/>
      <c r="G104" s="22"/>
      <c r="H104" s="30">
        <f>82.5+18</f>
        <v>100.5</v>
      </c>
      <c r="I104" s="6" t="s">
        <v>15</v>
      </c>
      <c r="K104" s="38"/>
    </row>
    <row r="105" spans="1:11" s="1" customFormat="1">
      <c r="A105" s="10"/>
      <c r="B105" s="13"/>
      <c r="C105" s="9"/>
      <c r="D105" s="16"/>
      <c r="E105" s="17"/>
      <c r="F105" s="26"/>
      <c r="G105" s="22"/>
      <c r="H105" s="30"/>
      <c r="I105" s="6"/>
      <c r="K105" s="38"/>
    </row>
    <row r="106" spans="1:11" s="1" customFormat="1">
      <c r="A106" s="10"/>
      <c r="B106" s="13"/>
      <c r="C106" s="9" t="s">
        <v>158</v>
      </c>
      <c r="D106" s="16"/>
      <c r="E106" s="17"/>
      <c r="F106" s="26">
        <f>100+43+71+100+43+71+100+43+71+100+43+71+100+43+71</f>
        <v>1070</v>
      </c>
      <c r="G106" s="22" t="s">
        <v>32</v>
      </c>
      <c r="H106" s="30">
        <f>147+108+147+108+147+108+147+108+147+108</f>
        <v>1275</v>
      </c>
      <c r="I106" s="6" t="s">
        <v>45</v>
      </c>
      <c r="K106" s="38"/>
    </row>
    <row r="107" spans="1:11" s="1" customFormat="1">
      <c r="A107" s="9"/>
      <c r="B107" s="9"/>
      <c r="C107" s="9"/>
      <c r="D107" s="16"/>
      <c r="E107" s="17"/>
      <c r="F107" s="26"/>
      <c r="G107" s="22"/>
      <c r="H107" s="30"/>
      <c r="I107" s="2"/>
      <c r="K107" s="4"/>
    </row>
    <row r="108" spans="1:11" s="1" customFormat="1">
      <c r="A108" s="11" t="s">
        <v>4</v>
      </c>
      <c r="B108" s="10"/>
      <c r="C108" s="10"/>
      <c r="D108" s="18">
        <f>SUM(D102:D107)</f>
        <v>2025.3000000000002</v>
      </c>
      <c r="E108" s="6"/>
      <c r="F108" s="27">
        <f>SUM(F102:F107)</f>
        <v>1310.2</v>
      </c>
      <c r="G108" s="23"/>
      <c r="H108" s="31">
        <f>SUM(H102:H107)</f>
        <v>1522.5</v>
      </c>
      <c r="I108" s="2"/>
    </row>
    <row r="109" spans="1:11" s="1" customFormat="1" ht="15.75" thickBot="1">
      <c r="A109" s="12" t="s">
        <v>5</v>
      </c>
      <c r="B109" s="34">
        <f>SUM(D108+F108+H108)</f>
        <v>4858</v>
      </c>
      <c r="C109" s="33"/>
      <c r="D109" s="19"/>
      <c r="E109" s="20"/>
      <c r="F109" s="28"/>
      <c r="G109" s="24"/>
      <c r="H109" s="32"/>
      <c r="I109" s="3"/>
    </row>
    <row r="110" spans="1:11" s="1" customFormat="1">
      <c r="A110" s="43" t="s">
        <v>139</v>
      </c>
      <c r="B110" s="8" t="s">
        <v>34</v>
      </c>
      <c r="C110" s="8" t="s">
        <v>39</v>
      </c>
      <c r="D110" s="14">
        <f>27+191.7</f>
        <v>218.7</v>
      </c>
      <c r="E110" s="15" t="s">
        <v>16</v>
      </c>
      <c r="F110" s="25"/>
      <c r="G110" s="21"/>
      <c r="H110" s="29">
        <f>1824.43</f>
        <v>1824.43</v>
      </c>
      <c r="I110" s="5" t="s">
        <v>67</v>
      </c>
    </row>
    <row r="111" spans="1:11" s="1" customFormat="1">
      <c r="A111" s="10"/>
      <c r="B111" s="37" t="s">
        <v>19</v>
      </c>
      <c r="C111" s="9"/>
      <c r="D111" s="16">
        <f>157+12.09</f>
        <v>169.09</v>
      </c>
      <c r="E111" s="17" t="s">
        <v>14</v>
      </c>
      <c r="F111" s="26"/>
      <c r="G111" s="22"/>
      <c r="H111" s="30">
        <f>722.3</f>
        <v>722.3</v>
      </c>
      <c r="I111" s="6" t="s">
        <v>45</v>
      </c>
    </row>
    <row r="112" spans="1:11" s="1" customFormat="1">
      <c r="A112" s="9"/>
      <c r="B112" s="9"/>
      <c r="C112" s="10"/>
      <c r="D112" s="16">
        <f>39.99</f>
        <v>39.99</v>
      </c>
      <c r="E112" s="17" t="s">
        <v>29</v>
      </c>
      <c r="F112" s="26"/>
      <c r="G112" s="22"/>
      <c r="H112" s="30">
        <f>288.63+61.71</f>
        <v>350.34</v>
      </c>
      <c r="I112" s="6" t="s">
        <v>156</v>
      </c>
      <c r="K112" s="38"/>
    </row>
    <row r="113" spans="1:11" s="1" customFormat="1">
      <c r="A113" s="10"/>
      <c r="B113" s="13"/>
      <c r="C113" s="9"/>
      <c r="D113" s="16"/>
      <c r="E113" s="17"/>
      <c r="F113" s="26"/>
      <c r="G113" s="22"/>
      <c r="H113" s="30"/>
      <c r="I113" s="6"/>
      <c r="K113" s="38"/>
    </row>
    <row r="114" spans="1:11" s="1" customFormat="1">
      <c r="A114" s="10"/>
      <c r="B114" s="13"/>
      <c r="C114" s="9"/>
      <c r="D114" s="16"/>
      <c r="E114" s="17"/>
      <c r="F114" s="26"/>
      <c r="G114" s="22"/>
      <c r="H114" s="30"/>
      <c r="I114" s="6"/>
      <c r="K114" s="38"/>
    </row>
    <row r="115" spans="1:11" s="1" customFormat="1">
      <c r="A115" s="10" t="s">
        <v>125</v>
      </c>
      <c r="B115" s="13"/>
      <c r="C115" s="9" t="s">
        <v>9</v>
      </c>
      <c r="D115" s="16">
        <f>274.99</f>
        <v>274.99</v>
      </c>
      <c r="E115" s="17" t="s">
        <v>16</v>
      </c>
      <c r="F115" s="26"/>
      <c r="G115" s="22"/>
      <c r="H115" s="30">
        <f>4668.14</f>
        <v>4668.1400000000003</v>
      </c>
      <c r="I115" s="6" t="s">
        <v>67</v>
      </c>
      <c r="K115" s="38"/>
    </row>
    <row r="116" spans="1:11" s="1" customFormat="1">
      <c r="A116" s="10"/>
      <c r="B116" s="13"/>
      <c r="C116" s="9"/>
      <c r="D116" s="16">
        <f>53.02+66.88</f>
        <v>119.9</v>
      </c>
      <c r="E116" s="17" t="s">
        <v>14</v>
      </c>
      <c r="F116" s="26"/>
      <c r="G116" s="22"/>
      <c r="H116" s="30">
        <f>491.1</f>
        <v>491.1</v>
      </c>
      <c r="I116" s="6" t="s">
        <v>45</v>
      </c>
      <c r="K116" s="38"/>
    </row>
    <row r="117" spans="1:11" s="1" customFormat="1">
      <c r="A117" s="10"/>
      <c r="B117" s="13"/>
      <c r="C117" s="9"/>
      <c r="D117" s="16"/>
      <c r="E117" s="17"/>
      <c r="F117" s="26"/>
      <c r="G117" s="22"/>
      <c r="H117" s="30">
        <f>158.37+59</f>
        <v>217.37</v>
      </c>
      <c r="I117" s="6" t="s">
        <v>156</v>
      </c>
      <c r="K117" s="38"/>
    </row>
    <row r="118" spans="1:11" s="1" customFormat="1">
      <c r="A118" s="10"/>
      <c r="B118" s="13"/>
      <c r="C118" s="9"/>
      <c r="D118" s="16"/>
      <c r="E118" s="17"/>
      <c r="F118" s="26"/>
      <c r="G118" s="22"/>
      <c r="H118" s="30"/>
      <c r="I118" s="6"/>
      <c r="K118" s="38"/>
    </row>
    <row r="119" spans="1:11" s="1" customFormat="1">
      <c r="A119" s="10" t="s">
        <v>146</v>
      </c>
      <c r="B119" s="13" t="s">
        <v>114</v>
      </c>
      <c r="C119" s="9" t="s">
        <v>77</v>
      </c>
      <c r="D119" s="16">
        <f>224.85</f>
        <v>224.85</v>
      </c>
      <c r="E119" s="17" t="s">
        <v>16</v>
      </c>
      <c r="F119" s="26"/>
      <c r="G119" s="22"/>
      <c r="H119" s="30">
        <f>503.52+145</f>
        <v>648.52</v>
      </c>
      <c r="I119" s="6" t="s">
        <v>67</v>
      </c>
      <c r="K119" s="38"/>
    </row>
    <row r="120" spans="1:11" s="1" customFormat="1">
      <c r="A120" s="10"/>
      <c r="B120" s="37" t="s">
        <v>19</v>
      </c>
      <c r="C120" s="9"/>
      <c r="D120" s="16">
        <f>232.22+58.53</f>
        <v>290.75</v>
      </c>
      <c r="E120" s="17" t="s">
        <v>14</v>
      </c>
      <c r="F120" s="26"/>
      <c r="G120" s="22"/>
      <c r="H120" s="30">
        <f>491.1+570.49</f>
        <v>1061.5900000000001</v>
      </c>
      <c r="I120" s="6" t="s">
        <v>45</v>
      </c>
      <c r="K120" s="38"/>
    </row>
    <row r="121" spans="1:11" s="1" customFormat="1">
      <c r="A121" s="9"/>
      <c r="B121" s="9"/>
      <c r="C121" s="10"/>
      <c r="D121" s="16">
        <f>6.25</f>
        <v>6.25</v>
      </c>
      <c r="E121" s="17" t="s">
        <v>29</v>
      </c>
      <c r="F121" s="26"/>
      <c r="G121" s="22"/>
      <c r="H121" s="30">
        <f>161.64</f>
        <v>161.63999999999999</v>
      </c>
      <c r="I121" s="6" t="s">
        <v>15</v>
      </c>
      <c r="K121" s="4"/>
    </row>
    <row r="122" spans="1:11" s="1" customFormat="1">
      <c r="A122" s="9"/>
      <c r="B122" s="9"/>
      <c r="C122" s="9"/>
      <c r="D122" s="16"/>
      <c r="E122" s="17"/>
      <c r="F122" s="26"/>
      <c r="G122" s="22"/>
      <c r="H122" s="30"/>
      <c r="I122" s="2"/>
    </row>
    <row r="123" spans="1:11" s="1" customFormat="1">
      <c r="A123" s="11" t="s">
        <v>4</v>
      </c>
      <c r="B123" s="10"/>
      <c r="C123" s="10"/>
      <c r="D123" s="18">
        <f>SUM(D110:D122)</f>
        <v>1344.52</v>
      </c>
      <c r="E123" s="6"/>
      <c r="F123" s="27">
        <f>SUM(F110:F122)</f>
        <v>0</v>
      </c>
      <c r="G123" s="23"/>
      <c r="H123" s="31">
        <f>SUM(H110:H122)</f>
        <v>10145.430000000002</v>
      </c>
      <c r="I123" s="2"/>
      <c r="K123" s="38"/>
    </row>
    <row r="124" spans="1:11" s="1" customFormat="1" ht="15.75" thickBot="1">
      <c r="A124" s="12" t="s">
        <v>5</v>
      </c>
      <c r="B124" s="34">
        <f>SUM(D123+F123+H123)</f>
        <v>11489.950000000003</v>
      </c>
      <c r="C124" s="33"/>
      <c r="D124" s="19"/>
      <c r="E124" s="20"/>
      <c r="F124" s="28"/>
      <c r="G124" s="24"/>
      <c r="H124" s="32"/>
      <c r="I124" s="3"/>
      <c r="K124" s="38"/>
    </row>
    <row r="125" spans="1:11" s="1" customFormat="1">
      <c r="A125" s="43" t="s">
        <v>142</v>
      </c>
      <c r="B125" s="8" t="s">
        <v>55</v>
      </c>
      <c r="C125" s="8" t="s">
        <v>11</v>
      </c>
      <c r="D125" s="14">
        <f>50.89+6.97</f>
        <v>57.86</v>
      </c>
      <c r="E125" s="15" t="s">
        <v>16</v>
      </c>
      <c r="F125" s="25"/>
      <c r="G125" s="21"/>
      <c r="H125" s="29">
        <f>621.67+909.34+1125.4+302.56+139.25</f>
        <v>3098.22</v>
      </c>
      <c r="I125" s="5" t="s">
        <v>67</v>
      </c>
      <c r="K125" s="38"/>
    </row>
    <row r="126" spans="1:11" s="1" customFormat="1">
      <c r="A126" s="10"/>
      <c r="B126" s="37" t="s">
        <v>143</v>
      </c>
      <c r="C126" s="9"/>
      <c r="D126" s="16">
        <f>31.88+50.29</f>
        <v>82.17</v>
      </c>
      <c r="E126" s="17" t="s">
        <v>14</v>
      </c>
      <c r="F126" s="26"/>
      <c r="G126" s="22"/>
      <c r="H126" s="30">
        <f>305.4-305.4+327.5</f>
        <v>327.5</v>
      </c>
      <c r="I126" s="6" t="s">
        <v>45</v>
      </c>
      <c r="K126" s="38"/>
    </row>
    <row r="127" spans="1:11" s="1" customFormat="1">
      <c r="A127" s="9"/>
      <c r="B127" s="9" t="s">
        <v>144</v>
      </c>
      <c r="C127" s="10"/>
      <c r="D127" s="16"/>
      <c r="E127" s="17"/>
      <c r="F127" s="26"/>
      <c r="G127" s="22"/>
      <c r="H127" s="30">
        <f>75.01</f>
        <v>75.010000000000005</v>
      </c>
      <c r="I127" s="6" t="s">
        <v>15</v>
      </c>
      <c r="K127" s="38"/>
    </row>
    <row r="128" spans="1:11" s="1" customFormat="1">
      <c r="A128" s="9"/>
      <c r="B128" s="9"/>
      <c r="C128" s="10"/>
      <c r="D128" s="16"/>
      <c r="E128" s="17"/>
      <c r="F128" s="26"/>
      <c r="G128" s="22"/>
      <c r="H128" s="30"/>
      <c r="I128" s="6"/>
      <c r="K128" s="38"/>
    </row>
    <row r="129" spans="1:11" s="1" customFormat="1">
      <c r="A129" s="9"/>
      <c r="B129" s="9"/>
      <c r="C129" s="10" t="s">
        <v>12</v>
      </c>
      <c r="D129" s="16">
        <f>46.94+5.22</f>
        <v>52.16</v>
      </c>
      <c r="E129" s="17" t="s">
        <v>16</v>
      </c>
      <c r="F129" s="26"/>
      <c r="G129" s="22"/>
      <c r="H129" s="30">
        <f>621.67+909.34+302.56+139.25+1125.4</f>
        <v>3098.2200000000003</v>
      </c>
      <c r="I129" s="6" t="s">
        <v>67</v>
      </c>
      <c r="K129" s="38"/>
    </row>
    <row r="130" spans="1:11" s="1" customFormat="1">
      <c r="A130" s="9"/>
      <c r="B130" s="9"/>
      <c r="C130" s="10"/>
      <c r="D130" s="16">
        <v>34.26</v>
      </c>
      <c r="E130" s="17" t="s">
        <v>14</v>
      </c>
      <c r="F130" s="26"/>
      <c r="G130" s="22"/>
      <c r="H130" s="30">
        <f>314.56-314.56+327.5</f>
        <v>327.5</v>
      </c>
      <c r="I130" s="6" t="s">
        <v>45</v>
      </c>
      <c r="K130" s="38"/>
    </row>
    <row r="131" spans="1:11" s="1" customFormat="1">
      <c r="A131" s="9"/>
      <c r="B131" s="9"/>
      <c r="C131" s="10"/>
      <c r="D131" s="16">
        <v>56.79</v>
      </c>
      <c r="E131" s="17" t="s">
        <v>101</v>
      </c>
      <c r="F131" s="26"/>
      <c r="G131" s="22"/>
      <c r="H131" s="30">
        <v>23.12</v>
      </c>
      <c r="I131" s="6" t="s">
        <v>15</v>
      </c>
      <c r="K131" s="4"/>
    </row>
    <row r="132" spans="1:11" s="1" customFormat="1">
      <c r="A132" s="10"/>
      <c r="B132" s="13"/>
      <c r="C132" s="9"/>
      <c r="D132" s="16"/>
      <c r="E132" s="17"/>
      <c r="F132" s="26"/>
      <c r="G132" s="22"/>
      <c r="H132" s="30"/>
      <c r="I132" s="6"/>
    </row>
    <row r="133" spans="1:11" s="1" customFormat="1">
      <c r="A133" s="11" t="s">
        <v>4</v>
      </c>
      <c r="B133" s="10"/>
      <c r="C133" s="10"/>
      <c r="D133" s="18">
        <f>SUM(D125:D132)</f>
        <v>283.24</v>
      </c>
      <c r="E133" s="6"/>
      <c r="F133" s="27">
        <f>SUM(F125:F132)</f>
        <v>0</v>
      </c>
      <c r="G133" s="23"/>
      <c r="H133" s="31">
        <f>SUM(H125:H132)</f>
        <v>6949.5700000000006</v>
      </c>
      <c r="I133" s="2"/>
      <c r="K133" s="38"/>
    </row>
    <row r="134" spans="1:11" s="1" customFormat="1" ht="15.75" thickBot="1">
      <c r="A134" s="12" t="s">
        <v>5</v>
      </c>
      <c r="B134" s="34">
        <f>SUM(D133+F133+H133)</f>
        <v>7232.81</v>
      </c>
      <c r="C134" s="33"/>
      <c r="D134" s="19"/>
      <c r="E134" s="20"/>
      <c r="F134" s="28"/>
      <c r="G134" s="24"/>
      <c r="H134" s="32"/>
      <c r="I134" s="3"/>
      <c r="K134" s="38"/>
    </row>
    <row r="135" spans="1:11" s="1" customFormat="1">
      <c r="A135" s="43" t="s">
        <v>125</v>
      </c>
      <c r="B135" s="8" t="s">
        <v>120</v>
      </c>
      <c r="C135" s="8" t="s">
        <v>65</v>
      </c>
      <c r="D135" s="14">
        <f>55.95</f>
        <v>55.95</v>
      </c>
      <c r="E135" s="15" t="s">
        <v>16</v>
      </c>
      <c r="F135" s="25">
        <f>212</f>
        <v>212</v>
      </c>
      <c r="G135" s="21" t="s">
        <v>121</v>
      </c>
      <c r="H135" s="29">
        <f>1262.41</f>
        <v>1262.4100000000001</v>
      </c>
      <c r="I135" s="5" t="s">
        <v>67</v>
      </c>
      <c r="K135" s="38"/>
    </row>
    <row r="136" spans="1:11" s="1" customFormat="1">
      <c r="A136" s="10"/>
      <c r="B136" s="37" t="s">
        <v>99</v>
      </c>
      <c r="C136" s="9"/>
      <c r="D136" s="16">
        <f>35+63.78</f>
        <v>98.78</v>
      </c>
      <c r="E136" s="17" t="s">
        <v>14</v>
      </c>
      <c r="F136" s="26">
        <f>54</f>
        <v>54</v>
      </c>
      <c r="G136" s="22" t="s">
        <v>43</v>
      </c>
      <c r="H136" s="30"/>
      <c r="I136" s="6"/>
      <c r="K136" s="38"/>
    </row>
    <row r="137" spans="1:11" s="1" customFormat="1">
      <c r="A137" s="9"/>
      <c r="B137" s="9"/>
      <c r="C137" s="10"/>
      <c r="D137" s="16">
        <f>40</f>
        <v>40</v>
      </c>
      <c r="E137" s="17" t="s">
        <v>101</v>
      </c>
      <c r="F137" s="26">
        <f>116.2</f>
        <v>116.2</v>
      </c>
      <c r="G137" s="22" t="s">
        <v>42</v>
      </c>
      <c r="H137" s="30"/>
      <c r="I137" s="6"/>
      <c r="K137" s="38"/>
    </row>
    <row r="138" spans="1:11" s="1" customFormat="1">
      <c r="A138" s="9"/>
      <c r="B138" s="9"/>
      <c r="C138" s="10"/>
      <c r="D138" s="16"/>
      <c r="E138" s="17"/>
      <c r="F138" s="26"/>
      <c r="G138" s="22"/>
      <c r="H138" s="30"/>
      <c r="I138" s="6"/>
      <c r="K138" s="38"/>
    </row>
    <row r="139" spans="1:11" s="1" customFormat="1">
      <c r="A139" s="9"/>
      <c r="B139" s="9"/>
      <c r="C139" s="10" t="s">
        <v>70</v>
      </c>
      <c r="D139" s="16">
        <f>54.86+53.06</f>
        <v>107.92</v>
      </c>
      <c r="E139" s="17" t="s">
        <v>16</v>
      </c>
      <c r="F139" s="26">
        <f>3.67</f>
        <v>3.67</v>
      </c>
      <c r="G139" s="22" t="s">
        <v>42</v>
      </c>
      <c r="H139" s="30">
        <f>1269.42</f>
        <v>1269.42</v>
      </c>
      <c r="I139" s="6" t="s">
        <v>67</v>
      </c>
      <c r="K139" s="38"/>
    </row>
    <row r="140" spans="1:11" s="1" customFormat="1">
      <c r="A140" s="9"/>
      <c r="B140" s="9"/>
      <c r="C140" s="10"/>
      <c r="D140" s="16">
        <f>90+21.26</f>
        <v>111.26</v>
      </c>
      <c r="E140" s="17" t="s">
        <v>14</v>
      </c>
      <c r="F140" s="26"/>
      <c r="G140" s="22"/>
      <c r="H140" s="30">
        <f>588.16</f>
        <v>588.16</v>
      </c>
      <c r="I140" s="6" t="s">
        <v>81</v>
      </c>
      <c r="K140" s="38"/>
    </row>
    <row r="141" spans="1:11" s="1" customFormat="1">
      <c r="A141" s="9"/>
      <c r="B141" s="9"/>
      <c r="C141" s="10"/>
      <c r="D141" s="16">
        <f>10</f>
        <v>10</v>
      </c>
      <c r="E141" s="17" t="s">
        <v>29</v>
      </c>
      <c r="F141" s="26"/>
      <c r="G141" s="22"/>
      <c r="H141" s="30"/>
      <c r="I141" s="6"/>
      <c r="K141" s="4"/>
    </row>
    <row r="142" spans="1:11" s="1" customFormat="1">
      <c r="A142" s="10"/>
      <c r="B142" s="13"/>
      <c r="C142" s="9"/>
      <c r="D142" s="16"/>
      <c r="E142" s="17"/>
      <c r="F142" s="26"/>
      <c r="G142" s="22"/>
      <c r="H142" s="30"/>
      <c r="I142" s="6"/>
    </row>
    <row r="143" spans="1:11" s="1" customFormat="1">
      <c r="A143" s="10"/>
      <c r="B143" s="13"/>
      <c r="C143" s="9" t="s">
        <v>76</v>
      </c>
      <c r="D143" s="16">
        <f>6.7</f>
        <v>6.7</v>
      </c>
      <c r="E143" s="17" t="s">
        <v>16</v>
      </c>
      <c r="F143" s="26">
        <f>200</f>
        <v>200</v>
      </c>
      <c r="G143" s="22" t="s">
        <v>32</v>
      </c>
      <c r="H143" s="30"/>
      <c r="I143" s="6"/>
    </row>
    <row r="144" spans="1:11" s="1" customFormat="1">
      <c r="A144" s="10"/>
      <c r="B144" s="13"/>
      <c r="C144" s="9" t="s">
        <v>131</v>
      </c>
      <c r="D144" s="16">
        <f>25</f>
        <v>25</v>
      </c>
      <c r="E144" s="17" t="s">
        <v>14</v>
      </c>
      <c r="F144" s="26"/>
      <c r="G144" s="22"/>
      <c r="H144" s="30"/>
      <c r="I144" s="6"/>
    </row>
    <row r="145" spans="1:11" s="1" customFormat="1">
      <c r="A145" s="9"/>
      <c r="B145" s="9"/>
      <c r="C145" s="9"/>
      <c r="D145" s="16"/>
      <c r="E145" s="17"/>
      <c r="F145" s="26"/>
      <c r="G145" s="22"/>
      <c r="H145" s="30"/>
      <c r="I145" s="2"/>
    </row>
    <row r="146" spans="1:11" s="1" customFormat="1">
      <c r="A146" s="11" t="s">
        <v>4</v>
      </c>
      <c r="B146" s="10"/>
      <c r="C146" s="10"/>
      <c r="D146" s="18">
        <f>SUM(D135:D145)</f>
        <v>455.61</v>
      </c>
      <c r="E146" s="6"/>
      <c r="F146" s="27">
        <f>SUM(F135:F145)</f>
        <v>585.87</v>
      </c>
      <c r="G146" s="23"/>
      <c r="H146" s="31">
        <f>SUM(H135:H145)</f>
        <v>3119.99</v>
      </c>
      <c r="I146" s="2"/>
      <c r="K146" s="38"/>
    </row>
    <row r="147" spans="1:11" s="1" customFormat="1" ht="15.75" thickBot="1">
      <c r="A147" s="12" t="s">
        <v>5</v>
      </c>
      <c r="B147" s="34">
        <f>SUM(D146+F146+H146)</f>
        <v>4161.4699999999993</v>
      </c>
      <c r="C147" s="33"/>
      <c r="D147" s="19"/>
      <c r="E147" s="20"/>
      <c r="F147" s="28"/>
      <c r="G147" s="24"/>
      <c r="H147" s="32"/>
      <c r="I147" s="3"/>
      <c r="K147" s="38"/>
    </row>
    <row r="148" spans="1:11" s="1" customFormat="1">
      <c r="A148" s="43">
        <v>41724</v>
      </c>
      <c r="B148" s="8" t="s">
        <v>79</v>
      </c>
      <c r="C148" s="8" t="s">
        <v>10</v>
      </c>
      <c r="D148" s="14">
        <f>25.7</f>
        <v>25.7</v>
      </c>
      <c r="E148" s="15" t="s">
        <v>16</v>
      </c>
      <c r="F148" s="25">
        <f>128+128</f>
        <v>256</v>
      </c>
      <c r="G148" s="21" t="s">
        <v>32</v>
      </c>
      <c r="H148" s="29"/>
      <c r="I148" s="5"/>
      <c r="K148" s="38"/>
    </row>
    <row r="149" spans="1:11" s="1" customFormat="1">
      <c r="A149" s="10"/>
      <c r="B149" s="37" t="s">
        <v>147</v>
      </c>
      <c r="C149" s="9"/>
      <c r="D149" s="16">
        <f>52</f>
        <v>52</v>
      </c>
      <c r="E149" s="17" t="s">
        <v>14</v>
      </c>
      <c r="F149" s="26"/>
      <c r="G149" s="22"/>
      <c r="H149" s="30"/>
      <c r="I149" s="6"/>
      <c r="K149" s="38"/>
    </row>
    <row r="150" spans="1:11" s="1" customFormat="1">
      <c r="A150" s="9"/>
      <c r="B150" s="9"/>
      <c r="C150" s="10"/>
      <c r="D150" s="16"/>
      <c r="E150" s="17"/>
      <c r="F150" s="26"/>
      <c r="G150" s="22"/>
      <c r="H150" s="30"/>
      <c r="I150" s="6"/>
      <c r="K150" s="38"/>
    </row>
    <row r="151" spans="1:11" s="1" customFormat="1">
      <c r="A151" s="11" t="s">
        <v>4</v>
      </c>
      <c r="B151" s="10"/>
      <c r="C151" s="10"/>
      <c r="D151" s="18">
        <f>SUM(D148:D150)</f>
        <v>77.7</v>
      </c>
      <c r="E151" s="6"/>
      <c r="F151" s="27">
        <f>SUM(F148:F150)</f>
        <v>256</v>
      </c>
      <c r="G151" s="23"/>
      <c r="H151" s="31">
        <f>SUM(H148:H150)</f>
        <v>0</v>
      </c>
      <c r="I151" s="2"/>
      <c r="K151" s="38"/>
    </row>
    <row r="152" spans="1:11" s="1" customFormat="1" ht="15.75" thickBot="1">
      <c r="A152" s="12" t="s">
        <v>5</v>
      </c>
      <c r="B152" s="34">
        <f>SUM(D151+F151+H151)</f>
        <v>333.7</v>
      </c>
      <c r="C152" s="33"/>
      <c r="D152" s="19"/>
      <c r="E152" s="20"/>
      <c r="F152" s="28"/>
      <c r="G152" s="24"/>
      <c r="H152" s="32"/>
      <c r="I152" s="3"/>
      <c r="K152" s="38"/>
    </row>
    <row r="153" spans="1:11" s="1" customFormat="1">
      <c r="A153" s="43" t="s">
        <v>153</v>
      </c>
      <c r="B153" s="8" t="s">
        <v>120</v>
      </c>
      <c r="C153" s="8" t="s">
        <v>152</v>
      </c>
      <c r="D153" s="14"/>
      <c r="E153" s="15"/>
      <c r="F153" s="25"/>
      <c r="G153" s="21"/>
      <c r="H153" s="29">
        <f>774.47+175</f>
        <v>949.47</v>
      </c>
      <c r="I153" s="5" t="s">
        <v>67</v>
      </c>
      <c r="K153" s="38"/>
    </row>
    <row r="154" spans="1:11" s="1" customFormat="1">
      <c r="A154" s="10"/>
      <c r="B154" s="37" t="s">
        <v>150</v>
      </c>
      <c r="C154" s="9"/>
      <c r="D154" s="16"/>
      <c r="E154" s="17"/>
      <c r="F154" s="26"/>
      <c r="G154" s="22"/>
      <c r="H154" s="30"/>
      <c r="I154" s="6"/>
      <c r="K154" s="4"/>
    </row>
    <row r="155" spans="1:11" s="1" customFormat="1">
      <c r="A155" s="11" t="s">
        <v>4</v>
      </c>
      <c r="B155" s="10"/>
      <c r="C155" s="10"/>
      <c r="D155" s="18">
        <f>SUM(D153:D154)</f>
        <v>0</v>
      </c>
      <c r="E155" s="6"/>
      <c r="F155" s="27">
        <f>SUM(F153:F154)</f>
        <v>0</v>
      </c>
      <c r="G155" s="23"/>
      <c r="H155" s="31">
        <f>SUM(H153:H154)</f>
        <v>949.47</v>
      </c>
      <c r="I155" s="2"/>
      <c r="K155" s="38"/>
    </row>
    <row r="156" spans="1:11" s="1" customFormat="1" ht="15.75" thickBot="1">
      <c r="A156" s="12" t="s">
        <v>5</v>
      </c>
      <c r="B156" s="34">
        <f>SUM(D155+F155+H155)</f>
        <v>949.47</v>
      </c>
      <c r="C156" s="33"/>
      <c r="D156" s="19"/>
      <c r="E156" s="20"/>
      <c r="F156" s="28"/>
      <c r="G156" s="24"/>
      <c r="H156" s="32"/>
      <c r="I156" s="3"/>
      <c r="K156" s="38"/>
    </row>
    <row r="157" spans="1:11" s="1" customFormat="1">
      <c r="A157" s="43">
        <v>41729</v>
      </c>
      <c r="B157" s="8" t="s">
        <v>145</v>
      </c>
      <c r="C157" s="8" t="s">
        <v>12</v>
      </c>
      <c r="D157" s="14">
        <f>292.16</f>
        <v>292.16000000000003</v>
      </c>
      <c r="E157" s="15" t="s">
        <v>16</v>
      </c>
      <c r="F157" s="25"/>
      <c r="G157" s="21"/>
      <c r="H157" s="29"/>
      <c r="I157" s="5"/>
      <c r="K157" s="38"/>
    </row>
    <row r="158" spans="1:11" s="1" customFormat="1">
      <c r="A158" s="10"/>
      <c r="B158" s="37" t="s">
        <v>92</v>
      </c>
      <c r="C158" s="9"/>
      <c r="D158" s="16">
        <f>5.21</f>
        <v>5.21</v>
      </c>
      <c r="E158" s="17" t="s">
        <v>14</v>
      </c>
      <c r="F158" s="26"/>
      <c r="G158" s="22"/>
      <c r="H158" s="30"/>
      <c r="I158" s="6"/>
      <c r="K158" s="4"/>
    </row>
    <row r="159" spans="1:11" s="1" customFormat="1">
      <c r="A159" s="9"/>
      <c r="B159" s="9"/>
      <c r="C159" s="10"/>
      <c r="D159" s="16"/>
      <c r="E159" s="17"/>
      <c r="F159" s="26"/>
      <c r="G159" s="22"/>
      <c r="H159" s="30"/>
      <c r="I159" s="6"/>
    </row>
    <row r="160" spans="1:11">
      <c r="A160" s="11" t="s">
        <v>4</v>
      </c>
      <c r="B160" s="10"/>
      <c r="C160" s="10"/>
      <c r="D160" s="18">
        <f>SUM(D157:D159)</f>
        <v>297.37</v>
      </c>
      <c r="E160" s="6"/>
      <c r="F160" s="27">
        <f>SUM(F157:F159)</f>
        <v>0</v>
      </c>
      <c r="G160" s="23"/>
      <c r="H160" s="31">
        <f>SUM(H157:H159)</f>
        <v>0</v>
      </c>
      <c r="I160" s="2"/>
      <c r="J160" s="1"/>
      <c r="K160" s="40"/>
    </row>
    <row r="161" spans="1:11" ht="15.75" thickBot="1">
      <c r="A161" s="12" t="s">
        <v>5</v>
      </c>
      <c r="B161" s="34">
        <f>SUM(D160+F160+H160)</f>
        <v>297.37</v>
      </c>
      <c r="C161" s="33"/>
      <c r="D161" s="19"/>
      <c r="E161" s="20"/>
      <c r="F161" s="28"/>
      <c r="G161" s="24"/>
      <c r="H161" s="32"/>
      <c r="I161" s="3"/>
      <c r="J161" s="1"/>
      <c r="K161" s="40"/>
    </row>
    <row r="162" spans="1:11" ht="15.75" thickBot="1">
      <c r="J162" s="1"/>
      <c r="K162" s="40"/>
    </row>
    <row r="163" spans="1:11" ht="20.25" thickBot="1">
      <c r="A163" s="35" t="s">
        <v>8</v>
      </c>
      <c r="B163" s="36">
        <f>SUM(B161,B156,B152,B147,B134,B124,B109,B101,B96,B88,B77,B69,B55,B25,B14)</f>
        <v>68301.760000000009</v>
      </c>
      <c r="J163" s="1"/>
      <c r="K163" s="40"/>
    </row>
    <row r="164" spans="1:11">
      <c r="J164" s="1"/>
      <c r="K164" s="41"/>
    </row>
    <row r="165" spans="1:11">
      <c r="J165" s="1"/>
      <c r="K165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topLeftCell="A124" workbookViewId="0">
      <selection activeCell="H151" sqref="H151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11" s="1" customFormat="1" ht="48.75" customHeight="1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11" s="1" customFormat="1">
      <c r="A2" s="43" t="s">
        <v>153</v>
      </c>
      <c r="B2" s="8" t="s">
        <v>169</v>
      </c>
      <c r="C2" s="8" t="s">
        <v>160</v>
      </c>
      <c r="D2" s="14">
        <f>182.73</f>
        <v>182.73</v>
      </c>
      <c r="E2" s="15" t="s">
        <v>16</v>
      </c>
      <c r="F2" s="25">
        <f>16</f>
        <v>16</v>
      </c>
      <c r="G2" s="21" t="s">
        <v>191</v>
      </c>
      <c r="H2" s="29">
        <f>830.15</f>
        <v>830.15</v>
      </c>
      <c r="I2" s="5" t="s">
        <v>67</v>
      </c>
    </row>
    <row r="3" spans="1:11" s="1" customFormat="1">
      <c r="A3" s="10"/>
      <c r="B3" s="37" t="s">
        <v>92</v>
      </c>
      <c r="C3" s="9"/>
      <c r="D3" s="16">
        <f>42.09</f>
        <v>42.09</v>
      </c>
      <c r="E3" s="17"/>
      <c r="F3" s="26"/>
      <c r="G3" s="22"/>
      <c r="H3" s="30">
        <f>953.13</f>
        <v>953.13</v>
      </c>
      <c r="I3" s="6" t="s">
        <v>45</v>
      </c>
    </row>
    <row r="4" spans="1:11" s="1" customFormat="1">
      <c r="A4" s="10"/>
      <c r="B4" s="37"/>
      <c r="C4" s="9"/>
      <c r="D4" s="16"/>
      <c r="E4" s="17"/>
      <c r="F4" s="26"/>
      <c r="G4" s="22"/>
      <c r="H4" s="30"/>
      <c r="I4" s="6"/>
    </row>
    <row r="5" spans="1:11" s="1" customFormat="1">
      <c r="A5" s="9"/>
      <c r="B5" s="9"/>
      <c r="C5" s="10" t="s">
        <v>161</v>
      </c>
      <c r="D5" s="16"/>
      <c r="E5" s="17"/>
      <c r="F5" s="26"/>
      <c r="G5" s="22"/>
      <c r="H5" s="30">
        <f>880.15</f>
        <v>880.15</v>
      </c>
      <c r="I5" s="6" t="s">
        <v>67</v>
      </c>
      <c r="K5" s="38"/>
    </row>
    <row r="6" spans="1:11" s="1" customFormat="1">
      <c r="A6" s="9"/>
      <c r="B6" s="9"/>
      <c r="C6" s="10"/>
      <c r="D6" s="16"/>
      <c r="E6" s="17"/>
      <c r="F6" s="26"/>
      <c r="G6" s="22"/>
      <c r="H6" s="30">
        <v>964.02</v>
      </c>
      <c r="I6" s="6" t="s">
        <v>45</v>
      </c>
      <c r="K6" s="38"/>
    </row>
    <row r="7" spans="1:11" s="1" customFormat="1">
      <c r="A7" s="10"/>
      <c r="B7" s="13"/>
      <c r="C7" s="9"/>
      <c r="D7" s="16"/>
      <c r="E7" s="17"/>
      <c r="F7" s="26"/>
      <c r="G7" s="22"/>
      <c r="H7" s="30"/>
      <c r="I7" s="6"/>
      <c r="K7" s="38"/>
    </row>
    <row r="8" spans="1:11" s="1" customFormat="1">
      <c r="A8" s="10"/>
      <c r="B8" s="13"/>
      <c r="C8" s="9" t="s">
        <v>159</v>
      </c>
      <c r="D8" s="16">
        <f>376.71</f>
        <v>376.71</v>
      </c>
      <c r="E8" s="17" t="s">
        <v>16</v>
      </c>
      <c r="F8" s="26"/>
      <c r="G8" s="22"/>
      <c r="H8" s="30">
        <f>1021.1</f>
        <v>1021.1</v>
      </c>
      <c r="I8" s="6" t="s">
        <v>67</v>
      </c>
      <c r="K8" s="38"/>
    </row>
    <row r="9" spans="1:11" s="1" customFormat="1">
      <c r="A9" s="10"/>
      <c r="B9" s="13"/>
      <c r="C9" s="9"/>
      <c r="D9" s="16"/>
      <c r="E9" s="17"/>
      <c r="F9" s="26"/>
      <c r="G9" s="22"/>
      <c r="H9" s="30">
        <v>1160.05</v>
      </c>
      <c r="I9" s="6" t="s">
        <v>81</v>
      </c>
      <c r="K9" s="38"/>
    </row>
    <row r="10" spans="1:11" s="1" customFormat="1">
      <c r="A10" s="10"/>
      <c r="B10" s="13"/>
      <c r="C10" s="9"/>
      <c r="D10" s="16" t="s">
        <v>168</v>
      </c>
      <c r="E10" s="17"/>
      <c r="F10" s="26"/>
      <c r="G10" s="22"/>
      <c r="H10" s="30"/>
      <c r="I10" s="6"/>
      <c r="K10" s="38"/>
    </row>
    <row r="11" spans="1:11" s="1" customFormat="1">
      <c r="A11" s="10"/>
      <c r="B11" s="13"/>
      <c r="C11" s="9" t="s">
        <v>11</v>
      </c>
      <c r="D11" s="16">
        <f>217.31</f>
        <v>217.31</v>
      </c>
      <c r="E11" s="17" t="s">
        <v>16</v>
      </c>
      <c r="F11" s="26"/>
      <c r="G11" s="22"/>
      <c r="H11" s="30"/>
      <c r="I11" s="6"/>
      <c r="K11" s="38"/>
    </row>
    <row r="12" spans="1:11" s="1" customFormat="1">
      <c r="A12" s="10"/>
      <c r="B12" s="13"/>
      <c r="C12" s="9"/>
      <c r="D12" s="16">
        <f>17.78+6.6</f>
        <v>24.380000000000003</v>
      </c>
      <c r="E12" s="17" t="s">
        <v>14</v>
      </c>
      <c r="F12" s="26"/>
      <c r="G12" s="22"/>
      <c r="H12" s="30"/>
      <c r="I12" s="6"/>
      <c r="K12" s="38"/>
    </row>
    <row r="13" spans="1:11" s="1" customFormat="1">
      <c r="A13" s="10"/>
      <c r="B13" s="13"/>
      <c r="C13" s="9"/>
      <c r="D13" s="16"/>
      <c r="E13" s="17"/>
      <c r="F13" s="26"/>
      <c r="G13" s="22"/>
      <c r="H13" s="30"/>
      <c r="I13" s="6"/>
      <c r="K13" s="38"/>
    </row>
    <row r="14" spans="1:11" s="1" customFormat="1">
      <c r="A14" s="10"/>
      <c r="B14" s="13"/>
      <c r="C14" s="9" t="s">
        <v>12</v>
      </c>
      <c r="D14" s="16">
        <f>44.87</f>
        <v>44.87</v>
      </c>
      <c r="E14" s="17" t="s">
        <v>16</v>
      </c>
      <c r="F14" s="26"/>
      <c r="G14" s="22"/>
      <c r="H14" s="30"/>
      <c r="I14" s="6"/>
      <c r="K14" s="38"/>
    </row>
    <row r="15" spans="1:11" s="1" customFormat="1">
      <c r="A15" s="9"/>
      <c r="B15" s="9"/>
      <c r="C15" s="9"/>
      <c r="D15" s="16"/>
      <c r="E15" s="17"/>
      <c r="F15" s="26"/>
      <c r="G15" s="22"/>
      <c r="H15" s="30"/>
      <c r="I15" s="2"/>
      <c r="K15" s="4"/>
    </row>
    <row r="16" spans="1:11" s="1" customFormat="1">
      <c r="A16" s="11" t="s">
        <v>4</v>
      </c>
      <c r="B16" s="10"/>
      <c r="C16" s="10"/>
      <c r="D16" s="18">
        <f>SUM(D2:D15)</f>
        <v>888.08999999999992</v>
      </c>
      <c r="E16" s="6"/>
      <c r="F16" s="27">
        <f>SUM(F2:F15)</f>
        <v>16</v>
      </c>
      <c r="G16" s="23"/>
      <c r="H16" s="31">
        <f>SUM(H2:H15)</f>
        <v>5808.6</v>
      </c>
      <c r="I16" s="2"/>
    </row>
    <row r="17" spans="1:11" s="1" customFormat="1" ht="15.75" thickBot="1">
      <c r="A17" s="12" t="s">
        <v>5</v>
      </c>
      <c r="B17" s="34">
        <f>SUM(D16+F16+H16)</f>
        <v>6712.6900000000005</v>
      </c>
      <c r="C17" s="33"/>
      <c r="D17" s="19"/>
      <c r="E17" s="20"/>
      <c r="F17" s="28"/>
      <c r="G17" s="24"/>
      <c r="H17" s="32"/>
      <c r="I17" s="3"/>
    </row>
    <row r="18" spans="1:11" s="1" customFormat="1">
      <c r="A18" s="43" t="s">
        <v>167</v>
      </c>
      <c r="B18" s="8" t="s">
        <v>149</v>
      </c>
      <c r="C18" s="8" t="s">
        <v>20</v>
      </c>
      <c r="D18" s="14">
        <f>232.87</f>
        <v>232.87</v>
      </c>
      <c r="E18" s="15" t="s">
        <v>16</v>
      </c>
      <c r="F18" s="25">
        <f>3.9</f>
        <v>3.9</v>
      </c>
      <c r="G18" s="21" t="s">
        <v>50</v>
      </c>
      <c r="H18" s="29">
        <f>326.78</f>
        <v>326.77999999999997</v>
      </c>
      <c r="I18" s="5" t="s">
        <v>67</v>
      </c>
    </row>
    <row r="19" spans="1:11" s="1" customFormat="1">
      <c r="A19" s="10"/>
      <c r="B19" s="37" t="s">
        <v>27</v>
      </c>
      <c r="C19" s="9"/>
      <c r="D19" s="16">
        <f>45</f>
        <v>45</v>
      </c>
      <c r="E19" s="17" t="s">
        <v>14</v>
      </c>
      <c r="F19" s="26">
        <f>4.5</f>
        <v>4.5</v>
      </c>
      <c r="G19" s="22" t="s">
        <v>31</v>
      </c>
      <c r="H19" s="30">
        <f>660</f>
        <v>660</v>
      </c>
      <c r="I19" s="6" t="s">
        <v>45</v>
      </c>
    </row>
    <row r="20" spans="1:11" s="1" customFormat="1">
      <c r="A20" s="9"/>
      <c r="B20" s="9"/>
      <c r="C20" s="10"/>
      <c r="D20" s="16"/>
      <c r="E20" s="17"/>
      <c r="F20" s="26">
        <f>12</f>
        <v>12</v>
      </c>
      <c r="G20" s="22" t="s">
        <v>32</v>
      </c>
      <c r="H20" s="30">
        <f>26</f>
        <v>26</v>
      </c>
      <c r="I20" s="6" t="s">
        <v>15</v>
      </c>
      <c r="K20" s="38"/>
    </row>
    <row r="21" spans="1:11" s="1" customFormat="1">
      <c r="A21" s="10"/>
      <c r="B21" s="13"/>
      <c r="C21" s="9"/>
      <c r="D21" s="16"/>
      <c r="E21" s="17"/>
      <c r="F21" s="26"/>
      <c r="G21" s="22"/>
      <c r="H21" s="30"/>
      <c r="I21" s="6"/>
      <c r="K21" s="38"/>
    </row>
    <row r="22" spans="1:11" s="1" customFormat="1">
      <c r="A22" s="11" t="s">
        <v>4</v>
      </c>
      <c r="B22" s="10"/>
      <c r="C22" s="10"/>
      <c r="D22" s="18">
        <f>SUM(D18:D21)</f>
        <v>277.87</v>
      </c>
      <c r="E22" s="6"/>
      <c r="F22" s="27">
        <f>SUM(F18:F21)</f>
        <v>20.399999999999999</v>
      </c>
      <c r="G22" s="23"/>
      <c r="H22" s="31">
        <f>SUM(H18:H21)</f>
        <v>1012.78</v>
      </c>
      <c r="I22" s="2"/>
    </row>
    <row r="23" spans="1:11" s="1" customFormat="1" ht="15.75" thickBot="1">
      <c r="A23" s="12" t="s">
        <v>5</v>
      </c>
      <c r="B23" s="34">
        <f>SUM(D22+F22+H22)</f>
        <v>1311.05</v>
      </c>
      <c r="C23" s="33"/>
      <c r="D23" s="19"/>
      <c r="E23" s="20"/>
      <c r="F23" s="28"/>
      <c r="G23" s="24"/>
      <c r="H23" s="32"/>
      <c r="I23" s="3"/>
    </row>
    <row r="24" spans="1:11" s="1" customFormat="1">
      <c r="A24" s="43" t="s">
        <v>171</v>
      </c>
      <c r="B24" s="8" t="s">
        <v>120</v>
      </c>
      <c r="C24" s="8" t="s">
        <v>154</v>
      </c>
      <c r="D24" s="14"/>
      <c r="E24" s="15"/>
      <c r="F24" s="25"/>
      <c r="G24" s="21"/>
      <c r="H24" s="29">
        <f>822.59</f>
        <v>822.59</v>
      </c>
      <c r="I24" s="5" t="s">
        <v>67</v>
      </c>
    </row>
    <row r="25" spans="1:11" s="1" customFormat="1">
      <c r="A25" s="10"/>
      <c r="B25" s="37" t="s">
        <v>150</v>
      </c>
      <c r="C25" s="9" t="s">
        <v>197</v>
      </c>
      <c r="D25" s="16"/>
      <c r="E25" s="17"/>
      <c r="F25" s="26"/>
      <c r="G25" s="22"/>
      <c r="H25" s="30">
        <f>136.31+143.99-136.31</f>
        <v>143.99</v>
      </c>
      <c r="I25" s="6" t="s">
        <v>45</v>
      </c>
    </row>
    <row r="26" spans="1:11" s="1" customFormat="1">
      <c r="A26" s="10"/>
      <c r="B26" s="37"/>
      <c r="C26" s="9"/>
      <c r="D26" s="16"/>
      <c r="E26" s="17"/>
      <c r="F26" s="26"/>
      <c r="G26" s="22"/>
      <c r="H26" s="30"/>
      <c r="I26" s="6"/>
    </row>
    <row r="27" spans="1:11" s="1" customFormat="1">
      <c r="A27" s="11" t="s">
        <v>4</v>
      </c>
      <c r="B27" s="10"/>
      <c r="C27" s="10"/>
      <c r="D27" s="18">
        <f>SUM(D24:D25)</f>
        <v>0</v>
      </c>
      <c r="E27" s="6"/>
      <c r="F27" s="27">
        <f>SUM(F24:F25)</f>
        <v>0</v>
      </c>
      <c r="G27" s="23"/>
      <c r="H27" s="31">
        <f>SUM(H24:H25)</f>
        <v>966.58</v>
      </c>
      <c r="I27" s="2"/>
    </row>
    <row r="28" spans="1:11" s="1" customFormat="1" ht="15.75" thickBot="1">
      <c r="A28" s="12" t="s">
        <v>5</v>
      </c>
      <c r="B28" s="34">
        <f>SUM(D27+F27+H27)</f>
        <v>966.58</v>
      </c>
      <c r="C28" s="33"/>
      <c r="D28" s="19"/>
      <c r="E28" s="20"/>
      <c r="F28" s="28"/>
      <c r="G28" s="24"/>
      <c r="H28" s="32"/>
      <c r="I28" s="3"/>
    </row>
    <row r="29" spans="1:11" s="1" customFormat="1">
      <c r="A29" s="43" t="s">
        <v>171</v>
      </c>
      <c r="B29" s="8" t="s">
        <v>34</v>
      </c>
      <c r="C29" s="8" t="s">
        <v>49</v>
      </c>
      <c r="D29" s="14">
        <f>4+10.43+83.63</f>
        <v>98.06</v>
      </c>
      <c r="E29" s="15" t="s">
        <v>16</v>
      </c>
      <c r="F29" s="25">
        <f>111.95</f>
        <v>111.95</v>
      </c>
      <c r="G29" s="21" t="s">
        <v>42</v>
      </c>
      <c r="H29" s="29">
        <f>4430.14</f>
        <v>4430.1400000000003</v>
      </c>
      <c r="I29" s="5" t="s">
        <v>67</v>
      </c>
    </row>
    <row r="30" spans="1:11" s="1" customFormat="1">
      <c r="A30" s="10"/>
      <c r="B30" s="37" t="s">
        <v>181</v>
      </c>
      <c r="C30" s="9"/>
      <c r="D30" s="16">
        <f>8.64</f>
        <v>8.64</v>
      </c>
      <c r="E30" s="17" t="s">
        <v>14</v>
      </c>
      <c r="F30" s="26"/>
      <c r="G30" s="22"/>
      <c r="H30" s="30">
        <v>896.77</v>
      </c>
      <c r="I30" s="6" t="s">
        <v>45</v>
      </c>
    </row>
    <row r="31" spans="1:11" s="1" customFormat="1">
      <c r="A31" s="10"/>
      <c r="B31" s="37"/>
      <c r="C31" s="9"/>
      <c r="D31" s="16">
        <f>28.6</f>
        <v>28.6</v>
      </c>
      <c r="E31" s="17" t="s">
        <v>183</v>
      </c>
      <c r="F31" s="26"/>
      <c r="G31" s="22"/>
      <c r="H31" s="30">
        <f>39.88</f>
        <v>39.880000000000003</v>
      </c>
      <c r="I31" s="6" t="s">
        <v>15</v>
      </c>
    </row>
    <row r="32" spans="1:11" s="1" customFormat="1">
      <c r="A32" s="10"/>
      <c r="B32" s="37"/>
      <c r="C32" s="9"/>
      <c r="D32" s="16"/>
      <c r="E32" s="17"/>
      <c r="F32" s="26"/>
      <c r="G32" s="22"/>
      <c r="H32" s="30"/>
      <c r="I32" s="6"/>
    </row>
    <row r="33" spans="1:11" s="1" customFormat="1">
      <c r="A33" s="11" t="s">
        <v>4</v>
      </c>
      <c r="B33" s="10"/>
      <c r="C33" s="10"/>
      <c r="D33" s="18">
        <f>SUM(D29:D30)</f>
        <v>106.7</v>
      </c>
      <c r="E33" s="6"/>
      <c r="F33" s="27">
        <f>SUM(F29:F30)</f>
        <v>111.95</v>
      </c>
      <c r="G33" s="23"/>
      <c r="H33" s="31">
        <f>SUM(H29:H30)</f>
        <v>5326.91</v>
      </c>
      <c r="I33" s="2"/>
    </row>
    <row r="34" spans="1:11" s="1" customFormat="1" ht="15.75" thickBot="1">
      <c r="A34" s="12" t="s">
        <v>5</v>
      </c>
      <c r="B34" s="34">
        <f>SUM(D33+F33+H33)</f>
        <v>5545.5599999999995</v>
      </c>
      <c r="C34" s="33"/>
      <c r="D34" s="19"/>
      <c r="E34" s="20"/>
      <c r="F34" s="28"/>
      <c r="G34" s="24"/>
      <c r="H34" s="32"/>
      <c r="I34" s="3"/>
    </row>
    <row r="35" spans="1:11" s="1" customFormat="1">
      <c r="A35" s="43" t="s">
        <v>177</v>
      </c>
      <c r="B35" s="8" t="s">
        <v>178</v>
      </c>
      <c r="C35" s="8" t="s">
        <v>66</v>
      </c>
      <c r="D35" s="14">
        <f>16.7+161.89+2.78</f>
        <v>181.36999999999998</v>
      </c>
      <c r="E35" s="15" t="s">
        <v>16</v>
      </c>
      <c r="F35" s="25">
        <f>9.13</f>
        <v>9.1300000000000008</v>
      </c>
      <c r="G35" s="21" t="s">
        <v>42</v>
      </c>
      <c r="H35" s="29">
        <f>700.63+100</f>
        <v>800.63</v>
      </c>
      <c r="I35" s="5" t="s">
        <v>67</v>
      </c>
    </row>
    <row r="36" spans="1:11" s="1" customFormat="1">
      <c r="A36" s="10"/>
      <c r="B36" s="37" t="s">
        <v>179</v>
      </c>
      <c r="C36" s="9"/>
      <c r="D36" s="16">
        <f>53.95</f>
        <v>53.95</v>
      </c>
      <c r="E36" s="17" t="s">
        <v>14</v>
      </c>
      <c r="F36" s="26">
        <f>42.5</f>
        <v>42.5</v>
      </c>
      <c r="G36" s="22" t="s">
        <v>43</v>
      </c>
      <c r="H36" s="30">
        <f>822.15</f>
        <v>822.15</v>
      </c>
      <c r="I36" s="6" t="s">
        <v>45</v>
      </c>
    </row>
    <row r="37" spans="1:11" s="1" customFormat="1">
      <c r="A37" s="10"/>
      <c r="B37" s="37"/>
      <c r="C37" s="9"/>
      <c r="D37" s="16">
        <f>10+5.18</f>
        <v>15.18</v>
      </c>
      <c r="E37" s="17" t="s">
        <v>29</v>
      </c>
      <c r="F37" s="26">
        <f>4.6</f>
        <v>4.5999999999999996</v>
      </c>
      <c r="G37" s="22" t="s">
        <v>50</v>
      </c>
      <c r="H37" s="30">
        <f>322.05</f>
        <v>322.05</v>
      </c>
      <c r="I37" s="6" t="s">
        <v>15</v>
      </c>
    </row>
    <row r="38" spans="1:11" s="1" customFormat="1">
      <c r="A38" s="10"/>
      <c r="B38" s="37"/>
      <c r="C38" s="9"/>
      <c r="D38" s="16"/>
      <c r="E38" s="17"/>
      <c r="F38" s="26"/>
      <c r="G38" s="22"/>
      <c r="H38" s="30"/>
      <c r="I38" s="6"/>
    </row>
    <row r="39" spans="1:11" s="1" customFormat="1">
      <c r="A39" s="10"/>
      <c r="B39" s="37"/>
      <c r="C39" s="9" t="s">
        <v>57</v>
      </c>
      <c r="D39" s="16">
        <f>1+29.61</f>
        <v>30.61</v>
      </c>
      <c r="E39" s="17" t="s">
        <v>16</v>
      </c>
      <c r="F39" s="26">
        <v>12</v>
      </c>
      <c r="G39" s="22" t="s">
        <v>32</v>
      </c>
      <c r="H39" s="30">
        <f>551.13</f>
        <v>551.13</v>
      </c>
      <c r="I39" s="6" t="s">
        <v>67</v>
      </c>
    </row>
    <row r="40" spans="1:11" s="1" customFormat="1">
      <c r="A40" s="10"/>
      <c r="B40" s="37"/>
      <c r="C40" s="9"/>
      <c r="D40" s="16">
        <f>17.3+20.39</f>
        <v>37.69</v>
      </c>
      <c r="E40" s="17" t="s">
        <v>14</v>
      </c>
      <c r="F40" s="26"/>
      <c r="G40" s="22"/>
      <c r="H40" s="30">
        <f>822.15</f>
        <v>822.15</v>
      </c>
      <c r="I40" s="6" t="s">
        <v>45</v>
      </c>
    </row>
    <row r="41" spans="1:11" s="1" customFormat="1">
      <c r="A41" s="10"/>
      <c r="B41" s="37"/>
      <c r="C41" s="9"/>
      <c r="D41" s="16"/>
      <c r="E41" s="17"/>
      <c r="F41" s="26"/>
      <c r="G41" s="22"/>
      <c r="H41" s="30"/>
      <c r="I41" s="6"/>
    </row>
    <row r="42" spans="1:11" s="1" customFormat="1">
      <c r="A42" s="11" t="s">
        <v>4</v>
      </c>
      <c r="B42" s="10"/>
      <c r="C42" s="10"/>
      <c r="D42" s="18">
        <f>SUM(D35:D36)</f>
        <v>235.32</v>
      </c>
      <c r="E42" s="6"/>
      <c r="F42" s="27">
        <f>SUM(F35:F36)</f>
        <v>51.63</v>
      </c>
      <c r="G42" s="23"/>
      <c r="H42" s="31">
        <f>SUM(H35:H36)</f>
        <v>1622.78</v>
      </c>
      <c r="I42" s="2"/>
    </row>
    <row r="43" spans="1:11" s="1" customFormat="1" ht="15.75" thickBot="1">
      <c r="A43" s="12" t="s">
        <v>5</v>
      </c>
      <c r="B43" s="34">
        <f>SUM(D42+F42+H42)</f>
        <v>1909.73</v>
      </c>
      <c r="C43" s="33"/>
      <c r="D43" s="19"/>
      <c r="E43" s="20"/>
      <c r="F43" s="28"/>
      <c r="G43" s="24"/>
      <c r="H43" s="32"/>
      <c r="I43" s="3"/>
    </row>
    <row r="44" spans="1:11" s="1" customFormat="1">
      <c r="A44" s="43" t="s">
        <v>163</v>
      </c>
      <c r="B44" s="8" t="s">
        <v>164</v>
      </c>
      <c r="C44" s="8" t="s">
        <v>76</v>
      </c>
      <c r="D44" s="14">
        <f>416.69</f>
        <v>416.69</v>
      </c>
      <c r="E44" s="15" t="s">
        <v>16</v>
      </c>
      <c r="F44" s="25">
        <f>10.66</f>
        <v>10.66</v>
      </c>
      <c r="G44" s="21" t="s">
        <v>42</v>
      </c>
      <c r="H44" s="29">
        <v>1724.97</v>
      </c>
      <c r="I44" s="5" t="s">
        <v>67</v>
      </c>
    </row>
    <row r="45" spans="1:11" s="1" customFormat="1">
      <c r="A45" s="10"/>
      <c r="B45" s="37" t="s">
        <v>111</v>
      </c>
      <c r="C45" s="9"/>
      <c r="D45" s="16">
        <f>361.08</f>
        <v>361.08</v>
      </c>
      <c r="E45" s="17" t="s">
        <v>14</v>
      </c>
      <c r="F45" s="26">
        <v>51.8</v>
      </c>
      <c r="G45" s="22" t="s">
        <v>43</v>
      </c>
      <c r="H45" s="30">
        <f>782.25-782.25+818.88</f>
        <v>818.88</v>
      </c>
      <c r="I45" s="6" t="s">
        <v>45</v>
      </c>
    </row>
    <row r="46" spans="1:11" s="1" customFormat="1">
      <c r="A46" s="9"/>
      <c r="B46" s="9"/>
      <c r="C46" s="10"/>
      <c r="D46" s="16">
        <f>32.62+10</f>
        <v>42.62</v>
      </c>
      <c r="E46" s="17" t="s">
        <v>29</v>
      </c>
      <c r="F46" s="26"/>
      <c r="G46" s="22"/>
      <c r="H46" s="30">
        <f>38.19</f>
        <v>38.19</v>
      </c>
      <c r="I46" s="6" t="s">
        <v>15</v>
      </c>
      <c r="K46" s="38"/>
    </row>
    <row r="47" spans="1:11" s="1" customFormat="1">
      <c r="A47" s="9"/>
      <c r="B47" s="9"/>
      <c r="C47" s="10"/>
      <c r="D47" s="16"/>
      <c r="E47" s="17"/>
      <c r="F47" s="26"/>
      <c r="G47" s="22"/>
      <c r="H47" s="30"/>
      <c r="I47" s="6"/>
      <c r="K47" s="38"/>
    </row>
    <row r="48" spans="1:11" s="1" customFormat="1">
      <c r="A48" s="10"/>
      <c r="B48" s="13"/>
      <c r="C48" s="9" t="s">
        <v>71</v>
      </c>
      <c r="D48" s="16">
        <f>19.1+301.87</f>
        <v>320.97000000000003</v>
      </c>
      <c r="E48" s="17" t="s">
        <v>16</v>
      </c>
      <c r="F48" s="26"/>
      <c r="G48" s="22"/>
      <c r="H48" s="30">
        <f>1595.45</f>
        <v>1595.45</v>
      </c>
      <c r="I48" s="6" t="s">
        <v>67</v>
      </c>
      <c r="K48" s="38"/>
    </row>
    <row r="49" spans="1:11" s="1" customFormat="1">
      <c r="A49" s="9"/>
      <c r="B49" s="9"/>
      <c r="C49" s="9"/>
      <c r="D49" s="16">
        <f>125+50.35+56.82</f>
        <v>232.17</v>
      </c>
      <c r="E49" s="17" t="s">
        <v>14</v>
      </c>
      <c r="F49" s="26"/>
      <c r="G49" s="22"/>
      <c r="H49" s="30">
        <f>469.34</f>
        <v>469.34</v>
      </c>
      <c r="I49" s="2" t="s">
        <v>45</v>
      </c>
      <c r="K49" s="4"/>
    </row>
    <row r="50" spans="1:11" s="1" customFormat="1">
      <c r="A50" s="9"/>
      <c r="B50" s="9"/>
      <c r="C50" s="9"/>
      <c r="D50" s="16">
        <f>10</f>
        <v>10</v>
      </c>
      <c r="E50" s="17" t="s">
        <v>29</v>
      </c>
      <c r="F50" s="26"/>
      <c r="G50" s="22"/>
      <c r="H50" s="30">
        <f>35.73</f>
        <v>35.729999999999997</v>
      </c>
      <c r="I50" s="2" t="s">
        <v>15</v>
      </c>
      <c r="K50" s="4"/>
    </row>
    <row r="51" spans="1:11" s="1" customFormat="1">
      <c r="A51" s="9"/>
      <c r="B51" s="9"/>
      <c r="C51" s="9"/>
      <c r="D51" s="16"/>
      <c r="E51" s="17"/>
      <c r="F51" s="26"/>
      <c r="G51" s="22"/>
      <c r="H51" s="30"/>
      <c r="I51" s="2"/>
      <c r="K51" s="4"/>
    </row>
    <row r="52" spans="1:11" s="1" customFormat="1">
      <c r="A52" s="9"/>
      <c r="B52" s="9"/>
      <c r="C52" s="9" t="s">
        <v>20</v>
      </c>
      <c r="D52" s="16">
        <f>78.6+116</f>
        <v>194.6</v>
      </c>
      <c r="E52" s="17" t="s">
        <v>16</v>
      </c>
      <c r="F52" s="26">
        <f>7.8</f>
        <v>7.8</v>
      </c>
      <c r="G52" s="22" t="s">
        <v>50</v>
      </c>
      <c r="H52" s="30">
        <f>895.16</f>
        <v>895.16</v>
      </c>
      <c r="I52" s="2" t="s">
        <v>67</v>
      </c>
      <c r="K52" s="4"/>
    </row>
    <row r="53" spans="1:11" s="1" customFormat="1">
      <c r="A53" s="9"/>
      <c r="B53" s="9"/>
      <c r="C53" s="9"/>
      <c r="D53" s="16">
        <f>9.78</f>
        <v>9.7799999999999994</v>
      </c>
      <c r="E53" s="17" t="s">
        <v>14</v>
      </c>
      <c r="F53" s="26">
        <v>1.5</v>
      </c>
      <c r="G53" s="22" t="s">
        <v>43</v>
      </c>
      <c r="H53" s="30">
        <f>469.34</f>
        <v>469.34</v>
      </c>
      <c r="I53" s="2" t="s">
        <v>45</v>
      </c>
      <c r="K53" s="4"/>
    </row>
    <row r="54" spans="1:11" s="1" customFormat="1">
      <c r="A54" s="9"/>
      <c r="B54" s="9"/>
      <c r="C54" s="9"/>
      <c r="D54" s="16">
        <f>11.21</f>
        <v>11.21</v>
      </c>
      <c r="E54" s="17" t="s">
        <v>29</v>
      </c>
      <c r="F54" s="26"/>
      <c r="G54" s="22"/>
      <c r="H54" s="30">
        <f>39.23</f>
        <v>39.229999999999997</v>
      </c>
      <c r="I54" s="2" t="s">
        <v>15</v>
      </c>
      <c r="K54" s="4"/>
    </row>
    <row r="55" spans="1:11" s="1" customFormat="1">
      <c r="A55" s="9"/>
      <c r="B55" s="9"/>
      <c r="C55" s="9"/>
      <c r="D55" s="16"/>
      <c r="E55" s="17"/>
      <c r="F55" s="26"/>
      <c r="G55" s="22"/>
      <c r="H55" s="30"/>
      <c r="I55" s="2"/>
      <c r="K55" s="4"/>
    </row>
    <row r="56" spans="1:11" s="1" customFormat="1">
      <c r="A56" s="9"/>
      <c r="B56" s="9"/>
      <c r="C56" s="9" t="s">
        <v>77</v>
      </c>
      <c r="D56" s="16">
        <f>33.08+67.17</f>
        <v>100.25</v>
      </c>
      <c r="E56" s="17" t="s">
        <v>16</v>
      </c>
      <c r="F56" s="26"/>
      <c r="G56" s="22"/>
      <c r="H56" s="30">
        <f>927.66</f>
        <v>927.66</v>
      </c>
      <c r="I56" s="2" t="s">
        <v>67</v>
      </c>
      <c r="K56" s="4"/>
    </row>
    <row r="57" spans="1:11" s="1" customFormat="1">
      <c r="A57" s="9"/>
      <c r="B57" s="9"/>
      <c r="C57" s="9"/>
      <c r="D57" s="16">
        <f>228.25+97.95</f>
        <v>326.2</v>
      </c>
      <c r="E57" s="17" t="s">
        <v>14</v>
      </c>
      <c r="F57" s="26"/>
      <c r="G57" s="22"/>
      <c r="H57" s="30">
        <f>469.34</f>
        <v>469.34</v>
      </c>
      <c r="I57" s="2" t="s">
        <v>45</v>
      </c>
      <c r="K57" s="4"/>
    </row>
    <row r="58" spans="1:11" s="1" customFormat="1">
      <c r="A58" s="9"/>
      <c r="B58" s="9"/>
      <c r="C58" s="9"/>
      <c r="D58" s="16"/>
      <c r="E58" s="17"/>
      <c r="F58" s="26"/>
      <c r="G58" s="22"/>
      <c r="H58" s="30">
        <f>42.84</f>
        <v>42.84</v>
      </c>
      <c r="I58" s="2" t="s">
        <v>15</v>
      </c>
      <c r="K58" s="4"/>
    </row>
    <row r="59" spans="1:11" s="1" customFormat="1">
      <c r="A59" s="9"/>
      <c r="B59" s="9"/>
      <c r="C59" s="9"/>
      <c r="D59" s="16"/>
      <c r="E59" s="17"/>
      <c r="F59" s="26"/>
      <c r="G59" s="22"/>
      <c r="H59" s="30"/>
      <c r="I59" s="2"/>
      <c r="K59" s="4"/>
    </row>
    <row r="60" spans="1:11" s="1" customFormat="1">
      <c r="A60" s="9"/>
      <c r="B60" s="9"/>
      <c r="C60" s="9" t="s">
        <v>165</v>
      </c>
      <c r="D60" s="16">
        <f>128.74</f>
        <v>128.74</v>
      </c>
      <c r="E60" s="17" t="s">
        <v>29</v>
      </c>
      <c r="F60" s="26"/>
      <c r="G60" s="22"/>
      <c r="H60" s="30">
        <f>181.64</f>
        <v>181.64</v>
      </c>
      <c r="I60" s="2" t="s">
        <v>67</v>
      </c>
      <c r="K60" s="4"/>
    </row>
    <row r="61" spans="1:11" s="1" customFormat="1">
      <c r="A61" s="9"/>
      <c r="B61" s="9"/>
      <c r="C61" s="9" t="s">
        <v>166</v>
      </c>
      <c r="D61" s="16"/>
      <c r="E61" s="17"/>
      <c r="F61" s="26"/>
      <c r="G61" s="22"/>
      <c r="H61" s="30">
        <f>636+469.34-636</f>
        <v>469.33999999999992</v>
      </c>
      <c r="I61" s="2" t="s">
        <v>45</v>
      </c>
      <c r="K61" s="4"/>
    </row>
    <row r="62" spans="1:11" s="1" customFormat="1">
      <c r="A62" s="9"/>
      <c r="B62" s="9"/>
      <c r="C62" s="9"/>
      <c r="D62" s="16"/>
      <c r="E62" s="17"/>
      <c r="F62" s="26"/>
      <c r="G62" s="22"/>
      <c r="H62" s="30"/>
      <c r="I62" s="2"/>
      <c r="K62" s="4"/>
    </row>
    <row r="63" spans="1:11" s="1" customFormat="1">
      <c r="A63" s="9"/>
      <c r="B63" s="9"/>
      <c r="C63" s="9"/>
      <c r="D63" s="16"/>
      <c r="E63" s="17"/>
      <c r="F63" s="26"/>
      <c r="G63" s="22"/>
      <c r="H63" s="30"/>
      <c r="I63" s="2"/>
      <c r="K63" s="4"/>
    </row>
    <row r="64" spans="1:11" s="1" customFormat="1">
      <c r="A64" s="11" t="s">
        <v>4</v>
      </c>
      <c r="B64" s="10"/>
      <c r="C64" s="10"/>
      <c r="D64" s="18">
        <f>SUM(D44:D63)</f>
        <v>2154.3100000000004</v>
      </c>
      <c r="E64" s="6"/>
      <c r="F64" s="27">
        <f>SUM(F44:F63)</f>
        <v>71.759999999999991</v>
      </c>
      <c r="G64" s="23"/>
      <c r="H64" s="31">
        <f>SUM(H44:H63)</f>
        <v>8177.11</v>
      </c>
      <c r="I64" s="2"/>
    </row>
    <row r="65" spans="1:9" s="1" customFormat="1" ht="15.75" thickBot="1">
      <c r="A65" s="12" t="s">
        <v>5</v>
      </c>
      <c r="B65" s="34">
        <f>SUM(D64+F64+H64)</f>
        <v>10403.18</v>
      </c>
      <c r="C65" s="33"/>
      <c r="D65" s="19"/>
      <c r="E65" s="20"/>
      <c r="F65" s="28"/>
      <c r="G65" s="24"/>
      <c r="H65" s="32"/>
      <c r="I65" s="3"/>
    </row>
    <row r="66" spans="1:9" s="1" customFormat="1">
      <c r="A66" s="43" t="s">
        <v>173</v>
      </c>
      <c r="B66" s="8" t="s">
        <v>174</v>
      </c>
      <c r="C66" s="8" t="s">
        <v>11</v>
      </c>
      <c r="D66" s="14">
        <f>80.48</f>
        <v>80.48</v>
      </c>
      <c r="E66" s="15" t="s">
        <v>16</v>
      </c>
      <c r="F66" s="25">
        <f>7.93+0.47</f>
        <v>8.4</v>
      </c>
      <c r="G66" s="21" t="s">
        <v>32</v>
      </c>
      <c r="H66" s="29">
        <f>348.44</f>
        <v>348.44</v>
      </c>
      <c r="I66" s="5" t="s">
        <v>67</v>
      </c>
    </row>
    <row r="67" spans="1:9" s="1" customFormat="1">
      <c r="A67" s="10"/>
      <c r="B67" s="37" t="s">
        <v>175</v>
      </c>
      <c r="C67" s="9"/>
      <c r="D67" s="16">
        <f>28.95+29.93</f>
        <v>58.879999999999995</v>
      </c>
      <c r="E67" s="17" t="s">
        <v>14</v>
      </c>
      <c r="F67" s="26"/>
      <c r="G67" s="22"/>
      <c r="H67" s="30">
        <f>617.12</f>
        <v>617.12</v>
      </c>
      <c r="I67" s="6" t="s">
        <v>45</v>
      </c>
    </row>
    <row r="68" spans="1:9" s="1" customFormat="1">
      <c r="A68" s="10"/>
      <c r="B68" s="37"/>
      <c r="C68" s="9"/>
      <c r="D68" s="16">
        <f>31.13</f>
        <v>31.13</v>
      </c>
      <c r="E68" s="17" t="s">
        <v>29</v>
      </c>
      <c r="F68" s="26"/>
      <c r="G68" s="22"/>
      <c r="H68" s="30">
        <f>201.82</f>
        <v>201.82</v>
      </c>
      <c r="I68" s="6" t="s">
        <v>15</v>
      </c>
    </row>
    <row r="69" spans="1:9" s="1" customFormat="1">
      <c r="A69" s="10"/>
      <c r="B69" s="37"/>
      <c r="C69" s="9"/>
      <c r="D69" s="16"/>
      <c r="E69" s="17"/>
      <c r="F69" s="26"/>
      <c r="G69" s="22"/>
      <c r="H69" s="30"/>
      <c r="I69" s="6"/>
    </row>
    <row r="70" spans="1:9" s="1" customFormat="1">
      <c r="A70" s="10"/>
      <c r="B70" s="37"/>
      <c r="C70" s="9" t="s">
        <v>12</v>
      </c>
      <c r="D70" s="16">
        <f>11.77+240.6</f>
        <v>252.37</v>
      </c>
      <c r="E70" s="17" t="s">
        <v>16</v>
      </c>
      <c r="F70" s="26"/>
      <c r="G70" s="22"/>
      <c r="H70" s="30">
        <f>210.699+227.13</f>
        <v>437.82900000000001</v>
      </c>
      <c r="I70" s="6" t="s">
        <v>67</v>
      </c>
    </row>
    <row r="71" spans="1:9" s="1" customFormat="1">
      <c r="A71" s="10"/>
      <c r="B71" s="37"/>
      <c r="C71" s="9"/>
      <c r="D71" s="16">
        <f>34.22+11.64</f>
        <v>45.86</v>
      </c>
      <c r="E71" s="17" t="s">
        <v>14</v>
      </c>
      <c r="F71" s="26"/>
      <c r="G71" s="22"/>
      <c r="H71" s="30">
        <f>599</f>
        <v>599</v>
      </c>
      <c r="I71" s="6" t="s">
        <v>45</v>
      </c>
    </row>
    <row r="72" spans="1:9" s="1" customFormat="1">
      <c r="A72" s="10"/>
      <c r="B72" s="37"/>
      <c r="C72" s="9"/>
      <c r="D72" s="16">
        <f>76.68</f>
        <v>76.680000000000007</v>
      </c>
      <c r="E72" s="17" t="s">
        <v>200</v>
      </c>
      <c r="F72" s="26"/>
      <c r="G72" s="22"/>
      <c r="H72" s="30">
        <f>194.35</f>
        <v>194.35</v>
      </c>
      <c r="I72" s="6" t="s">
        <v>15</v>
      </c>
    </row>
    <row r="73" spans="1:9" s="1" customFormat="1">
      <c r="A73" s="10"/>
      <c r="B73" s="37"/>
      <c r="C73" s="9"/>
      <c r="D73" s="16"/>
      <c r="E73" s="17"/>
      <c r="F73" s="26"/>
      <c r="G73" s="22"/>
      <c r="H73" s="30"/>
      <c r="I73" s="6"/>
    </row>
    <row r="74" spans="1:9" s="1" customFormat="1">
      <c r="A74" s="10"/>
      <c r="B74" s="37"/>
      <c r="C74" s="9" t="s">
        <v>57</v>
      </c>
      <c r="D74" s="16">
        <f>1+217.3</f>
        <v>218.3</v>
      </c>
      <c r="E74" s="17" t="s">
        <v>16</v>
      </c>
      <c r="F74" s="26">
        <f>12+16.13</f>
        <v>28.13</v>
      </c>
      <c r="G74" s="22" t="s">
        <v>32</v>
      </c>
      <c r="H74" s="30">
        <f>551.13</f>
        <v>551.13</v>
      </c>
      <c r="I74" s="6" t="s">
        <v>67</v>
      </c>
    </row>
    <row r="75" spans="1:9" s="1" customFormat="1">
      <c r="A75" s="10"/>
      <c r="B75" s="37"/>
      <c r="C75" s="9"/>
      <c r="D75" s="16">
        <f>8.3+80.06</f>
        <v>88.36</v>
      </c>
      <c r="E75" s="17" t="s">
        <v>14</v>
      </c>
      <c r="F75" s="26"/>
      <c r="G75" s="22"/>
      <c r="H75" s="30">
        <f>732+798-732</f>
        <v>798</v>
      </c>
      <c r="I75" s="6" t="s">
        <v>45</v>
      </c>
    </row>
    <row r="76" spans="1:9" s="1" customFormat="1">
      <c r="A76" s="10"/>
      <c r="B76" s="37"/>
      <c r="C76" s="9"/>
      <c r="D76" s="16"/>
      <c r="E76" s="17"/>
      <c r="F76" s="26"/>
      <c r="G76" s="22"/>
      <c r="H76" s="30">
        <f>159.81</f>
        <v>159.81</v>
      </c>
      <c r="I76" s="6" t="s">
        <v>15</v>
      </c>
    </row>
    <row r="77" spans="1:9" s="1" customFormat="1">
      <c r="A77" s="10"/>
      <c r="B77" s="37"/>
      <c r="C77" s="9"/>
      <c r="D77" s="16"/>
      <c r="E77" s="17"/>
      <c r="F77" s="26"/>
      <c r="G77" s="22"/>
      <c r="H77" s="30"/>
      <c r="I77" s="6"/>
    </row>
    <row r="78" spans="1:9" s="1" customFormat="1">
      <c r="A78" s="11" t="s">
        <v>4</v>
      </c>
      <c r="B78" s="10"/>
      <c r="C78" s="10"/>
      <c r="D78" s="18">
        <f>SUM(D66:D77)</f>
        <v>852.06000000000006</v>
      </c>
      <c r="E78" s="6"/>
      <c r="F78" s="27">
        <f>SUM(F66:F77)</f>
        <v>36.53</v>
      </c>
      <c r="G78" s="23"/>
      <c r="H78" s="31">
        <f>SUM(H66:H77)</f>
        <v>3907.4989999999998</v>
      </c>
      <c r="I78" s="2"/>
    </row>
    <row r="79" spans="1:9" s="1" customFormat="1" ht="15.75" thickBot="1">
      <c r="A79" s="12" t="s">
        <v>5</v>
      </c>
      <c r="B79" s="34">
        <f>SUM(D78+F78+H78)</f>
        <v>4796.0889999999999</v>
      </c>
      <c r="C79" s="33"/>
      <c r="D79" s="19"/>
      <c r="E79" s="20"/>
      <c r="F79" s="28"/>
      <c r="G79" s="24"/>
      <c r="H79" s="32"/>
      <c r="I79" s="3"/>
    </row>
    <row r="80" spans="1:9" s="1" customFormat="1">
      <c r="A80" s="43" t="s">
        <v>176</v>
      </c>
      <c r="B80" s="8" t="s">
        <v>120</v>
      </c>
      <c r="C80" s="8" t="s">
        <v>162</v>
      </c>
      <c r="D80" s="14"/>
      <c r="E80" s="15"/>
      <c r="F80" s="25"/>
      <c r="G80" s="21"/>
      <c r="H80" s="29">
        <f>639.47</f>
        <v>639.47</v>
      </c>
      <c r="I80" s="5" t="s">
        <v>67</v>
      </c>
    </row>
    <row r="81" spans="1:9" s="1" customFormat="1">
      <c r="A81" s="10"/>
      <c r="B81" s="37" t="s">
        <v>150</v>
      </c>
      <c r="C81" s="9"/>
      <c r="D81" s="16"/>
      <c r="E81" s="17"/>
      <c r="F81" s="26"/>
      <c r="G81" s="22"/>
      <c r="H81" s="30"/>
      <c r="I81" s="6"/>
    </row>
    <row r="82" spans="1:9" s="1" customFormat="1">
      <c r="A82" s="11" t="s">
        <v>4</v>
      </c>
      <c r="B82" s="10"/>
      <c r="C82" s="10"/>
      <c r="D82" s="18">
        <f>SUM(D80:D81)</f>
        <v>0</v>
      </c>
      <c r="E82" s="6"/>
      <c r="F82" s="27">
        <f>SUM(F80:F81)</f>
        <v>0</v>
      </c>
      <c r="G82" s="23"/>
      <c r="H82" s="31">
        <f>SUM(H80:H81)</f>
        <v>639.47</v>
      </c>
      <c r="I82" s="2"/>
    </row>
    <row r="83" spans="1:9" s="1" customFormat="1" ht="15.75" thickBot="1">
      <c r="A83" s="12" t="s">
        <v>5</v>
      </c>
      <c r="B83" s="34">
        <f>SUM(D82+F82+H82)</f>
        <v>639.47</v>
      </c>
      <c r="C83" s="33"/>
      <c r="D83" s="19"/>
      <c r="E83" s="20"/>
      <c r="F83" s="28"/>
      <c r="G83" s="24"/>
      <c r="H83" s="32"/>
      <c r="I83" s="3"/>
    </row>
    <row r="84" spans="1:9" s="1" customFormat="1">
      <c r="A84" s="43">
        <v>41746</v>
      </c>
      <c r="B84" s="8" t="s">
        <v>114</v>
      </c>
      <c r="C84" s="8" t="s">
        <v>39</v>
      </c>
      <c r="D84" s="14">
        <f>14.7+28.6</f>
        <v>43.3</v>
      </c>
      <c r="E84" s="15" t="s">
        <v>16</v>
      </c>
      <c r="F84" s="25">
        <f>37.16</f>
        <v>37.159999999999997</v>
      </c>
      <c r="G84" s="21" t="s">
        <v>42</v>
      </c>
      <c r="H84" s="29">
        <f>425.99</f>
        <v>425.99</v>
      </c>
      <c r="I84" s="5" t="s">
        <v>67</v>
      </c>
    </row>
    <row r="85" spans="1:9" s="1" customFormat="1">
      <c r="A85" s="45"/>
      <c r="B85" s="37" t="s">
        <v>87</v>
      </c>
      <c r="C85" s="9"/>
      <c r="D85" s="16"/>
      <c r="E85" s="17"/>
      <c r="F85" s="26">
        <f>5.8</f>
        <v>5.8</v>
      </c>
      <c r="G85" s="22" t="s">
        <v>50</v>
      </c>
      <c r="H85" s="30"/>
      <c r="I85" s="6"/>
    </row>
    <row r="86" spans="1:9" s="1" customFormat="1">
      <c r="A86" s="45"/>
      <c r="B86" s="37"/>
      <c r="C86" s="9"/>
      <c r="D86" s="16"/>
      <c r="E86" s="17"/>
      <c r="F86" s="26">
        <f>24.3</f>
        <v>24.3</v>
      </c>
      <c r="G86" s="22" t="s">
        <v>43</v>
      </c>
      <c r="H86" s="30"/>
      <c r="I86" s="6"/>
    </row>
    <row r="87" spans="1:9" s="1" customFormat="1">
      <c r="A87" s="45"/>
      <c r="B87" s="37"/>
      <c r="C87" s="9"/>
      <c r="D87" s="16"/>
      <c r="E87" s="17"/>
      <c r="F87" s="26"/>
      <c r="G87" s="22"/>
      <c r="H87" s="30"/>
      <c r="I87" s="6"/>
    </row>
    <row r="88" spans="1:9" s="1" customFormat="1">
      <c r="A88" s="45"/>
      <c r="B88" s="37"/>
      <c r="C88" s="9" t="s">
        <v>71</v>
      </c>
      <c r="D88" s="16">
        <f>4.4+4.53</f>
        <v>8.93</v>
      </c>
      <c r="E88" s="17" t="s">
        <v>16</v>
      </c>
      <c r="F88" s="26">
        <f>58.56</f>
        <v>58.56</v>
      </c>
      <c r="G88" s="22" t="s">
        <v>32</v>
      </c>
      <c r="H88" s="30">
        <f>425.99</f>
        <v>425.99</v>
      </c>
      <c r="I88" s="6" t="s">
        <v>67</v>
      </c>
    </row>
    <row r="89" spans="1:9" s="1" customFormat="1">
      <c r="A89" s="45"/>
      <c r="B89" s="37"/>
      <c r="C89" s="9"/>
      <c r="D89" s="16">
        <f>24.28</f>
        <v>24.28</v>
      </c>
      <c r="E89" s="17" t="s">
        <v>14</v>
      </c>
      <c r="F89" s="26">
        <f>21.63</f>
        <v>21.63</v>
      </c>
      <c r="G89" s="22" t="s">
        <v>31</v>
      </c>
      <c r="H89" s="30"/>
      <c r="I89" s="6"/>
    </row>
    <row r="90" spans="1:9" s="1" customFormat="1">
      <c r="A90" s="10"/>
      <c r="C90" s="9"/>
      <c r="D90" s="16">
        <f>28</f>
        <v>28</v>
      </c>
      <c r="E90" s="17" t="s">
        <v>29</v>
      </c>
      <c r="F90" s="26">
        <f>17.1</f>
        <v>17.100000000000001</v>
      </c>
      <c r="G90" s="22" t="s">
        <v>43</v>
      </c>
      <c r="H90" s="30"/>
      <c r="I90" s="6"/>
    </row>
    <row r="91" spans="1:9" s="1" customFormat="1">
      <c r="A91" s="10"/>
      <c r="C91" s="9"/>
      <c r="D91" s="16"/>
      <c r="E91" s="17"/>
      <c r="F91" s="26">
        <f>7.2</f>
        <v>7.2</v>
      </c>
      <c r="G91" s="22" t="s">
        <v>50</v>
      </c>
      <c r="H91" s="30"/>
      <c r="I91" s="6"/>
    </row>
    <row r="92" spans="1:9" s="1" customFormat="1">
      <c r="A92" s="10"/>
      <c r="C92" s="9"/>
      <c r="D92" s="16"/>
      <c r="E92" s="17"/>
      <c r="F92" s="26">
        <f>20.53</f>
        <v>20.53</v>
      </c>
      <c r="G92" s="22" t="s">
        <v>42</v>
      </c>
      <c r="H92" s="30"/>
      <c r="I92" s="6"/>
    </row>
    <row r="93" spans="1:9" s="1" customFormat="1">
      <c r="A93" s="10"/>
      <c r="C93" s="9"/>
      <c r="D93" s="16"/>
      <c r="E93" s="17"/>
      <c r="F93" s="26"/>
      <c r="G93" s="22"/>
      <c r="H93" s="30"/>
      <c r="I93" s="6"/>
    </row>
    <row r="94" spans="1:9" s="1" customFormat="1">
      <c r="A94" s="11" t="s">
        <v>4</v>
      </c>
      <c r="B94" s="10"/>
      <c r="C94" s="10"/>
      <c r="D94" s="18">
        <f>SUM(D84:D90)</f>
        <v>104.50999999999999</v>
      </c>
      <c r="E94" s="6"/>
      <c r="F94" s="27">
        <f>SUM(F84:F90)</f>
        <v>164.54999999999998</v>
      </c>
      <c r="G94" s="23"/>
      <c r="H94" s="31">
        <f>SUM(H84:H90)</f>
        <v>851.98</v>
      </c>
      <c r="I94" s="2"/>
    </row>
    <row r="95" spans="1:9" s="1" customFormat="1" ht="15.75" thickBot="1">
      <c r="A95" s="12" t="s">
        <v>5</v>
      </c>
      <c r="B95" s="34">
        <f>SUM(D94+F94+H94)</f>
        <v>1121.04</v>
      </c>
      <c r="C95" s="33"/>
      <c r="D95" s="19"/>
      <c r="E95" s="20"/>
      <c r="F95" s="28"/>
      <c r="G95" s="24"/>
      <c r="H95" s="32"/>
      <c r="I95" s="3"/>
    </row>
    <row r="96" spans="1:9" s="1" customFormat="1">
      <c r="A96" s="43" t="s">
        <v>185</v>
      </c>
      <c r="B96" s="8" t="s">
        <v>186</v>
      </c>
      <c r="C96" s="8" t="s">
        <v>70</v>
      </c>
      <c r="D96" s="16">
        <f>180+21.23</f>
        <v>201.23</v>
      </c>
      <c r="E96" s="17" t="s">
        <v>14</v>
      </c>
      <c r="F96" s="25"/>
      <c r="G96" s="21"/>
      <c r="H96" s="29">
        <f>634.52</f>
        <v>634.52</v>
      </c>
      <c r="I96" s="5" t="s">
        <v>67</v>
      </c>
    </row>
    <row r="97" spans="1:9" s="1" customFormat="1">
      <c r="A97" s="45"/>
      <c r="B97" s="37" t="s">
        <v>99</v>
      </c>
      <c r="C97" s="9"/>
      <c r="D97" s="16"/>
      <c r="E97" s="17"/>
      <c r="F97" s="26"/>
      <c r="G97" s="22"/>
      <c r="H97" s="30">
        <f>505.35</f>
        <v>505.35</v>
      </c>
      <c r="I97" s="6" t="s">
        <v>81</v>
      </c>
    </row>
    <row r="98" spans="1:9" s="1" customFormat="1">
      <c r="A98" s="45"/>
      <c r="B98" s="37"/>
      <c r="C98" s="9"/>
      <c r="D98" s="16"/>
      <c r="E98" s="17"/>
      <c r="F98" s="26"/>
      <c r="G98" s="22"/>
      <c r="H98" s="30"/>
      <c r="I98" s="6"/>
    </row>
    <row r="99" spans="1:9" s="1" customFormat="1">
      <c r="A99" s="10"/>
      <c r="C99" s="9"/>
      <c r="D99" s="16"/>
      <c r="E99" s="17"/>
      <c r="F99" s="26"/>
      <c r="G99" s="22"/>
      <c r="H99" s="30"/>
      <c r="I99" s="6"/>
    </row>
    <row r="100" spans="1:9" s="1" customFormat="1">
      <c r="A100" s="11" t="s">
        <v>4</v>
      </c>
      <c r="B100" s="10"/>
      <c r="C100" s="10"/>
      <c r="D100" s="18">
        <f>SUM(D96:D99)</f>
        <v>201.23</v>
      </c>
      <c r="E100" s="6"/>
      <c r="F100" s="27">
        <f>SUM(F96:F99)</f>
        <v>0</v>
      </c>
      <c r="G100" s="23"/>
      <c r="H100" s="31">
        <f>SUM(H96:H99)</f>
        <v>1139.8699999999999</v>
      </c>
      <c r="I100" s="2"/>
    </row>
    <row r="101" spans="1:9" s="1" customFormat="1" ht="15.75" thickBot="1">
      <c r="A101" s="12" t="s">
        <v>5</v>
      </c>
      <c r="B101" s="34">
        <f>SUM(D100+F100+H100)</f>
        <v>1341.1</v>
      </c>
      <c r="C101" s="33"/>
      <c r="D101" s="19"/>
      <c r="E101" s="20"/>
      <c r="F101" s="28"/>
      <c r="G101" s="24"/>
      <c r="H101" s="32"/>
      <c r="I101" s="3"/>
    </row>
    <row r="102" spans="1:9" s="1" customFormat="1">
      <c r="A102" s="43" t="s">
        <v>189</v>
      </c>
      <c r="B102" s="8" t="s">
        <v>79</v>
      </c>
      <c r="C102" s="8" t="s">
        <v>11</v>
      </c>
      <c r="D102" s="14">
        <f>8.69+9</f>
        <v>17.689999999999998</v>
      </c>
      <c r="E102" s="15" t="s">
        <v>16</v>
      </c>
      <c r="F102" s="25"/>
      <c r="G102" s="21"/>
      <c r="H102" s="29">
        <f>621.67</f>
        <v>621.66999999999996</v>
      </c>
      <c r="I102" s="5" t="s">
        <v>67</v>
      </c>
    </row>
    <row r="103" spans="1:9" s="1" customFormat="1">
      <c r="A103" s="45"/>
      <c r="B103" s="37" t="s">
        <v>190</v>
      </c>
      <c r="C103" s="9"/>
      <c r="D103" s="16">
        <f>21.07+31.57</f>
        <v>52.64</v>
      </c>
      <c r="E103" s="17" t="s">
        <v>14</v>
      </c>
      <c r="F103" s="26"/>
      <c r="G103" s="22"/>
      <c r="H103" s="30">
        <f>519.3</f>
        <v>519.29999999999995</v>
      </c>
      <c r="I103" s="6" t="s">
        <v>45</v>
      </c>
    </row>
    <row r="104" spans="1:9" s="1" customFormat="1">
      <c r="A104" s="45"/>
      <c r="B104" s="37"/>
      <c r="C104" s="9"/>
      <c r="D104" s="16"/>
      <c r="E104" s="17"/>
      <c r="F104" s="26"/>
      <c r="G104" s="22"/>
      <c r="H104" s="30">
        <f>451.33</f>
        <v>451.33</v>
      </c>
      <c r="I104" s="6" t="s">
        <v>15</v>
      </c>
    </row>
    <row r="105" spans="1:9" s="1" customFormat="1">
      <c r="A105" s="45"/>
      <c r="B105" s="37"/>
      <c r="C105" s="9"/>
      <c r="D105" s="16"/>
      <c r="E105" s="17"/>
      <c r="F105" s="26"/>
      <c r="G105" s="22"/>
      <c r="H105" s="30"/>
      <c r="I105" s="6"/>
    </row>
    <row r="106" spans="1:9" s="1" customFormat="1">
      <c r="A106" s="45"/>
      <c r="B106" s="37"/>
      <c r="C106" s="9" t="s">
        <v>12</v>
      </c>
      <c r="D106" s="16">
        <f>7.7+57.43</f>
        <v>65.13</v>
      </c>
      <c r="E106" s="17" t="s">
        <v>16</v>
      </c>
      <c r="F106" s="26"/>
      <c r="G106" s="22"/>
      <c r="H106" s="30">
        <f>621.67+30.84</f>
        <v>652.51</v>
      </c>
      <c r="I106" s="6" t="s">
        <v>67</v>
      </c>
    </row>
    <row r="107" spans="1:9" s="1" customFormat="1">
      <c r="A107" s="45"/>
      <c r="B107" s="37"/>
      <c r="C107" s="9"/>
      <c r="D107" s="16">
        <f>18.07+23.48+2.08</f>
        <v>43.629999999999995</v>
      </c>
      <c r="E107" s="17" t="s">
        <v>14</v>
      </c>
      <c r="F107" s="26"/>
      <c r="G107" s="22"/>
      <c r="H107" s="30">
        <f>519.3</f>
        <v>519.29999999999995</v>
      </c>
      <c r="I107" s="6" t="s">
        <v>45</v>
      </c>
    </row>
    <row r="108" spans="1:9" s="1" customFormat="1">
      <c r="A108" s="45"/>
      <c r="B108" s="37"/>
      <c r="C108" s="9"/>
      <c r="D108" s="16"/>
      <c r="E108" s="17"/>
      <c r="F108" s="26"/>
      <c r="G108" s="22"/>
      <c r="H108" s="30">
        <f>32.64</f>
        <v>32.64</v>
      </c>
      <c r="I108" s="6" t="s">
        <v>15</v>
      </c>
    </row>
    <row r="109" spans="1:9" s="1" customFormat="1">
      <c r="A109" s="10"/>
      <c r="C109" s="9"/>
      <c r="D109" s="16"/>
      <c r="E109" s="17"/>
      <c r="F109" s="26"/>
      <c r="G109" s="22"/>
      <c r="H109" s="30"/>
      <c r="I109" s="6"/>
    </row>
    <row r="110" spans="1:9" s="1" customFormat="1">
      <c r="A110" s="11" t="s">
        <v>4</v>
      </c>
      <c r="B110" s="10"/>
      <c r="C110" s="10"/>
      <c r="D110" s="18">
        <f>SUM(D102:D109)</f>
        <v>179.08999999999997</v>
      </c>
      <c r="E110" s="6"/>
      <c r="F110" s="27">
        <f>SUM(F102:F109)</f>
        <v>0</v>
      </c>
      <c r="G110" s="23"/>
      <c r="H110" s="31">
        <f>SUM(H102:H109)</f>
        <v>2796.7499999999995</v>
      </c>
      <c r="I110" s="2"/>
    </row>
    <row r="111" spans="1:9" s="1" customFormat="1" ht="15.75" thickBot="1">
      <c r="A111" s="12" t="s">
        <v>5</v>
      </c>
      <c r="B111" s="34">
        <f>SUM(D110+F110+H110)</f>
        <v>2975.8399999999997</v>
      </c>
      <c r="C111" s="33"/>
      <c r="D111" s="19"/>
      <c r="E111" s="20"/>
      <c r="F111" s="28"/>
      <c r="G111" s="24"/>
      <c r="H111" s="32"/>
      <c r="I111" s="3"/>
    </row>
    <row r="112" spans="1:9" s="1" customFormat="1">
      <c r="A112" s="43" t="s">
        <v>172</v>
      </c>
      <c r="B112" s="8" t="s">
        <v>55</v>
      </c>
      <c r="C112" s="8" t="s">
        <v>66</v>
      </c>
      <c r="D112" s="14">
        <f>20.5+35.67</f>
        <v>56.17</v>
      </c>
      <c r="E112" s="15" t="s">
        <v>16</v>
      </c>
      <c r="F112" s="25">
        <f>12</f>
        <v>12</v>
      </c>
      <c r="G112" s="21" t="s">
        <v>32</v>
      </c>
      <c r="H112" s="29">
        <f>391.01</f>
        <v>391.01</v>
      </c>
      <c r="I112" s="5" t="s">
        <v>67</v>
      </c>
    </row>
    <row r="113" spans="1:9" s="1" customFormat="1">
      <c r="A113" s="10"/>
      <c r="B113" s="37" t="s">
        <v>73</v>
      </c>
      <c r="C113" s="9"/>
      <c r="D113" s="16">
        <f>116</f>
        <v>116</v>
      </c>
      <c r="E113" s="17" t="s">
        <v>14</v>
      </c>
      <c r="F113" s="26"/>
      <c r="G113" s="22"/>
      <c r="H113" s="30">
        <f>299.82</f>
        <v>299.82</v>
      </c>
      <c r="I113" s="6" t="s">
        <v>45</v>
      </c>
    </row>
    <row r="114" spans="1:9" s="1" customFormat="1">
      <c r="A114" s="10"/>
      <c r="B114" s="37"/>
      <c r="C114" s="9"/>
      <c r="D114" s="16">
        <f>10</f>
        <v>10</v>
      </c>
      <c r="E114" s="17" t="s">
        <v>29</v>
      </c>
      <c r="F114" s="26"/>
      <c r="G114" s="22"/>
      <c r="H114" s="30">
        <f>50.73</f>
        <v>50.73</v>
      </c>
      <c r="I114" s="6" t="s">
        <v>15</v>
      </c>
    </row>
    <row r="115" spans="1:9" s="1" customFormat="1">
      <c r="A115" s="10"/>
      <c r="B115" s="37"/>
      <c r="C115" s="9"/>
      <c r="D115" s="16"/>
      <c r="E115" s="17"/>
      <c r="F115" s="26"/>
      <c r="G115" s="22"/>
      <c r="H115" s="30"/>
      <c r="I115" s="6"/>
    </row>
    <row r="116" spans="1:9" s="1" customFormat="1">
      <c r="A116" s="10"/>
      <c r="B116" s="37"/>
      <c r="C116" s="9" t="s">
        <v>57</v>
      </c>
      <c r="D116" s="16">
        <f>19.95+56.17</f>
        <v>76.12</v>
      </c>
      <c r="E116" s="17" t="s">
        <v>16</v>
      </c>
      <c r="F116" s="26">
        <v>24</v>
      </c>
      <c r="G116" s="22" t="s">
        <v>32</v>
      </c>
      <c r="H116" s="30">
        <f>391.01</f>
        <v>391.01</v>
      </c>
      <c r="I116" s="6" t="s">
        <v>67</v>
      </c>
    </row>
    <row r="117" spans="1:9" s="1" customFormat="1">
      <c r="A117" s="10"/>
      <c r="B117" s="37"/>
      <c r="C117" s="9"/>
      <c r="D117" s="16">
        <f>21.6+8+46.88</f>
        <v>76.48</v>
      </c>
      <c r="E117" s="17" t="s">
        <v>14</v>
      </c>
      <c r="F117" s="26">
        <f>1.5</f>
        <v>1.5</v>
      </c>
      <c r="G117" s="22" t="s">
        <v>31</v>
      </c>
      <c r="H117" s="30">
        <f>299.82</f>
        <v>299.82</v>
      </c>
      <c r="I117" s="6" t="s">
        <v>45</v>
      </c>
    </row>
    <row r="118" spans="1:9" s="1" customFormat="1">
      <c r="A118" s="10"/>
      <c r="B118" s="37"/>
      <c r="C118" s="9"/>
      <c r="D118" s="16"/>
      <c r="E118" s="17"/>
      <c r="F118" s="26"/>
      <c r="G118" s="22"/>
      <c r="H118" s="30"/>
      <c r="I118" s="6"/>
    </row>
    <row r="119" spans="1:9" s="1" customFormat="1">
      <c r="A119" s="11" t="s">
        <v>4</v>
      </c>
      <c r="B119" s="10"/>
      <c r="C119" s="10"/>
      <c r="D119" s="18">
        <f>SUM(D112:D118)</f>
        <v>334.77000000000004</v>
      </c>
      <c r="E119" s="6"/>
      <c r="F119" s="27">
        <f>SUM(F112:F118)</f>
        <v>37.5</v>
      </c>
      <c r="G119" s="23"/>
      <c r="H119" s="31">
        <f>SUM(H112:H118)</f>
        <v>1432.3899999999999</v>
      </c>
      <c r="I119" s="2"/>
    </row>
    <row r="120" spans="1:9" s="1" customFormat="1" ht="20.25" customHeight="1" thickBot="1">
      <c r="A120" s="12" t="s">
        <v>5</v>
      </c>
      <c r="B120" s="34">
        <f>SUM(D119+F119+H119)</f>
        <v>1804.6599999999999</v>
      </c>
      <c r="C120" s="33"/>
      <c r="D120" s="19"/>
      <c r="E120" s="20"/>
      <c r="F120" s="28"/>
      <c r="G120" s="24"/>
      <c r="H120" s="32"/>
      <c r="I120" s="3"/>
    </row>
    <row r="121" spans="1:9" s="1" customFormat="1">
      <c r="A121" s="43">
        <v>41753</v>
      </c>
      <c r="B121" s="8" t="s">
        <v>55</v>
      </c>
      <c r="C121" s="8" t="s">
        <v>11</v>
      </c>
      <c r="D121" s="14">
        <f>15.5</f>
        <v>15.5</v>
      </c>
      <c r="E121" s="15" t="s">
        <v>16</v>
      </c>
      <c r="F121" s="25">
        <f>15.5</f>
        <v>15.5</v>
      </c>
      <c r="G121" s="21" t="s">
        <v>32</v>
      </c>
      <c r="H121" s="29">
        <f>363.67</f>
        <v>363.67</v>
      </c>
      <c r="I121" s="5" t="s">
        <v>67</v>
      </c>
    </row>
    <row r="122" spans="1:9" s="1" customFormat="1">
      <c r="A122" s="45"/>
      <c r="B122" s="37" t="s">
        <v>175</v>
      </c>
      <c r="C122" s="9"/>
      <c r="D122" s="16">
        <f>82.34</f>
        <v>82.34</v>
      </c>
      <c r="E122" s="17" t="s">
        <v>14</v>
      </c>
      <c r="F122" s="26"/>
      <c r="G122" s="22"/>
      <c r="H122" s="30"/>
      <c r="I122" s="6"/>
    </row>
    <row r="123" spans="1:9" s="1" customFormat="1">
      <c r="A123" s="45"/>
      <c r="B123" s="37"/>
      <c r="C123" s="9"/>
      <c r="D123" s="16"/>
      <c r="E123" s="17"/>
      <c r="F123" s="26"/>
      <c r="G123" s="22"/>
      <c r="H123" s="30"/>
      <c r="I123" s="6"/>
    </row>
    <row r="124" spans="1:9" s="1" customFormat="1">
      <c r="A124" s="10"/>
      <c r="C124" s="9"/>
      <c r="D124" s="16"/>
      <c r="E124" s="17"/>
      <c r="F124" s="26"/>
      <c r="G124" s="22"/>
      <c r="H124" s="30"/>
      <c r="I124" s="6"/>
    </row>
    <row r="125" spans="1:9" s="1" customFormat="1">
      <c r="A125" s="11" t="s">
        <v>4</v>
      </c>
      <c r="B125" s="10"/>
      <c r="C125" s="10"/>
      <c r="D125" s="18">
        <f>SUM(D121:D124)</f>
        <v>97.84</v>
      </c>
      <c r="E125" s="6"/>
      <c r="F125" s="27">
        <f>SUM(F121:F124)</f>
        <v>15.5</v>
      </c>
      <c r="G125" s="23"/>
      <c r="H125" s="31">
        <f>SUM(H121:H124)</f>
        <v>363.67</v>
      </c>
      <c r="I125" s="2"/>
    </row>
    <row r="126" spans="1:9" s="1" customFormat="1" ht="15.75" thickBot="1">
      <c r="A126" s="12" t="s">
        <v>5</v>
      </c>
      <c r="B126" s="34">
        <f>SUM(D125+F125+H125)</f>
        <v>477.01</v>
      </c>
      <c r="C126" s="33"/>
      <c r="D126" s="19"/>
      <c r="E126" s="20"/>
      <c r="F126" s="28"/>
      <c r="G126" s="24"/>
      <c r="H126" s="32"/>
      <c r="I126" s="3"/>
    </row>
    <row r="127" spans="1:9" s="1" customFormat="1">
      <c r="A127" s="43">
        <v>41754</v>
      </c>
      <c r="B127" s="8" t="s">
        <v>55</v>
      </c>
      <c r="C127" s="8" t="s">
        <v>12</v>
      </c>
      <c r="D127" s="14"/>
      <c r="E127" s="15"/>
      <c r="F127" s="25"/>
      <c r="G127" s="21"/>
      <c r="H127" s="29">
        <f>90+136.89</f>
        <v>226.89</v>
      </c>
      <c r="I127" s="5" t="s">
        <v>67</v>
      </c>
    </row>
    <row r="128" spans="1:9" s="1" customFormat="1">
      <c r="A128" s="45"/>
      <c r="B128" s="37" t="s">
        <v>199</v>
      </c>
      <c r="C128" s="9"/>
      <c r="D128" s="16"/>
      <c r="E128" s="17"/>
      <c r="F128" s="26"/>
      <c r="G128" s="22"/>
      <c r="H128" s="30"/>
      <c r="I128" s="6"/>
    </row>
    <row r="129" spans="1:9" s="1" customFormat="1">
      <c r="A129" s="45"/>
      <c r="B129" s="37"/>
      <c r="C129" s="9"/>
      <c r="D129" s="16"/>
      <c r="E129" s="17"/>
      <c r="F129" s="26"/>
      <c r="G129" s="22"/>
      <c r="H129" s="30"/>
      <c r="I129" s="6"/>
    </row>
    <row r="130" spans="1:9" s="1" customFormat="1">
      <c r="A130" s="10"/>
      <c r="C130" s="9"/>
      <c r="D130" s="16"/>
      <c r="E130" s="17"/>
      <c r="F130" s="26"/>
      <c r="G130" s="22"/>
      <c r="H130" s="30"/>
      <c r="I130" s="6"/>
    </row>
    <row r="131" spans="1:9" s="1" customFormat="1">
      <c r="A131" s="11" t="s">
        <v>4</v>
      </c>
      <c r="B131" s="10"/>
      <c r="C131" s="10"/>
      <c r="D131" s="18">
        <f>SUM(D127:D130)</f>
        <v>0</v>
      </c>
      <c r="E131" s="6"/>
      <c r="F131" s="27">
        <f>SUM(F127:F130)</f>
        <v>0</v>
      </c>
      <c r="G131" s="23"/>
      <c r="H131" s="31">
        <f>SUM(H127:H130)</f>
        <v>226.89</v>
      </c>
      <c r="I131" s="2"/>
    </row>
    <row r="132" spans="1:9" s="1" customFormat="1" ht="15.75" thickBot="1">
      <c r="A132" s="12" t="s">
        <v>5</v>
      </c>
      <c r="B132" s="34">
        <f>SUM(D131+F131+H131)</f>
        <v>226.89</v>
      </c>
      <c r="C132" s="33"/>
      <c r="D132" s="19"/>
      <c r="E132" s="20"/>
      <c r="F132" s="28"/>
      <c r="G132" s="24"/>
      <c r="H132" s="32"/>
      <c r="I132" s="3"/>
    </row>
    <row r="133" spans="1:9" s="1" customFormat="1">
      <c r="A133" s="43" t="s">
        <v>182</v>
      </c>
      <c r="B133" s="8" t="s">
        <v>34</v>
      </c>
      <c r="C133" s="8" t="s">
        <v>49</v>
      </c>
      <c r="D133" s="14">
        <f>2.5+20.1</f>
        <v>22.6</v>
      </c>
      <c r="E133" s="15" t="s">
        <v>16</v>
      </c>
      <c r="F133" s="25">
        <f>70.7</f>
        <v>70.7</v>
      </c>
      <c r="G133" s="21" t="s">
        <v>42</v>
      </c>
      <c r="H133" s="29">
        <f>757.98</f>
        <v>757.98</v>
      </c>
      <c r="I133" s="5" t="s">
        <v>67</v>
      </c>
    </row>
    <row r="134" spans="1:9" s="1" customFormat="1">
      <c r="A134" s="10"/>
      <c r="B134" s="37" t="s">
        <v>180</v>
      </c>
      <c r="C134" s="9"/>
      <c r="D134" s="16">
        <f>12.78</f>
        <v>12.78</v>
      </c>
      <c r="E134" s="17" t="s">
        <v>14</v>
      </c>
      <c r="F134" s="26">
        <v>4.4000000000000004</v>
      </c>
      <c r="G134" s="22" t="s">
        <v>50</v>
      </c>
      <c r="H134" s="30">
        <f>1392.58</f>
        <v>1392.58</v>
      </c>
      <c r="I134" s="6" t="s">
        <v>45</v>
      </c>
    </row>
    <row r="135" spans="1:9" s="1" customFormat="1">
      <c r="A135" s="10"/>
      <c r="B135" s="37"/>
      <c r="C135" s="9"/>
      <c r="D135" s="16">
        <f>9.53+168</f>
        <v>177.53</v>
      </c>
      <c r="E135" s="17" t="s">
        <v>184</v>
      </c>
      <c r="F135" s="26">
        <f>94</f>
        <v>94</v>
      </c>
      <c r="G135" s="22" t="s">
        <v>43</v>
      </c>
      <c r="H135" s="30">
        <f>324.85</f>
        <v>324.85000000000002</v>
      </c>
      <c r="I135" s="6" t="s">
        <v>15</v>
      </c>
    </row>
    <row r="136" spans="1:9" s="1" customFormat="1">
      <c r="A136" s="10"/>
      <c r="B136" s="37"/>
      <c r="C136" s="9"/>
      <c r="D136" s="16"/>
      <c r="E136" s="17"/>
      <c r="F136" s="26"/>
      <c r="G136" s="22"/>
      <c r="H136" s="30"/>
      <c r="I136" s="6"/>
    </row>
    <row r="137" spans="1:9" s="1" customFormat="1">
      <c r="A137" s="11" t="s">
        <v>4</v>
      </c>
      <c r="B137" s="10"/>
      <c r="C137" s="10"/>
      <c r="D137" s="18">
        <f>SUM(D133:D136)</f>
        <v>212.91</v>
      </c>
      <c r="E137" s="6"/>
      <c r="F137" s="27">
        <f>SUM(F133:F136)</f>
        <v>169.10000000000002</v>
      </c>
      <c r="G137" s="23"/>
      <c r="H137" s="31">
        <f>SUM(H133:H136)</f>
        <v>2475.41</v>
      </c>
      <c r="I137" s="2"/>
    </row>
    <row r="138" spans="1:9" s="1" customFormat="1" ht="15.75" thickBot="1">
      <c r="A138" s="12" t="s">
        <v>5</v>
      </c>
      <c r="B138" s="34">
        <f>SUM(D137+F137+H137)</f>
        <v>2857.42</v>
      </c>
      <c r="C138" s="33"/>
      <c r="D138" s="19"/>
      <c r="E138" s="20"/>
      <c r="F138" s="28"/>
      <c r="G138" s="24"/>
      <c r="H138" s="32"/>
      <c r="I138" s="3"/>
    </row>
    <row r="139" spans="1:9" s="1" customFormat="1">
      <c r="A139" s="43" t="s">
        <v>192</v>
      </c>
      <c r="B139" s="8" t="s">
        <v>34</v>
      </c>
      <c r="C139" s="8" t="s">
        <v>65</v>
      </c>
      <c r="D139" s="14">
        <f>6.9+60.76+44.82</f>
        <v>112.47999999999999</v>
      </c>
      <c r="E139" s="15" t="s">
        <v>16</v>
      </c>
      <c r="F139" s="25">
        <v>116.2</v>
      </c>
      <c r="G139" s="21" t="s">
        <v>42</v>
      </c>
      <c r="H139" s="29">
        <f>488.84+413.79</f>
        <v>902.63</v>
      </c>
      <c r="I139" s="5" t="s">
        <v>67</v>
      </c>
    </row>
    <row r="140" spans="1:9" s="1" customFormat="1">
      <c r="A140" s="10"/>
      <c r="B140" s="37" t="s">
        <v>193</v>
      </c>
      <c r="C140" s="9"/>
      <c r="D140" s="16">
        <f>201.97+20.62+49.9</f>
        <v>272.49</v>
      </c>
      <c r="E140" s="17" t="s">
        <v>14</v>
      </c>
      <c r="F140" s="26">
        <f>77.3</f>
        <v>77.3</v>
      </c>
      <c r="G140" s="22" t="s">
        <v>43</v>
      </c>
      <c r="H140" s="30">
        <f>949.52+460.68</f>
        <v>1410.2</v>
      </c>
      <c r="I140" s="6" t="s">
        <v>198</v>
      </c>
    </row>
    <row r="141" spans="1:9" s="1" customFormat="1">
      <c r="A141" s="10"/>
      <c r="B141" s="37"/>
      <c r="C141" s="9"/>
      <c r="D141" s="16">
        <f>11.5</f>
        <v>11.5</v>
      </c>
      <c r="E141" s="17" t="s">
        <v>29</v>
      </c>
      <c r="F141" s="26"/>
      <c r="G141" s="22"/>
      <c r="H141" s="30">
        <f>22.33</f>
        <v>22.33</v>
      </c>
      <c r="I141" s="6" t="s">
        <v>15</v>
      </c>
    </row>
    <row r="142" spans="1:9" s="1" customFormat="1">
      <c r="A142" s="10"/>
      <c r="B142" s="37"/>
      <c r="C142" s="9"/>
      <c r="D142" s="16"/>
      <c r="E142" s="17"/>
      <c r="F142" s="26"/>
      <c r="G142" s="22"/>
      <c r="H142" s="30"/>
      <c r="I142" s="6"/>
    </row>
    <row r="143" spans="1:9" s="1" customFormat="1">
      <c r="A143" s="11" t="s">
        <v>4</v>
      </c>
      <c r="B143" s="10"/>
      <c r="C143" s="10"/>
      <c r="D143" s="18">
        <f>SUM(D139:D142)</f>
        <v>396.47</v>
      </c>
      <c r="E143" s="6"/>
      <c r="F143" s="27">
        <f>SUM(F139:F140)</f>
        <v>193.5</v>
      </c>
      <c r="G143" s="23"/>
      <c r="H143" s="31">
        <f>SUM(H139:H142)</f>
        <v>2335.16</v>
      </c>
      <c r="I143" s="2"/>
    </row>
    <row r="144" spans="1:9" s="1" customFormat="1" ht="15.75" thickBot="1">
      <c r="A144" s="12" t="s">
        <v>5</v>
      </c>
      <c r="B144" s="34">
        <f>SUM(D143+F143+H143)</f>
        <v>2925.13</v>
      </c>
      <c r="C144" s="33"/>
      <c r="D144" s="19"/>
      <c r="E144" s="20"/>
      <c r="F144" s="28"/>
      <c r="G144" s="24"/>
      <c r="H144" s="32"/>
      <c r="I144" s="3"/>
    </row>
    <row r="145" spans="1:11" s="1" customFormat="1">
      <c r="A145" s="43" t="s">
        <v>187</v>
      </c>
      <c r="B145" s="8" t="s">
        <v>55</v>
      </c>
      <c r="C145" s="8" t="s">
        <v>11</v>
      </c>
      <c r="D145" s="14">
        <f>118.82+16.42</f>
        <v>135.24</v>
      </c>
      <c r="E145" s="15" t="s">
        <v>16</v>
      </c>
      <c r="F145" s="25"/>
      <c r="G145" s="21"/>
      <c r="H145" s="29">
        <f>1081.3</f>
        <v>1081.3</v>
      </c>
      <c r="I145" s="5" t="s">
        <v>67</v>
      </c>
    </row>
    <row r="146" spans="1:11" s="1" customFormat="1">
      <c r="A146" s="45"/>
      <c r="B146" s="37" t="s">
        <v>84</v>
      </c>
      <c r="C146" s="9"/>
      <c r="D146" s="16">
        <f>22.17</f>
        <v>22.17</v>
      </c>
      <c r="E146" s="17" t="s">
        <v>14</v>
      </c>
      <c r="F146" s="26"/>
      <c r="G146" s="22"/>
      <c r="H146" s="30">
        <f>189.39-189.39+244.63</f>
        <v>244.63</v>
      </c>
      <c r="I146" s="6" t="s">
        <v>45</v>
      </c>
    </row>
    <row r="147" spans="1:11" s="1" customFormat="1">
      <c r="A147" s="45"/>
      <c r="B147" s="37"/>
      <c r="C147" s="9"/>
      <c r="D147" s="16">
        <f>214.1+12.14</f>
        <v>226.24</v>
      </c>
      <c r="E147" s="17" t="s">
        <v>188</v>
      </c>
      <c r="F147" s="26"/>
      <c r="G147" s="22"/>
      <c r="H147" s="30">
        <f>184.64</f>
        <v>184.64</v>
      </c>
      <c r="I147" s="6" t="s">
        <v>15</v>
      </c>
    </row>
    <row r="148" spans="1:11" s="1" customFormat="1">
      <c r="A148" s="45"/>
      <c r="B148" s="37"/>
      <c r="C148" s="9"/>
      <c r="D148" s="16"/>
      <c r="E148" s="17"/>
      <c r="F148" s="26"/>
      <c r="G148" s="22"/>
      <c r="H148" s="30"/>
      <c r="I148" s="6"/>
    </row>
    <row r="149" spans="1:11" s="1" customFormat="1">
      <c r="A149" s="45"/>
      <c r="B149" s="37"/>
      <c r="C149" s="9" t="s">
        <v>12</v>
      </c>
      <c r="D149" s="16"/>
      <c r="E149" s="17"/>
      <c r="F149" s="26"/>
      <c r="G149" s="22"/>
      <c r="H149" s="30">
        <v>1081.3</v>
      </c>
      <c r="I149" s="6" t="s">
        <v>67</v>
      </c>
    </row>
    <row r="150" spans="1:11" s="1" customFormat="1">
      <c r="A150" s="10"/>
      <c r="C150" s="9"/>
      <c r="D150" s="16">
        <f>24.53</f>
        <v>24.53</v>
      </c>
      <c r="E150" s="17" t="s">
        <v>14</v>
      </c>
      <c r="F150" s="26"/>
      <c r="G150" s="22"/>
      <c r="H150" s="30">
        <f>189.39-189.39+249.08</f>
        <v>249.08</v>
      </c>
      <c r="I150" s="6" t="s">
        <v>45</v>
      </c>
    </row>
    <row r="151" spans="1:11" s="1" customFormat="1">
      <c r="A151" s="10"/>
      <c r="C151" s="9"/>
      <c r="D151" s="16">
        <f>195.16</f>
        <v>195.16</v>
      </c>
      <c r="E151" s="17" t="s">
        <v>101</v>
      </c>
      <c r="F151" s="26"/>
      <c r="G151" s="22"/>
      <c r="H151" s="30">
        <f>224.63</f>
        <v>224.63</v>
      </c>
      <c r="I151" s="6" t="s">
        <v>15</v>
      </c>
    </row>
    <row r="152" spans="1:11" s="1" customFormat="1">
      <c r="A152" s="10"/>
      <c r="C152" s="9"/>
      <c r="D152" s="16"/>
      <c r="E152" s="17"/>
      <c r="F152" s="26"/>
      <c r="G152" s="22"/>
      <c r="H152" s="30"/>
      <c r="I152" s="6"/>
    </row>
    <row r="153" spans="1:11" s="1" customFormat="1">
      <c r="A153" s="11" t="s">
        <v>4</v>
      </c>
      <c r="B153" s="10"/>
      <c r="C153" s="10"/>
      <c r="D153" s="18">
        <f>SUM(D145:D152)</f>
        <v>603.34</v>
      </c>
      <c r="E153" s="6"/>
      <c r="F153" s="27">
        <f>SUM(F145:F150)</f>
        <v>0</v>
      </c>
      <c r="G153" s="23"/>
      <c r="H153" s="31">
        <f>SUM(H145:H152)</f>
        <v>3065.58</v>
      </c>
      <c r="I153" s="2"/>
    </row>
    <row r="154" spans="1:11" s="1" customFormat="1" ht="15.75" thickBot="1">
      <c r="A154" s="12" t="s">
        <v>5</v>
      </c>
      <c r="B154" s="34">
        <f>SUM(D153+F153+H153)</f>
        <v>3668.92</v>
      </c>
      <c r="C154" s="33"/>
      <c r="D154" s="19"/>
      <c r="E154" s="20"/>
      <c r="F154" s="28"/>
      <c r="G154" s="24"/>
      <c r="H154" s="32"/>
      <c r="I154" s="3"/>
    </row>
    <row r="155" spans="1:11" s="1" customFormat="1">
      <c r="A155" s="43" t="s">
        <v>170</v>
      </c>
      <c r="B155" s="8" t="s">
        <v>120</v>
      </c>
      <c r="C155" s="8" t="s">
        <v>152</v>
      </c>
      <c r="D155" s="14"/>
      <c r="E155" s="15"/>
      <c r="F155" s="25"/>
      <c r="G155" s="21"/>
      <c r="H155" s="29">
        <f>175</f>
        <v>175</v>
      </c>
      <c r="I155" s="5" t="s">
        <v>67</v>
      </c>
    </row>
    <row r="156" spans="1:11" s="1" customFormat="1">
      <c r="A156" s="10"/>
      <c r="B156" s="37" t="s">
        <v>150</v>
      </c>
      <c r="C156" s="9"/>
      <c r="D156" s="16"/>
      <c r="E156" s="17"/>
      <c r="F156" s="26"/>
      <c r="G156" s="22"/>
      <c r="H156" s="30"/>
      <c r="I156" s="6"/>
    </row>
    <row r="157" spans="1:11" s="1" customFormat="1">
      <c r="A157" s="11" t="s">
        <v>4</v>
      </c>
      <c r="B157" s="10"/>
      <c r="C157" s="10"/>
      <c r="D157" s="18">
        <f>SUM(D155:D156)</f>
        <v>0</v>
      </c>
      <c r="E157" s="6"/>
      <c r="F157" s="27">
        <f>SUM(F155:F156)</f>
        <v>0</v>
      </c>
      <c r="G157" s="23"/>
      <c r="H157" s="31">
        <f>SUM(H155:H156)</f>
        <v>175</v>
      </c>
      <c r="I157" s="2"/>
    </row>
    <row r="158" spans="1:11" s="1" customFormat="1" ht="15.75" thickBot="1">
      <c r="A158" s="12" t="s">
        <v>5</v>
      </c>
      <c r="B158" s="34">
        <f>SUM(D157+F157+H157)</f>
        <v>175</v>
      </c>
      <c r="C158" s="33"/>
      <c r="D158" s="19"/>
      <c r="E158" s="20"/>
      <c r="F158" s="28"/>
      <c r="G158" s="24"/>
      <c r="H158" s="32"/>
      <c r="I158" s="3"/>
    </row>
    <row r="159" spans="1:11" ht="15.75" thickBot="1">
      <c r="J159" s="1"/>
      <c r="K159" s="40"/>
    </row>
    <row r="160" spans="1:11" ht="20.25" thickBot="1">
      <c r="A160" s="35" t="s">
        <v>8</v>
      </c>
      <c r="B160" s="36">
        <f>SUM(B17,B23,B28,B34,B43,B65,B79,B83,B95,B101,B111,B120,B126,B132,B138,B144,B154,B158)</f>
        <v>49857.358999999997</v>
      </c>
      <c r="J160" s="1"/>
      <c r="K160" s="40"/>
    </row>
    <row r="161" spans="10:11">
      <c r="J161" s="1"/>
      <c r="K161" s="41"/>
    </row>
    <row r="162" spans="10:11">
      <c r="J162" s="1"/>
      <c r="K162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topLeftCell="A67" workbookViewId="0">
      <selection activeCell="H78" sqref="H78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1" max="11" width="9.7109375" bestFit="1" customWidth="1"/>
  </cols>
  <sheetData>
    <row r="1" spans="1:9" s="1" customFormat="1" ht="48.75" customHeight="1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 t="s">
        <v>210</v>
      </c>
      <c r="B2" s="8" t="s">
        <v>55</v>
      </c>
      <c r="C2" s="8" t="s">
        <v>20</v>
      </c>
      <c r="D2" s="14">
        <f>11.19+56.85+147+30.01</f>
        <v>245.05</v>
      </c>
      <c r="E2" s="15" t="s">
        <v>16</v>
      </c>
      <c r="F2" s="25">
        <f>3.9</f>
        <v>3.9</v>
      </c>
      <c r="G2" s="21" t="s">
        <v>50</v>
      </c>
      <c r="H2" s="29">
        <f>1684.38+260+241.5</f>
        <v>2185.88</v>
      </c>
      <c r="I2" s="5" t="s">
        <v>67</v>
      </c>
    </row>
    <row r="3" spans="1:9" s="1" customFormat="1">
      <c r="A3" s="10"/>
      <c r="B3" s="37" t="s">
        <v>211</v>
      </c>
      <c r="C3" s="9"/>
      <c r="D3" s="16">
        <f>74.15+27.01+61.91+19.86</f>
        <v>182.93</v>
      </c>
      <c r="E3" s="17" t="s">
        <v>14</v>
      </c>
      <c r="F3" s="26"/>
      <c r="G3" s="22"/>
      <c r="H3" s="30">
        <f>1038.88+745.92+259.8-1038.88</f>
        <v>1005.72</v>
      </c>
      <c r="I3" s="6" t="s">
        <v>45</v>
      </c>
    </row>
    <row r="4" spans="1:9" s="1" customFormat="1">
      <c r="A4" s="10"/>
      <c r="B4" s="37" t="s">
        <v>212</v>
      </c>
      <c r="C4" s="9"/>
      <c r="D4" s="16">
        <f>14.26+15.02+4.81</f>
        <v>34.090000000000003</v>
      </c>
      <c r="E4" s="17" t="s">
        <v>29</v>
      </c>
      <c r="F4" s="26"/>
      <c r="G4" s="22"/>
      <c r="H4" s="30">
        <f>3.34+193.13+70.3</f>
        <v>266.77</v>
      </c>
      <c r="I4" s="6" t="s">
        <v>15</v>
      </c>
    </row>
    <row r="5" spans="1:9" s="1" customFormat="1">
      <c r="A5" s="10"/>
      <c r="B5" s="37" t="s">
        <v>224</v>
      </c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77</v>
      </c>
      <c r="D6" s="16">
        <f>1.59+159.71+7.93</f>
        <v>169.23000000000002</v>
      </c>
      <c r="E6" s="17" t="s">
        <v>16</v>
      </c>
      <c r="F6" s="26"/>
      <c r="G6" s="22"/>
      <c r="H6" s="30">
        <f>2791.01+241.5-392.31+1364.43-1142.07-150</f>
        <v>2712.5600000000004</v>
      </c>
      <c r="I6" s="6" t="s">
        <v>67</v>
      </c>
    </row>
    <row r="7" spans="1:9" s="1" customFormat="1">
      <c r="A7" s="10"/>
      <c r="B7" s="37"/>
      <c r="C7" s="9"/>
      <c r="D7" s="16">
        <f>150.82+25.23+23.88</f>
        <v>199.92999999999998</v>
      </c>
      <c r="E7" s="17" t="s">
        <v>14</v>
      </c>
      <c r="F7" s="26"/>
      <c r="G7" s="22"/>
      <c r="H7" s="30">
        <f>1038.88+259.72+147-812.4+541.6-1038.88</f>
        <v>135.92000000000007</v>
      </c>
      <c r="I7" s="6" t="s">
        <v>45</v>
      </c>
    </row>
    <row r="8" spans="1:9" s="1" customFormat="1">
      <c r="A8" s="10"/>
      <c r="B8" s="37"/>
      <c r="C8" s="9"/>
      <c r="D8" s="16">
        <f>115.43</f>
        <v>115.43</v>
      </c>
      <c r="E8" s="17" t="s">
        <v>29</v>
      </c>
      <c r="F8" s="26"/>
      <c r="G8" s="22"/>
      <c r="H8" s="30">
        <f>1.59</f>
        <v>1.59</v>
      </c>
      <c r="I8" s="6"/>
    </row>
    <row r="9" spans="1:9" s="1" customFormat="1">
      <c r="A9" s="10"/>
      <c r="B9" s="37"/>
      <c r="C9" s="9"/>
      <c r="D9" s="16"/>
      <c r="E9" s="17"/>
      <c r="F9" s="26"/>
      <c r="G9" s="22"/>
      <c r="H9" s="30"/>
      <c r="I9" s="6"/>
    </row>
    <row r="10" spans="1:9" s="1" customFormat="1">
      <c r="A10" s="10" t="s">
        <v>220</v>
      </c>
      <c r="B10" s="37" t="s">
        <v>212</v>
      </c>
      <c r="C10" s="9" t="s">
        <v>76</v>
      </c>
      <c r="D10" s="16">
        <f>11.85+241.3</f>
        <v>253.15</v>
      </c>
      <c r="E10" s="17" t="s">
        <v>16</v>
      </c>
      <c r="F10" s="26">
        <v>16.75</v>
      </c>
      <c r="G10" s="22" t="s">
        <v>42</v>
      </c>
      <c r="H10" s="30">
        <f>2122.48</f>
        <v>2122.48</v>
      </c>
      <c r="I10" s="6" t="s">
        <v>67</v>
      </c>
    </row>
    <row r="11" spans="1:9" s="1" customFormat="1">
      <c r="A11" s="10"/>
      <c r="B11" s="37"/>
      <c r="C11" s="9"/>
      <c r="D11" s="16">
        <f>47.39</f>
        <v>47.39</v>
      </c>
      <c r="E11" s="17" t="s">
        <v>14</v>
      </c>
      <c r="F11" s="26">
        <f>6.2</f>
        <v>6.2</v>
      </c>
      <c r="G11" s="22" t="s">
        <v>50</v>
      </c>
      <c r="H11" s="30">
        <f>557.7</f>
        <v>557.70000000000005</v>
      </c>
      <c r="I11" s="6" t="s">
        <v>45</v>
      </c>
    </row>
    <row r="12" spans="1:9" s="1" customFormat="1">
      <c r="A12" s="10"/>
      <c r="B12" s="37"/>
      <c r="C12" s="9"/>
      <c r="D12" s="16">
        <v>3.95</v>
      </c>
      <c r="E12" s="17" t="s">
        <v>29</v>
      </c>
      <c r="F12" s="26">
        <v>36.5</v>
      </c>
      <c r="G12" s="22" t="s">
        <v>43</v>
      </c>
      <c r="H12" s="30">
        <v>3.96</v>
      </c>
      <c r="I12" s="6" t="s">
        <v>15</v>
      </c>
    </row>
    <row r="13" spans="1:9" s="1" customFormat="1">
      <c r="A13" s="10"/>
      <c r="B13" s="37"/>
      <c r="C13" s="9"/>
      <c r="D13" s="16"/>
      <c r="E13" s="17"/>
      <c r="F13" s="26"/>
      <c r="G13" s="22"/>
      <c r="H13" s="30"/>
      <c r="I13" s="6"/>
    </row>
    <row r="14" spans="1:9" s="1" customFormat="1">
      <c r="A14" s="11" t="s">
        <v>4</v>
      </c>
      <c r="B14" s="10"/>
      <c r="C14" s="10"/>
      <c r="D14" s="18">
        <f>SUM(D2:D13)</f>
        <v>1251.1500000000003</v>
      </c>
      <c r="E14" s="6"/>
      <c r="F14" s="27">
        <f>SUM(F2:F13)</f>
        <v>63.349999999999994</v>
      </c>
      <c r="G14" s="23"/>
      <c r="H14" s="31">
        <f>SUM(H2:H13)</f>
        <v>8992.58</v>
      </c>
      <c r="I14" s="2"/>
    </row>
    <row r="15" spans="1:9" s="1" customFormat="1" ht="15.75" thickBot="1">
      <c r="A15" s="12" t="s">
        <v>5</v>
      </c>
      <c r="B15" s="34">
        <f>SUM(D14+F14+H14)</f>
        <v>10307.08</v>
      </c>
      <c r="C15" s="33"/>
      <c r="D15" s="19"/>
      <c r="E15" s="20"/>
      <c r="F15" s="28"/>
      <c r="G15" s="24"/>
      <c r="H15" s="32"/>
      <c r="I15" s="3"/>
    </row>
    <row r="16" spans="1:9" s="1" customFormat="1">
      <c r="A16" s="43" t="s">
        <v>213</v>
      </c>
      <c r="B16" s="8" t="s">
        <v>214</v>
      </c>
      <c r="C16" s="8" t="s">
        <v>66</v>
      </c>
      <c r="D16" s="14">
        <f>74.1</f>
        <v>74.099999999999994</v>
      </c>
      <c r="E16" s="15" t="s">
        <v>16</v>
      </c>
      <c r="F16" s="25">
        <f>18.67</f>
        <v>18.670000000000002</v>
      </c>
      <c r="G16" s="21" t="s">
        <v>42</v>
      </c>
      <c r="H16" s="29">
        <f>778.56</f>
        <v>778.56</v>
      </c>
      <c r="I16" s="5" t="s">
        <v>67</v>
      </c>
    </row>
    <row r="17" spans="1:9" s="1" customFormat="1">
      <c r="A17" s="10"/>
      <c r="B17" s="37" t="s">
        <v>215</v>
      </c>
      <c r="C17" s="9"/>
      <c r="D17" s="16">
        <f>50.27</f>
        <v>50.27</v>
      </c>
      <c r="E17" s="17" t="s">
        <v>14</v>
      </c>
      <c r="F17" s="26">
        <f>3.4</f>
        <v>3.4</v>
      </c>
      <c r="G17" s="22" t="s">
        <v>50</v>
      </c>
      <c r="H17" s="30">
        <f>189.09+96.48</f>
        <v>285.57</v>
      </c>
      <c r="I17" s="6" t="s">
        <v>45</v>
      </c>
    </row>
    <row r="18" spans="1:9" s="1" customFormat="1">
      <c r="A18" s="10"/>
      <c r="B18" s="37"/>
      <c r="C18" s="9"/>
      <c r="D18" s="16"/>
      <c r="E18" s="17"/>
      <c r="F18" s="26">
        <f>33.1</f>
        <v>33.1</v>
      </c>
      <c r="G18" s="22" t="s">
        <v>43</v>
      </c>
      <c r="H18" s="30">
        <f>174.3</f>
        <v>174.3</v>
      </c>
      <c r="I18" s="6" t="s">
        <v>15</v>
      </c>
    </row>
    <row r="19" spans="1:9" s="1" customFormat="1">
      <c r="A19" s="10"/>
      <c r="B19" s="37"/>
      <c r="C19" s="9"/>
      <c r="D19" s="16"/>
      <c r="E19" s="17"/>
      <c r="F19" s="26"/>
      <c r="G19" s="22"/>
      <c r="H19" s="30"/>
      <c r="I19" s="6"/>
    </row>
    <row r="20" spans="1:9" s="1" customFormat="1">
      <c r="A20" s="10"/>
      <c r="B20" s="37"/>
      <c r="C20" s="9" t="s">
        <v>65</v>
      </c>
      <c r="D20" s="16">
        <v>11.5</v>
      </c>
      <c r="E20" s="17" t="s">
        <v>16</v>
      </c>
      <c r="F20" s="26">
        <f>116.2</f>
        <v>116.2</v>
      </c>
      <c r="G20" s="22" t="s">
        <v>42</v>
      </c>
      <c r="H20" s="30"/>
      <c r="I20" s="6"/>
    </row>
    <row r="21" spans="1:9" s="1" customFormat="1">
      <c r="A21" s="10"/>
      <c r="B21" s="37"/>
      <c r="C21" s="9"/>
      <c r="D21" s="16"/>
      <c r="E21" s="17"/>
      <c r="F21" s="26">
        <v>22</v>
      </c>
      <c r="G21" s="22" t="s">
        <v>43</v>
      </c>
      <c r="H21" s="30"/>
      <c r="I21" s="6"/>
    </row>
    <row r="22" spans="1:9" s="1" customFormat="1">
      <c r="A22" s="10"/>
      <c r="B22" s="37"/>
      <c r="C22" s="9"/>
      <c r="D22" s="16"/>
      <c r="E22" s="17"/>
      <c r="F22" s="26"/>
      <c r="G22" s="22"/>
      <c r="H22" s="30"/>
      <c r="I22" s="6"/>
    </row>
    <row r="23" spans="1:9" s="1" customFormat="1">
      <c r="A23" s="11" t="s">
        <v>4</v>
      </c>
      <c r="B23" s="10"/>
      <c r="C23" s="10"/>
      <c r="D23" s="18">
        <f>SUM(D16:D22)</f>
        <v>135.87</v>
      </c>
      <c r="E23" s="6"/>
      <c r="F23" s="27">
        <f>SUM(F16:F22)</f>
        <v>193.37</v>
      </c>
      <c r="G23" s="23"/>
      <c r="H23" s="31">
        <f>SUM(H16:H22)</f>
        <v>1238.4299999999998</v>
      </c>
      <c r="I23" s="2"/>
    </row>
    <row r="24" spans="1:9" s="1" customFormat="1" ht="15.75" thickBot="1">
      <c r="A24" s="12" t="s">
        <v>5</v>
      </c>
      <c r="B24" s="34">
        <f>SUM(D23+F23+H23)</f>
        <v>1567.6699999999998</v>
      </c>
      <c r="C24" s="33"/>
      <c r="D24" s="19"/>
      <c r="E24" s="20"/>
      <c r="F24" s="28"/>
      <c r="G24" s="24"/>
      <c r="H24" s="32"/>
      <c r="I24" s="3"/>
    </row>
    <row r="25" spans="1:9" s="1" customFormat="1">
      <c r="A25" s="43" t="s">
        <v>206</v>
      </c>
      <c r="B25" s="8" t="s">
        <v>55</v>
      </c>
      <c r="C25" s="8" t="s">
        <v>39</v>
      </c>
      <c r="D25" s="14"/>
      <c r="E25" s="15"/>
      <c r="F25" s="25"/>
      <c r="G25" s="21"/>
      <c r="H25" s="29">
        <f>716</f>
        <v>716</v>
      </c>
      <c r="I25" s="5" t="s">
        <v>67</v>
      </c>
    </row>
    <row r="26" spans="1:9" s="1" customFormat="1">
      <c r="A26" s="10"/>
      <c r="B26" s="37" t="s">
        <v>207</v>
      </c>
      <c r="C26" s="9"/>
      <c r="D26" s="16"/>
      <c r="E26" s="17"/>
      <c r="F26" s="26"/>
      <c r="G26" s="22"/>
      <c r="H26" s="30"/>
      <c r="I26" s="6"/>
    </row>
    <row r="27" spans="1:9" s="1" customFormat="1">
      <c r="A27" s="10"/>
      <c r="B27" s="37" t="s">
        <v>208</v>
      </c>
      <c r="C27" s="9" t="s">
        <v>71</v>
      </c>
      <c r="D27" s="16"/>
      <c r="E27" s="17"/>
      <c r="F27" s="26"/>
      <c r="G27" s="22"/>
      <c r="H27" s="30">
        <f>172+599.05-100.05</f>
        <v>671</v>
      </c>
      <c r="I27" s="6" t="s">
        <v>67</v>
      </c>
    </row>
    <row r="28" spans="1:9" s="1" customFormat="1">
      <c r="A28" s="10"/>
      <c r="B28" s="37"/>
      <c r="C28" s="9"/>
      <c r="D28" s="16"/>
      <c r="E28" s="17"/>
      <c r="F28" s="26"/>
      <c r="G28" s="22"/>
      <c r="H28" s="30"/>
      <c r="I28" s="6"/>
    </row>
    <row r="29" spans="1:9" s="1" customFormat="1">
      <c r="A29" s="11" t="s">
        <v>4</v>
      </c>
      <c r="B29" s="10"/>
      <c r="C29" s="10"/>
      <c r="D29" s="18">
        <f>SUM(D25:D26)</f>
        <v>0</v>
      </c>
      <c r="E29" s="6"/>
      <c r="F29" s="27">
        <f>SUM(F25:F26)</f>
        <v>0</v>
      </c>
      <c r="G29" s="23"/>
      <c r="H29" s="31">
        <f>SUM(H25:H28)</f>
        <v>1387</v>
      </c>
      <c r="I29" s="2"/>
    </row>
    <row r="30" spans="1:9" s="1" customFormat="1" ht="15.75" thickBot="1">
      <c r="A30" s="12" t="s">
        <v>5</v>
      </c>
      <c r="B30" s="34">
        <f>SUM(D29+F29+H29)</f>
        <v>1387</v>
      </c>
      <c r="C30" s="33"/>
      <c r="D30" s="19"/>
      <c r="E30" s="20"/>
      <c r="F30" s="28"/>
      <c r="G30" s="24"/>
      <c r="H30" s="32"/>
      <c r="I30" s="3"/>
    </row>
    <row r="31" spans="1:9" s="1" customFormat="1">
      <c r="A31" s="43" t="s">
        <v>227</v>
      </c>
      <c r="B31" s="8" t="s">
        <v>55</v>
      </c>
      <c r="C31" s="8" t="s">
        <v>11</v>
      </c>
      <c r="D31" s="14">
        <f>3.49+45.31</f>
        <v>48.800000000000004</v>
      </c>
      <c r="E31" s="15" t="s">
        <v>16</v>
      </c>
      <c r="F31" s="25">
        <f>47.13</f>
        <v>47.13</v>
      </c>
      <c r="G31" s="21" t="s">
        <v>32</v>
      </c>
      <c r="H31" s="29">
        <f>92.88+352.13+218</f>
        <v>663.01</v>
      </c>
      <c r="I31" s="5" t="s">
        <v>67</v>
      </c>
    </row>
    <row r="32" spans="1:9" s="1" customFormat="1">
      <c r="A32" s="10"/>
      <c r="B32" s="37" t="s">
        <v>175</v>
      </c>
      <c r="C32" s="9"/>
      <c r="D32" s="16">
        <f>73.25</f>
        <v>73.25</v>
      </c>
      <c r="E32" s="17" t="s">
        <v>14</v>
      </c>
      <c r="F32" s="26"/>
      <c r="G32" s="22"/>
      <c r="H32" s="30"/>
      <c r="I32" s="6"/>
    </row>
    <row r="33" spans="1:9" s="1" customFormat="1">
      <c r="A33" s="10"/>
      <c r="B33" s="37"/>
      <c r="C33" s="9"/>
      <c r="D33" s="16"/>
      <c r="E33" s="17"/>
      <c r="F33" s="26"/>
      <c r="G33" s="22"/>
      <c r="H33" s="30"/>
      <c r="I33" s="6"/>
    </row>
    <row r="34" spans="1:9" s="1" customFormat="1">
      <c r="A34" s="10"/>
      <c r="B34" s="37"/>
      <c r="C34" s="9" t="s">
        <v>12</v>
      </c>
      <c r="D34" s="16">
        <f>2.08+17.26</f>
        <v>19.340000000000003</v>
      </c>
      <c r="E34" s="17" t="s">
        <v>16</v>
      </c>
      <c r="F34" s="26"/>
      <c r="G34" s="22"/>
      <c r="H34" s="30">
        <f>352.13</f>
        <v>352.13</v>
      </c>
      <c r="I34" s="6" t="s">
        <v>67</v>
      </c>
    </row>
    <row r="35" spans="1:9" s="1" customFormat="1">
      <c r="A35" s="10"/>
      <c r="B35" s="37"/>
      <c r="C35" s="9"/>
      <c r="D35" s="16">
        <f>59.98</f>
        <v>59.98</v>
      </c>
      <c r="E35" s="17" t="s">
        <v>14</v>
      </c>
      <c r="F35" s="26"/>
      <c r="G35" s="22"/>
      <c r="H35" s="30"/>
      <c r="I35" s="6"/>
    </row>
    <row r="36" spans="1:9" s="1" customFormat="1">
      <c r="A36" s="10"/>
      <c r="B36" s="37"/>
      <c r="C36" s="9"/>
      <c r="D36" s="16"/>
      <c r="E36" s="17"/>
      <c r="F36" s="26"/>
      <c r="G36" s="22"/>
      <c r="H36" s="30"/>
      <c r="I36" s="6"/>
    </row>
    <row r="37" spans="1:9" s="1" customFormat="1">
      <c r="A37" s="11" t="s">
        <v>4</v>
      </c>
      <c r="B37" s="10"/>
      <c r="C37" s="10"/>
      <c r="D37" s="18">
        <f>SUM(D31:D36)</f>
        <v>201.37</v>
      </c>
      <c r="E37" s="6"/>
      <c r="F37" s="27">
        <f>SUM(F31:F36)</f>
        <v>47.13</v>
      </c>
      <c r="G37" s="23"/>
      <c r="H37" s="31">
        <f>SUM(H31:H36)</f>
        <v>1015.14</v>
      </c>
      <c r="I37" s="2"/>
    </row>
    <row r="38" spans="1:9" s="1" customFormat="1" ht="15.75" thickBot="1">
      <c r="A38" s="12" t="s">
        <v>5</v>
      </c>
      <c r="B38" s="34">
        <f>SUM(D37+F37+H37)</f>
        <v>1263.6399999999999</v>
      </c>
      <c r="C38" s="33"/>
      <c r="D38" s="19"/>
      <c r="E38" s="20"/>
      <c r="F38" s="28"/>
      <c r="G38" s="24"/>
      <c r="H38" s="32"/>
      <c r="I38" s="3"/>
    </row>
    <row r="39" spans="1:9" s="1" customFormat="1">
      <c r="A39" s="43" t="s">
        <v>209</v>
      </c>
      <c r="B39" s="8" t="s">
        <v>55</v>
      </c>
      <c r="C39" s="8" t="s">
        <v>39</v>
      </c>
      <c r="D39" s="14">
        <f>32+204.58</f>
        <v>236.58</v>
      </c>
      <c r="E39" s="15" t="s">
        <v>16</v>
      </c>
      <c r="F39" s="25"/>
      <c r="G39" s="21"/>
      <c r="H39" s="29">
        <f>277.15</f>
        <v>277.14999999999998</v>
      </c>
      <c r="I39" s="5" t="s">
        <v>67</v>
      </c>
    </row>
    <row r="40" spans="1:9" s="1" customFormat="1">
      <c r="A40" s="10"/>
      <c r="B40" s="37" t="s">
        <v>62</v>
      </c>
      <c r="C40" s="9"/>
      <c r="D40" s="16">
        <f>49</f>
        <v>49</v>
      </c>
      <c r="E40" s="17" t="s">
        <v>14</v>
      </c>
      <c r="F40" s="26"/>
      <c r="G40" s="22"/>
      <c r="H40" s="30">
        <f>261.6</f>
        <v>261.60000000000002</v>
      </c>
      <c r="I40" s="6" t="s">
        <v>45</v>
      </c>
    </row>
    <row r="41" spans="1:9" s="1" customFormat="1">
      <c r="A41" s="10"/>
      <c r="B41" s="37"/>
      <c r="C41" s="9"/>
      <c r="D41" s="16">
        <f>64</f>
        <v>64</v>
      </c>
      <c r="E41" s="17" t="s">
        <v>29</v>
      </c>
      <c r="F41" s="26"/>
      <c r="G41" s="22"/>
      <c r="H41" s="30"/>
      <c r="I41" s="6"/>
    </row>
    <row r="42" spans="1:9" s="1" customFormat="1">
      <c r="A42" s="10"/>
      <c r="B42" s="37"/>
      <c r="C42" s="9"/>
      <c r="D42" s="16"/>
      <c r="E42" s="17"/>
      <c r="F42" s="26"/>
      <c r="G42" s="22"/>
      <c r="H42" s="30"/>
      <c r="I42" s="6"/>
    </row>
    <row r="43" spans="1:9" s="1" customFormat="1">
      <c r="A43" s="10"/>
      <c r="B43" s="37"/>
      <c r="C43" s="9" t="s">
        <v>57</v>
      </c>
      <c r="D43" s="16">
        <f>5+8.91</f>
        <v>13.91</v>
      </c>
      <c r="E43" s="17" t="s">
        <v>16</v>
      </c>
      <c r="F43" s="26">
        <f>24</f>
        <v>24</v>
      </c>
      <c r="G43" s="22" t="s">
        <v>32</v>
      </c>
      <c r="H43" s="30">
        <f>277.06</f>
        <v>277.06</v>
      </c>
      <c r="I43" s="6" t="s">
        <v>67</v>
      </c>
    </row>
    <row r="44" spans="1:9" s="1" customFormat="1">
      <c r="A44" s="10"/>
      <c r="B44" s="37"/>
      <c r="C44" s="9"/>
      <c r="D44" s="16">
        <f>23.6+57.05</f>
        <v>80.650000000000006</v>
      </c>
      <c r="E44" s="17" t="s">
        <v>14</v>
      </c>
      <c r="F44" s="26"/>
      <c r="G44" s="22"/>
      <c r="H44" s="30">
        <f>261.6</f>
        <v>261.60000000000002</v>
      </c>
      <c r="I44" s="6" t="s">
        <v>45</v>
      </c>
    </row>
    <row r="45" spans="1:9" s="1" customFormat="1">
      <c r="A45" s="10"/>
      <c r="B45" s="37"/>
      <c r="C45" s="9"/>
      <c r="D45" s="16"/>
      <c r="E45" s="17"/>
      <c r="F45" s="26"/>
      <c r="G45" s="22"/>
      <c r="H45" s="30">
        <v>3.01</v>
      </c>
      <c r="I45" s="6" t="s">
        <v>15</v>
      </c>
    </row>
    <row r="46" spans="1:9" s="1" customFormat="1">
      <c r="A46" s="10"/>
      <c r="B46" s="37"/>
      <c r="C46" s="9"/>
      <c r="D46" s="16"/>
      <c r="E46" s="17"/>
      <c r="F46" s="26"/>
      <c r="G46" s="22"/>
      <c r="H46" s="30"/>
      <c r="I46" s="6"/>
    </row>
    <row r="47" spans="1:9" s="1" customFormat="1">
      <c r="A47" s="11" t="s">
        <v>4</v>
      </c>
      <c r="B47" s="10"/>
      <c r="C47" s="10"/>
      <c r="D47" s="18">
        <f>SUM(D39:D46)</f>
        <v>444.1400000000001</v>
      </c>
      <c r="E47" s="6"/>
      <c r="F47" s="27">
        <f>SUM(F39:F46)</f>
        <v>24</v>
      </c>
      <c r="G47" s="23"/>
      <c r="H47" s="31">
        <f>SUM(H39:H46)</f>
        <v>1080.4199999999998</v>
      </c>
      <c r="I47" s="2"/>
    </row>
    <row r="48" spans="1:9" s="1" customFormat="1" ht="15.75" thickBot="1">
      <c r="A48" s="12" t="s">
        <v>5</v>
      </c>
      <c r="B48" s="34">
        <f>SUM(D47+F47+H47)</f>
        <v>1548.56</v>
      </c>
      <c r="C48" s="33"/>
      <c r="D48" s="19"/>
      <c r="E48" s="20"/>
      <c r="F48" s="28"/>
      <c r="G48" s="24"/>
      <c r="H48" s="32"/>
      <c r="I48" s="3"/>
    </row>
    <row r="49" spans="1:9" s="1" customFormat="1">
      <c r="A49" s="43" t="s">
        <v>216</v>
      </c>
      <c r="B49" s="8" t="s">
        <v>114</v>
      </c>
      <c r="C49" s="8" t="s">
        <v>49</v>
      </c>
      <c r="D49" s="14">
        <f>3.49</f>
        <v>3.49</v>
      </c>
      <c r="E49" s="15" t="s">
        <v>16</v>
      </c>
      <c r="F49" s="25">
        <v>119.95</v>
      </c>
      <c r="G49" s="21" t="s">
        <v>42</v>
      </c>
      <c r="H49" s="29">
        <f>762.41</f>
        <v>762.41</v>
      </c>
      <c r="I49" s="5" t="s">
        <v>67</v>
      </c>
    </row>
    <row r="50" spans="1:9" s="1" customFormat="1">
      <c r="A50" s="10"/>
      <c r="B50" s="37" t="s">
        <v>217</v>
      </c>
      <c r="C50" s="9"/>
      <c r="D50" s="16"/>
      <c r="E50" s="17"/>
      <c r="F50" s="26">
        <f>10.4</f>
        <v>10.4</v>
      </c>
      <c r="G50" s="22" t="s">
        <v>50</v>
      </c>
      <c r="H50" s="30">
        <f>284.72</f>
        <v>284.72000000000003</v>
      </c>
      <c r="I50" s="6" t="s">
        <v>45</v>
      </c>
    </row>
    <row r="51" spans="1:9" s="1" customFormat="1">
      <c r="A51" s="10"/>
      <c r="B51" s="37"/>
      <c r="C51" s="9"/>
      <c r="D51" s="16"/>
      <c r="E51" s="17"/>
      <c r="F51" s="26">
        <v>48.6</v>
      </c>
      <c r="G51" s="22" t="s">
        <v>43</v>
      </c>
      <c r="H51" s="30">
        <v>158.82</v>
      </c>
      <c r="I51" s="6" t="s">
        <v>15</v>
      </c>
    </row>
    <row r="52" spans="1:9" s="1" customFormat="1">
      <c r="A52" s="10"/>
      <c r="B52" s="37"/>
      <c r="C52" s="9"/>
      <c r="D52" s="16"/>
      <c r="E52" s="17"/>
      <c r="F52" s="26"/>
      <c r="G52" s="22"/>
      <c r="H52" s="30"/>
      <c r="I52" s="6"/>
    </row>
    <row r="53" spans="1:9" s="1" customFormat="1">
      <c r="A53" s="10"/>
      <c r="B53" s="37"/>
      <c r="C53" s="9" t="s">
        <v>65</v>
      </c>
      <c r="D53" s="16"/>
      <c r="E53" s="17"/>
      <c r="F53" s="26"/>
      <c r="G53" s="22"/>
      <c r="H53" s="30">
        <f>762.41</f>
        <v>762.41</v>
      </c>
      <c r="I53" s="6" t="s">
        <v>67</v>
      </c>
    </row>
    <row r="54" spans="1:9" s="1" customFormat="1">
      <c r="A54" s="10"/>
      <c r="B54" s="37"/>
      <c r="C54" s="9"/>
      <c r="D54" s="16"/>
      <c r="E54" s="17"/>
      <c r="F54" s="26"/>
      <c r="G54" s="22"/>
      <c r="H54" s="30">
        <f>286.36</f>
        <v>286.36</v>
      </c>
      <c r="I54" s="6" t="s">
        <v>45</v>
      </c>
    </row>
    <row r="55" spans="1:9" s="1" customFormat="1">
      <c r="A55" s="10"/>
      <c r="B55" s="37"/>
      <c r="C55" s="9"/>
      <c r="D55" s="16"/>
      <c r="E55" s="17"/>
      <c r="F55" s="26"/>
      <c r="G55" s="22"/>
      <c r="H55" s="30"/>
      <c r="I55" s="6"/>
    </row>
    <row r="56" spans="1:9" s="1" customFormat="1">
      <c r="A56" s="11" t="s">
        <v>4</v>
      </c>
      <c r="B56" s="10"/>
      <c r="C56" s="10"/>
      <c r="D56" s="18">
        <f>SUM(D49:D55)</f>
        <v>3.49</v>
      </c>
      <c r="E56" s="6"/>
      <c r="F56" s="27">
        <f>SUM(F49:F55)</f>
        <v>178.95</v>
      </c>
      <c r="G56" s="23"/>
      <c r="H56" s="31">
        <f>SUM(H49:H55)</f>
        <v>2254.7200000000003</v>
      </c>
      <c r="I56" s="2"/>
    </row>
    <row r="57" spans="1:9" s="1" customFormat="1" ht="15.75" thickBot="1">
      <c r="A57" s="12" t="s">
        <v>5</v>
      </c>
      <c r="B57" s="34">
        <f>SUM(D56+F56+H56)</f>
        <v>2437.1600000000003</v>
      </c>
      <c r="C57" s="33"/>
      <c r="D57" s="19"/>
      <c r="E57" s="20"/>
      <c r="F57" s="28"/>
      <c r="G57" s="24"/>
      <c r="H57" s="32"/>
      <c r="I57" s="3"/>
    </row>
    <row r="58" spans="1:9" s="1" customFormat="1">
      <c r="A58" s="43" t="s">
        <v>201</v>
      </c>
      <c r="B58" s="8" t="s">
        <v>149</v>
      </c>
      <c r="C58" s="8" t="s">
        <v>202</v>
      </c>
      <c r="D58" s="14">
        <f>28.5</f>
        <v>28.5</v>
      </c>
      <c r="E58" s="15" t="s">
        <v>16</v>
      </c>
      <c r="F58" s="25">
        <f>4.65</f>
        <v>4.6500000000000004</v>
      </c>
      <c r="G58" s="21" t="s">
        <v>31</v>
      </c>
      <c r="H58" s="29"/>
      <c r="I58" s="5"/>
    </row>
    <row r="59" spans="1:9" s="1" customFormat="1">
      <c r="A59" s="10"/>
      <c r="B59" s="37" t="s">
        <v>27</v>
      </c>
      <c r="C59" s="9"/>
      <c r="D59" s="16"/>
      <c r="E59" s="17"/>
      <c r="F59" s="26"/>
      <c r="G59" s="22"/>
      <c r="H59" s="30"/>
      <c r="I59" s="6"/>
    </row>
    <row r="60" spans="1:9" s="1" customFormat="1">
      <c r="A60" s="10"/>
      <c r="B60" s="37"/>
      <c r="C60" s="9" t="s">
        <v>233</v>
      </c>
      <c r="D60" s="16">
        <f>17.7</f>
        <v>17.7</v>
      </c>
      <c r="E60" s="17" t="s">
        <v>16</v>
      </c>
      <c r="F60" s="26">
        <f>13.2</f>
        <v>13.2</v>
      </c>
      <c r="G60" s="22" t="s">
        <v>42</v>
      </c>
      <c r="H60" s="30"/>
      <c r="I60" s="6"/>
    </row>
    <row r="61" spans="1:9" s="1" customFormat="1">
      <c r="A61" s="10"/>
      <c r="B61" s="37"/>
      <c r="C61" s="9"/>
      <c r="D61" s="16"/>
      <c r="E61" s="17"/>
      <c r="F61" s="26"/>
      <c r="G61" s="22"/>
      <c r="H61" s="30"/>
      <c r="I61" s="6"/>
    </row>
    <row r="62" spans="1:9" s="1" customFormat="1">
      <c r="A62" s="11" t="s">
        <v>4</v>
      </c>
      <c r="B62" s="10"/>
      <c r="C62" s="10"/>
      <c r="D62" s="18">
        <f>SUM(D58:D61)</f>
        <v>46.2</v>
      </c>
      <c r="E62" s="6"/>
      <c r="F62" s="27">
        <f>SUM(F58:F61)</f>
        <v>17.850000000000001</v>
      </c>
      <c r="G62" s="23"/>
      <c r="H62" s="31">
        <f>SUM(H58:H61)</f>
        <v>0</v>
      </c>
      <c r="I62" s="2"/>
    </row>
    <row r="63" spans="1:9" s="1" customFormat="1" ht="15.75" thickBot="1">
      <c r="A63" s="12" t="s">
        <v>5</v>
      </c>
      <c r="B63" s="34">
        <f>SUM(D62+F62+H62)</f>
        <v>64.050000000000011</v>
      </c>
      <c r="C63" s="33"/>
      <c r="D63" s="19"/>
      <c r="E63" s="20"/>
      <c r="F63" s="28"/>
      <c r="G63" s="24"/>
      <c r="H63" s="32"/>
      <c r="I63" s="3"/>
    </row>
    <row r="64" spans="1:9" s="1" customFormat="1">
      <c r="A64" s="43" t="s">
        <v>228</v>
      </c>
      <c r="B64" s="8" t="s">
        <v>55</v>
      </c>
      <c r="C64" s="8" t="s">
        <v>70</v>
      </c>
      <c r="D64" s="14"/>
      <c r="E64" s="15"/>
      <c r="F64" s="25"/>
      <c r="G64" s="21"/>
      <c r="H64" s="29">
        <f>669.06-100.05</f>
        <v>569.01</v>
      </c>
      <c r="I64" s="5" t="s">
        <v>67</v>
      </c>
    </row>
    <row r="65" spans="1:9" s="1" customFormat="1">
      <c r="A65" s="10"/>
      <c r="B65" s="37" t="s">
        <v>229</v>
      </c>
      <c r="C65" s="9"/>
      <c r="D65" s="16"/>
      <c r="E65" s="17"/>
      <c r="F65" s="26"/>
      <c r="G65" s="22"/>
      <c r="H65" s="30"/>
      <c r="I65" s="6"/>
    </row>
    <row r="66" spans="1:9" s="1" customFormat="1">
      <c r="A66" s="10"/>
      <c r="B66" s="37" t="s">
        <v>208</v>
      </c>
      <c r="C66" s="9" t="s">
        <v>71</v>
      </c>
      <c r="D66" s="16"/>
      <c r="E66" s="17"/>
      <c r="F66" s="26"/>
      <c r="G66" s="22"/>
      <c r="H66" s="30">
        <f>669.05-100.05</f>
        <v>569</v>
      </c>
      <c r="I66" s="6" t="s">
        <v>67</v>
      </c>
    </row>
    <row r="67" spans="1:9" s="1" customFormat="1">
      <c r="A67" s="10"/>
      <c r="B67" s="37"/>
      <c r="C67" s="9"/>
      <c r="D67" s="16"/>
      <c r="E67" s="17"/>
      <c r="F67" s="26"/>
      <c r="G67" s="22"/>
      <c r="H67" s="30"/>
      <c r="I67" s="6"/>
    </row>
    <row r="68" spans="1:9" s="1" customFormat="1">
      <c r="A68" s="11" t="s">
        <v>4</v>
      </c>
      <c r="B68" s="10"/>
      <c r="C68" s="10"/>
      <c r="D68" s="18">
        <f>SUM(D64:D67)</f>
        <v>0</v>
      </c>
      <c r="E68" s="6"/>
      <c r="F68" s="27">
        <f>SUM(F64:F65)</f>
        <v>0</v>
      </c>
      <c r="G68" s="23"/>
      <c r="H68" s="31">
        <f>SUM(H64:H67)</f>
        <v>1138.01</v>
      </c>
      <c r="I68" s="2"/>
    </row>
    <row r="69" spans="1:9" s="1" customFormat="1" ht="15.75" thickBot="1">
      <c r="A69" s="12" t="s">
        <v>5</v>
      </c>
      <c r="B69" s="34">
        <f>SUM(D68+F68+H68)</f>
        <v>1138.01</v>
      </c>
      <c r="C69" s="33"/>
      <c r="D69" s="19"/>
      <c r="E69" s="20"/>
      <c r="F69" s="28"/>
      <c r="G69" s="24"/>
      <c r="H69" s="32"/>
      <c r="I69" s="3"/>
    </row>
    <row r="70" spans="1:9" s="1" customFormat="1">
      <c r="A70" s="43" t="s">
        <v>201</v>
      </c>
      <c r="B70" s="8" t="s">
        <v>79</v>
      </c>
      <c r="C70" s="8" t="s">
        <v>135</v>
      </c>
      <c r="D70" s="14">
        <f>23.6</f>
        <v>23.6</v>
      </c>
      <c r="E70" s="15" t="s">
        <v>29</v>
      </c>
      <c r="F70" s="25"/>
      <c r="G70" s="21"/>
      <c r="H70" s="29">
        <f>805.61+185</f>
        <v>990.61</v>
      </c>
      <c r="I70" s="5" t="s">
        <v>67</v>
      </c>
    </row>
    <row r="71" spans="1:9" s="1" customFormat="1">
      <c r="A71" s="10"/>
      <c r="B71" s="37" t="s">
        <v>64</v>
      </c>
      <c r="C71" s="9"/>
      <c r="D71" s="16"/>
      <c r="E71" s="17"/>
      <c r="F71" s="26"/>
      <c r="G71" s="22"/>
      <c r="H71" s="30">
        <f>548.96</f>
        <v>548.96</v>
      </c>
      <c r="I71" s="6" t="s">
        <v>45</v>
      </c>
    </row>
    <row r="72" spans="1:9" s="1" customFormat="1">
      <c r="A72" s="10"/>
      <c r="B72" s="37"/>
      <c r="C72" s="9"/>
      <c r="D72" s="16"/>
      <c r="E72" s="17"/>
      <c r="F72" s="26"/>
      <c r="G72" s="22"/>
      <c r="H72" s="30"/>
      <c r="I72" s="6"/>
    </row>
    <row r="73" spans="1:9" s="1" customFormat="1">
      <c r="A73" s="10"/>
      <c r="B73" s="37"/>
      <c r="C73" s="9" t="s">
        <v>9</v>
      </c>
      <c r="D73" s="16">
        <f>310.24</f>
        <v>310.24</v>
      </c>
      <c r="E73" s="17" t="s">
        <v>16</v>
      </c>
      <c r="F73" s="26">
        <v>13.28</v>
      </c>
      <c r="G73" s="22" t="s">
        <v>42</v>
      </c>
      <c r="H73" s="30">
        <f>1009.61</f>
        <v>1009.61</v>
      </c>
      <c r="I73" s="6" t="s">
        <v>67</v>
      </c>
    </row>
    <row r="74" spans="1:9" s="1" customFormat="1">
      <c r="A74" s="10"/>
      <c r="B74" s="37"/>
      <c r="C74" s="9"/>
      <c r="D74" s="16">
        <f>82.33</f>
        <v>82.33</v>
      </c>
      <c r="E74" s="17" t="s">
        <v>14</v>
      </c>
      <c r="F74" s="26">
        <v>22</v>
      </c>
      <c r="G74" s="22" t="s">
        <v>43</v>
      </c>
      <c r="H74" s="30">
        <f>548.96+41.75-41.75+80+41.75</f>
        <v>670.71</v>
      </c>
      <c r="I74" s="6" t="s">
        <v>230</v>
      </c>
    </row>
    <row r="75" spans="1:9" s="1" customFormat="1">
      <c r="A75" s="10"/>
      <c r="B75" s="37"/>
      <c r="C75" s="9"/>
      <c r="D75" s="16">
        <f>11.5+10.43</f>
        <v>21.93</v>
      </c>
      <c r="E75" s="17" t="s">
        <v>29</v>
      </c>
      <c r="F75" s="26">
        <f>2.43</f>
        <v>2.4300000000000002</v>
      </c>
      <c r="G75" s="22" t="s">
        <v>245</v>
      </c>
      <c r="H75" s="30">
        <f>94.06</f>
        <v>94.06</v>
      </c>
      <c r="I75" s="6" t="s">
        <v>15</v>
      </c>
    </row>
    <row r="76" spans="1:9" s="1" customFormat="1">
      <c r="A76" s="10"/>
      <c r="B76" s="37"/>
      <c r="C76" s="9"/>
      <c r="D76" s="16"/>
      <c r="E76" s="17"/>
      <c r="F76" s="26"/>
      <c r="G76" s="22"/>
      <c r="H76" s="30"/>
      <c r="I76" s="6"/>
    </row>
    <row r="77" spans="1:9" s="1" customFormat="1">
      <c r="A77" s="10"/>
      <c r="B77" s="37"/>
      <c r="C77" s="9" t="s">
        <v>231</v>
      </c>
      <c r="D77" s="16"/>
      <c r="E77" s="17"/>
      <c r="F77" s="26"/>
      <c r="G77" s="22"/>
      <c r="H77" s="30">
        <f>1688.97-923+1709.46-633.97</f>
        <v>1841.4600000000003</v>
      </c>
      <c r="I77" s="6" t="s">
        <v>67</v>
      </c>
    </row>
    <row r="78" spans="1:9" s="1" customFormat="1">
      <c r="A78" s="10"/>
      <c r="B78" s="37"/>
      <c r="C78" s="9"/>
      <c r="D78" s="16"/>
      <c r="E78" s="17"/>
      <c r="F78" s="26"/>
      <c r="G78" s="22"/>
      <c r="H78" s="30">
        <f>641.85+41.75+41.75-41.75+80</f>
        <v>763.6</v>
      </c>
      <c r="I78" s="6" t="s">
        <v>232</v>
      </c>
    </row>
    <row r="79" spans="1:9" s="1" customFormat="1">
      <c r="A79" s="10"/>
      <c r="B79" s="37"/>
      <c r="C79" s="9"/>
      <c r="D79" s="16"/>
      <c r="E79" s="17"/>
      <c r="F79" s="26"/>
      <c r="G79" s="22"/>
      <c r="H79" s="30"/>
      <c r="I79" s="6"/>
    </row>
    <row r="80" spans="1:9" s="1" customFormat="1">
      <c r="A80" s="11" t="s">
        <v>4</v>
      </c>
      <c r="B80" s="10"/>
      <c r="C80" s="10"/>
      <c r="D80" s="18">
        <f>SUM(D70:D79)</f>
        <v>438.1</v>
      </c>
      <c r="E80" s="6"/>
      <c r="F80" s="27">
        <f>SUM(F70:F79)</f>
        <v>37.71</v>
      </c>
      <c r="G80" s="23"/>
      <c r="H80" s="31">
        <f>SUM(H70:H79)</f>
        <v>5919.0100000000011</v>
      </c>
      <c r="I80" s="2"/>
    </row>
    <row r="81" spans="1:9" s="1" customFormat="1" ht="15.75" thickBot="1">
      <c r="A81" s="12" t="s">
        <v>5</v>
      </c>
      <c r="B81" s="34">
        <f>SUM(D80+F80+H80)</f>
        <v>6394.8200000000015</v>
      </c>
      <c r="C81" s="33"/>
      <c r="D81" s="19"/>
      <c r="E81" s="20"/>
      <c r="F81" s="28"/>
      <c r="G81" s="24"/>
      <c r="H81" s="32"/>
      <c r="I81" s="3"/>
    </row>
    <row r="82" spans="1:9" s="1" customFormat="1">
      <c r="A82" s="43" t="s">
        <v>201</v>
      </c>
      <c r="B82" s="8" t="s">
        <v>55</v>
      </c>
      <c r="C82" s="8" t="s">
        <v>39</v>
      </c>
      <c r="D82" s="14">
        <f>22.6+102.04+26.68</f>
        <v>151.32000000000002</v>
      </c>
      <c r="E82" s="15" t="s">
        <v>16</v>
      </c>
      <c r="F82" s="25">
        <f>24</f>
        <v>24</v>
      </c>
      <c r="G82" s="21" t="s">
        <v>32</v>
      </c>
      <c r="H82" s="29">
        <f>379.62</f>
        <v>379.62</v>
      </c>
      <c r="I82" s="5" t="s">
        <v>67</v>
      </c>
    </row>
    <row r="83" spans="1:9" s="1" customFormat="1">
      <c r="A83" s="10"/>
      <c r="B83" s="37" t="s">
        <v>115</v>
      </c>
      <c r="C83" s="9"/>
      <c r="D83" s="16"/>
      <c r="E83" s="17"/>
      <c r="F83" s="26"/>
      <c r="G83" s="22"/>
      <c r="H83" s="30">
        <f>283.29</f>
        <v>283.29000000000002</v>
      </c>
      <c r="I83" s="6" t="s">
        <v>45</v>
      </c>
    </row>
    <row r="84" spans="1:9" s="1" customFormat="1">
      <c r="A84" s="10"/>
      <c r="B84" s="37"/>
      <c r="C84" s="9"/>
      <c r="D84" s="16"/>
      <c r="E84" s="17"/>
      <c r="F84" s="26"/>
      <c r="G84" s="22"/>
      <c r="H84" s="30">
        <f>46.4</f>
        <v>46.4</v>
      </c>
      <c r="I84" s="6" t="s">
        <v>15</v>
      </c>
    </row>
    <row r="85" spans="1:9" s="1" customFormat="1">
      <c r="A85" s="10"/>
      <c r="B85" s="37"/>
      <c r="C85" s="9"/>
      <c r="D85" s="16"/>
      <c r="E85" s="17"/>
      <c r="F85" s="26"/>
      <c r="G85" s="22"/>
      <c r="H85" s="30"/>
      <c r="I85" s="6"/>
    </row>
    <row r="86" spans="1:9" s="1" customFormat="1">
      <c r="A86" s="10"/>
      <c r="B86" s="37"/>
      <c r="C86" s="9" t="s">
        <v>57</v>
      </c>
      <c r="D86" s="16">
        <f>8.2</f>
        <v>8.1999999999999993</v>
      </c>
      <c r="E86" s="17" t="s">
        <v>16</v>
      </c>
      <c r="F86" s="26">
        <v>24</v>
      </c>
      <c r="G86" s="22" t="s">
        <v>32</v>
      </c>
      <c r="H86" s="30">
        <f>379.62</f>
        <v>379.62</v>
      </c>
      <c r="I86" s="6" t="s">
        <v>67</v>
      </c>
    </row>
    <row r="87" spans="1:9" s="1" customFormat="1">
      <c r="A87" s="10"/>
      <c r="B87" s="37"/>
      <c r="C87" s="9"/>
      <c r="D87" s="16">
        <f>50</f>
        <v>50</v>
      </c>
      <c r="E87" s="17" t="s">
        <v>14</v>
      </c>
      <c r="F87" s="26">
        <v>3</v>
      </c>
      <c r="G87" s="22" t="s">
        <v>31</v>
      </c>
      <c r="H87" s="30">
        <f>283.29</f>
        <v>283.29000000000002</v>
      </c>
      <c r="I87" s="6" t="s">
        <v>45</v>
      </c>
    </row>
    <row r="88" spans="1:9" s="1" customFormat="1">
      <c r="A88" s="10"/>
      <c r="B88" s="37"/>
      <c r="C88" s="9"/>
      <c r="D88" s="16"/>
      <c r="E88" s="17"/>
      <c r="F88" s="26"/>
      <c r="G88" s="22"/>
      <c r="H88" s="30">
        <v>41.42</v>
      </c>
      <c r="I88" s="6" t="s">
        <v>15</v>
      </c>
    </row>
    <row r="89" spans="1:9" s="1" customFormat="1">
      <c r="A89" s="10"/>
      <c r="B89" s="37"/>
      <c r="C89" s="9"/>
      <c r="D89" s="16"/>
      <c r="E89" s="17"/>
      <c r="F89" s="26"/>
      <c r="G89" s="22"/>
      <c r="H89" s="30"/>
      <c r="I89" s="6"/>
    </row>
    <row r="90" spans="1:9" s="1" customFormat="1">
      <c r="A90" s="11" t="s">
        <v>4</v>
      </c>
      <c r="B90" s="10"/>
      <c r="C90" s="10"/>
      <c r="D90" s="18">
        <f>SUM(D82:D89)</f>
        <v>209.52</v>
      </c>
      <c r="E90" s="6"/>
      <c r="F90" s="27">
        <f>SUM(F82:F89)</f>
        <v>51</v>
      </c>
      <c r="G90" s="23"/>
      <c r="H90" s="31">
        <f>SUM(H82:H89)</f>
        <v>1413.64</v>
      </c>
      <c r="I90" s="2"/>
    </row>
    <row r="91" spans="1:9" s="1" customFormat="1" ht="15.75" thickBot="1">
      <c r="A91" s="12" t="s">
        <v>5</v>
      </c>
      <c r="B91" s="34">
        <f>SUM(D90+F90+H90)</f>
        <v>1674.16</v>
      </c>
      <c r="C91" s="33"/>
      <c r="D91" s="19"/>
      <c r="E91" s="20"/>
      <c r="F91" s="28"/>
      <c r="G91" s="24"/>
      <c r="H91" s="32"/>
      <c r="I91" s="3"/>
    </row>
    <row r="92" spans="1:9" s="1" customFormat="1">
      <c r="A92" s="43" t="s">
        <v>203</v>
      </c>
      <c r="B92" s="8" t="s">
        <v>204</v>
      </c>
      <c r="C92" s="8" t="s">
        <v>11</v>
      </c>
      <c r="D92" s="14">
        <f>50.55</f>
        <v>50.55</v>
      </c>
      <c r="E92" s="15" t="s">
        <v>16</v>
      </c>
      <c r="F92" s="25"/>
      <c r="G92" s="21"/>
      <c r="H92" s="29">
        <f>876.82</f>
        <v>876.82</v>
      </c>
      <c r="I92" s="5" t="s">
        <v>67</v>
      </c>
    </row>
    <row r="93" spans="1:9" s="1" customFormat="1">
      <c r="A93" s="45"/>
      <c r="B93" s="37" t="s">
        <v>205</v>
      </c>
      <c r="C93" s="9"/>
      <c r="D93" s="16">
        <f>33.08+65.13</f>
        <v>98.21</v>
      </c>
      <c r="E93" s="17" t="s">
        <v>14</v>
      </c>
      <c r="F93" s="26"/>
      <c r="G93" s="22"/>
      <c r="H93" s="30">
        <f>499.36</f>
        <v>499.36</v>
      </c>
      <c r="I93" s="6" t="s">
        <v>45</v>
      </c>
    </row>
    <row r="94" spans="1:9" s="1" customFormat="1">
      <c r="A94" s="45"/>
      <c r="B94" s="37"/>
      <c r="C94" s="9"/>
      <c r="D94" s="16">
        <f>75.48</f>
        <v>75.48</v>
      </c>
      <c r="E94" s="17" t="s">
        <v>29</v>
      </c>
      <c r="F94" s="26"/>
      <c r="G94" s="22"/>
      <c r="H94" s="30"/>
      <c r="I94" s="6"/>
    </row>
    <row r="95" spans="1:9" s="1" customFormat="1">
      <c r="A95" s="45"/>
      <c r="B95" s="37"/>
      <c r="C95" s="9"/>
      <c r="D95" s="16"/>
      <c r="E95" s="17"/>
      <c r="F95" s="26"/>
      <c r="G95" s="22"/>
      <c r="H95" s="30"/>
      <c r="I95" s="6"/>
    </row>
    <row r="96" spans="1:9" s="1" customFormat="1">
      <c r="A96" s="45"/>
      <c r="B96" s="37"/>
      <c r="C96" s="9" t="s">
        <v>12</v>
      </c>
      <c r="D96" s="16">
        <f>180.56</f>
        <v>180.56</v>
      </c>
      <c r="E96" s="17" t="s">
        <v>16</v>
      </c>
      <c r="F96" s="26"/>
      <c r="G96" s="22"/>
      <c r="H96" s="30">
        <f>876.82</f>
        <v>876.82</v>
      </c>
      <c r="I96" s="6" t="s">
        <v>67</v>
      </c>
    </row>
    <row r="97" spans="1:9" s="1" customFormat="1">
      <c r="A97" s="10"/>
      <c r="C97" s="9"/>
      <c r="D97" s="16">
        <f>39.76+39+39.7</f>
        <v>118.46</v>
      </c>
      <c r="E97" s="17" t="s">
        <v>14</v>
      </c>
      <c r="F97" s="26"/>
      <c r="G97" s="22"/>
      <c r="H97" s="30">
        <f>499.36+631.81-119.91-499.36</f>
        <v>511.90000000000009</v>
      </c>
      <c r="I97" s="6" t="s">
        <v>45</v>
      </c>
    </row>
    <row r="98" spans="1:9" s="1" customFormat="1">
      <c r="A98" s="10"/>
      <c r="C98" s="9"/>
      <c r="D98" s="16"/>
      <c r="E98" s="17"/>
      <c r="F98" s="26"/>
      <c r="G98" s="22"/>
      <c r="H98" s="30">
        <f>8.35</f>
        <v>8.35</v>
      </c>
      <c r="I98" s="6" t="s">
        <v>15</v>
      </c>
    </row>
    <row r="99" spans="1:9" s="1" customFormat="1">
      <c r="A99" s="10"/>
      <c r="C99" s="9"/>
      <c r="D99" s="16"/>
      <c r="E99" s="17"/>
      <c r="F99" s="26"/>
      <c r="G99" s="22"/>
      <c r="H99" s="30"/>
      <c r="I99" s="6"/>
    </row>
    <row r="100" spans="1:9" s="1" customFormat="1">
      <c r="A100" s="11" t="s">
        <v>4</v>
      </c>
      <c r="B100" s="10"/>
      <c r="C100" s="10"/>
      <c r="D100" s="18">
        <f>SUM(D92:D99)</f>
        <v>523.26</v>
      </c>
      <c r="E100" s="6"/>
      <c r="F100" s="27">
        <f>SUM(F92:F99)</f>
        <v>0</v>
      </c>
      <c r="G100" s="23"/>
      <c r="H100" s="31">
        <f>SUM(H92:H99)</f>
        <v>2773.25</v>
      </c>
      <c r="I100" s="2"/>
    </row>
    <row r="101" spans="1:9" s="1" customFormat="1" ht="15.75" thickBot="1">
      <c r="A101" s="12" t="s">
        <v>5</v>
      </c>
      <c r="B101" s="34">
        <f>SUM(D100+F100+H100)</f>
        <v>3296.51</v>
      </c>
      <c r="C101" s="33"/>
      <c r="D101" s="19"/>
      <c r="E101" s="20"/>
      <c r="F101" s="28"/>
      <c r="G101" s="24"/>
      <c r="H101" s="32"/>
      <c r="I101" s="3"/>
    </row>
    <row r="102" spans="1:9" s="1" customFormat="1">
      <c r="A102" s="43" t="s">
        <v>225</v>
      </c>
      <c r="B102" s="8" t="s">
        <v>55</v>
      </c>
      <c r="C102" s="8" t="s">
        <v>20</v>
      </c>
      <c r="D102" s="14">
        <f>57.2+71.37+78.62</f>
        <v>207.19</v>
      </c>
      <c r="E102" s="15" t="s">
        <v>16</v>
      </c>
      <c r="F102" s="25"/>
      <c r="G102" s="21"/>
      <c r="H102" s="29">
        <f>1960.72+768.75+150</f>
        <v>2879.4700000000003</v>
      </c>
      <c r="I102" s="5" t="s">
        <v>67</v>
      </c>
    </row>
    <row r="103" spans="1:9" s="1" customFormat="1">
      <c r="A103" s="45"/>
      <c r="B103" s="37" t="s">
        <v>109</v>
      </c>
      <c r="C103" s="9"/>
      <c r="D103" s="16">
        <f>74.25+47.71+68.45+60.99</f>
        <v>251.40000000000003</v>
      </c>
      <c r="E103" s="17" t="s">
        <v>14</v>
      </c>
      <c r="F103" s="26"/>
      <c r="G103" s="22"/>
      <c r="H103" s="30">
        <f>833.91+812.4-812.4+541.6</f>
        <v>1375.51</v>
      </c>
      <c r="I103" s="6" t="s">
        <v>45</v>
      </c>
    </row>
    <row r="104" spans="1:9" s="1" customFormat="1">
      <c r="A104" s="45"/>
      <c r="B104" s="37" t="s">
        <v>226</v>
      </c>
      <c r="C104" s="9"/>
      <c r="D104" s="16">
        <f>12.05+3.64</f>
        <v>15.690000000000001</v>
      </c>
      <c r="E104" s="17" t="s">
        <v>29</v>
      </c>
      <c r="F104" s="26"/>
      <c r="G104" s="22"/>
      <c r="H104" s="30">
        <f>32.7+47.38</f>
        <v>80.080000000000013</v>
      </c>
      <c r="I104" s="6" t="s">
        <v>15</v>
      </c>
    </row>
    <row r="105" spans="1:9" s="1" customFormat="1">
      <c r="A105" s="45"/>
      <c r="B105" s="37" t="s">
        <v>89</v>
      </c>
      <c r="C105" s="9"/>
      <c r="D105" s="16"/>
      <c r="E105" s="17"/>
      <c r="F105" s="26"/>
      <c r="G105" s="22"/>
      <c r="H105" s="30"/>
      <c r="I105" s="6"/>
    </row>
    <row r="106" spans="1:9" s="1" customFormat="1">
      <c r="A106" s="45"/>
      <c r="B106" s="37"/>
      <c r="C106" s="9" t="s">
        <v>77</v>
      </c>
      <c r="D106" s="16">
        <f>102.68+297.67</f>
        <v>400.35</v>
      </c>
      <c r="E106" s="17" t="s">
        <v>16</v>
      </c>
      <c r="F106" s="26"/>
      <c r="G106" s="22"/>
      <c r="H106" s="30">
        <f>1354.5+833.91</f>
        <v>2188.41</v>
      </c>
      <c r="I106" s="6" t="s">
        <v>67</v>
      </c>
    </row>
    <row r="107" spans="1:9" s="1" customFormat="1">
      <c r="A107" s="10"/>
      <c r="C107" s="9"/>
      <c r="D107" s="16">
        <f>66+22</f>
        <v>88</v>
      </c>
      <c r="E107" s="17" t="s">
        <v>14</v>
      </c>
      <c r="F107" s="26"/>
      <c r="G107" s="22"/>
      <c r="H107" s="30">
        <f>833.91+812.4</f>
        <v>1646.31</v>
      </c>
      <c r="I107" s="6" t="s">
        <v>45</v>
      </c>
    </row>
    <row r="108" spans="1:9" s="1" customFormat="1">
      <c r="A108" s="10"/>
      <c r="C108" s="9"/>
      <c r="D108" s="16"/>
      <c r="E108" s="17"/>
      <c r="F108" s="26"/>
      <c r="G108" s="22"/>
      <c r="H108" s="30">
        <f>47.95</f>
        <v>47.95</v>
      </c>
      <c r="I108" s="6" t="s">
        <v>15</v>
      </c>
    </row>
    <row r="109" spans="1:9" s="1" customFormat="1">
      <c r="A109" s="10"/>
      <c r="C109" s="9"/>
      <c r="D109" s="16"/>
      <c r="E109" s="17"/>
      <c r="F109" s="26"/>
      <c r="G109" s="22"/>
      <c r="H109" s="30"/>
      <c r="I109" s="6"/>
    </row>
    <row r="110" spans="1:9" s="1" customFormat="1">
      <c r="A110" s="11" t="s">
        <v>4</v>
      </c>
      <c r="B110" s="10"/>
      <c r="C110" s="10"/>
      <c r="D110" s="18">
        <f>SUM(D102:D109)</f>
        <v>962.63000000000011</v>
      </c>
      <c r="E110" s="6"/>
      <c r="F110" s="27">
        <f>SUM(F102:F109)</f>
        <v>0</v>
      </c>
      <c r="G110" s="23"/>
      <c r="H110" s="31">
        <f>SUM(H102:H109)</f>
        <v>8217.7300000000014</v>
      </c>
      <c r="I110" s="2"/>
    </row>
    <row r="111" spans="1:9" s="1" customFormat="1" ht="15.75" thickBot="1">
      <c r="A111" s="12" t="s">
        <v>5</v>
      </c>
      <c r="B111" s="34">
        <f>SUM(D110+F110+H110)</f>
        <v>9180.36</v>
      </c>
      <c r="C111" s="33"/>
      <c r="D111" s="19"/>
      <c r="E111" s="20"/>
      <c r="F111" s="28"/>
      <c r="G111" s="24"/>
      <c r="H111" s="32"/>
      <c r="I111" s="3"/>
    </row>
    <row r="112" spans="1:9" s="1" customFormat="1">
      <c r="A112" s="43" t="s">
        <v>218</v>
      </c>
      <c r="B112" s="8" t="s">
        <v>114</v>
      </c>
      <c r="C112" s="8" t="s">
        <v>49</v>
      </c>
      <c r="D112" s="14">
        <f>17+6.9</f>
        <v>23.9</v>
      </c>
      <c r="E112" s="15" t="s">
        <v>16</v>
      </c>
      <c r="F112" s="25">
        <v>119.95</v>
      </c>
      <c r="G112" s="21" t="s">
        <v>42</v>
      </c>
      <c r="H112" s="29">
        <f>468.13</f>
        <v>468.13</v>
      </c>
      <c r="I112" s="5" t="s">
        <v>67</v>
      </c>
    </row>
    <row r="113" spans="1:9" s="1" customFormat="1">
      <c r="A113" s="10"/>
      <c r="B113" s="37" t="s">
        <v>73</v>
      </c>
      <c r="C113" s="9"/>
      <c r="D113" s="16">
        <f>62.27</f>
        <v>62.27</v>
      </c>
      <c r="E113" s="17" t="s">
        <v>14</v>
      </c>
      <c r="F113" s="26">
        <f>5.2+5.2</f>
        <v>10.4</v>
      </c>
      <c r="G113" s="22" t="s">
        <v>50</v>
      </c>
      <c r="H113" s="30">
        <f>180</f>
        <v>180</v>
      </c>
      <c r="I113" s="6" t="s">
        <v>45</v>
      </c>
    </row>
    <row r="114" spans="1:9" s="1" customFormat="1">
      <c r="A114" s="10"/>
      <c r="B114" s="37"/>
      <c r="C114" s="9"/>
      <c r="D114" s="16"/>
      <c r="E114" s="17"/>
      <c r="F114" s="26">
        <f>68.4</f>
        <v>68.400000000000006</v>
      </c>
      <c r="G114" s="22" t="s">
        <v>43</v>
      </c>
      <c r="H114" s="30">
        <f>58.7</f>
        <v>58.7</v>
      </c>
      <c r="I114" s="6" t="s">
        <v>15</v>
      </c>
    </row>
    <row r="115" spans="1:9" s="1" customFormat="1">
      <c r="A115" s="10"/>
      <c r="B115" s="37"/>
      <c r="C115" s="9"/>
      <c r="D115" s="16"/>
      <c r="E115" s="17"/>
      <c r="F115" s="26"/>
      <c r="G115" s="22"/>
      <c r="H115" s="30"/>
      <c r="I115" s="6"/>
    </row>
    <row r="116" spans="1:9" s="1" customFormat="1">
      <c r="A116" s="10"/>
      <c r="B116" s="37"/>
      <c r="C116" s="9" t="s">
        <v>57</v>
      </c>
      <c r="D116" s="16">
        <f>35.1+148.85</f>
        <v>183.95</v>
      </c>
      <c r="E116" s="17" t="s">
        <v>16</v>
      </c>
      <c r="F116" s="26">
        <v>12</v>
      </c>
      <c r="G116" s="22" t="s">
        <v>32</v>
      </c>
      <c r="H116" s="30">
        <f>410.39</f>
        <v>410.39</v>
      </c>
      <c r="I116" s="6" t="s">
        <v>67</v>
      </c>
    </row>
    <row r="117" spans="1:9" s="1" customFormat="1">
      <c r="A117" s="10"/>
      <c r="B117" s="37"/>
      <c r="C117" s="9"/>
      <c r="D117" s="16">
        <f>31.2+79.61</f>
        <v>110.81</v>
      </c>
      <c r="E117" s="17" t="s">
        <v>14</v>
      </c>
      <c r="F117" s="26">
        <v>4.5</v>
      </c>
      <c r="G117" s="22" t="s">
        <v>31</v>
      </c>
      <c r="H117" s="30">
        <f>203.96</f>
        <v>203.96</v>
      </c>
      <c r="I117" s="6" t="s">
        <v>45</v>
      </c>
    </row>
    <row r="118" spans="1:9" s="1" customFormat="1">
      <c r="A118" s="10"/>
      <c r="B118" s="37"/>
      <c r="C118" s="9"/>
      <c r="D118" s="16"/>
      <c r="E118" s="17"/>
      <c r="F118" s="26"/>
      <c r="G118" s="22"/>
      <c r="H118" s="30">
        <v>7.83</v>
      </c>
      <c r="I118" s="6" t="s">
        <v>219</v>
      </c>
    </row>
    <row r="119" spans="1:9" s="1" customFormat="1">
      <c r="A119" s="10"/>
      <c r="B119" s="37"/>
      <c r="C119" s="9"/>
      <c r="D119" s="16"/>
      <c r="E119" s="17"/>
      <c r="F119" s="26"/>
      <c r="G119" s="22"/>
      <c r="H119" s="30"/>
      <c r="I119" s="6"/>
    </row>
    <row r="120" spans="1:9" s="1" customFormat="1">
      <c r="A120" s="11" t="s">
        <v>4</v>
      </c>
      <c r="B120" s="10"/>
      <c r="C120" s="10"/>
      <c r="D120" s="18">
        <f>SUM(D112:D119)</f>
        <v>380.93</v>
      </c>
      <c r="E120" s="6"/>
      <c r="F120" s="27">
        <f>SUM(F112:F119)</f>
        <v>215.25</v>
      </c>
      <c r="G120" s="23"/>
      <c r="H120" s="31">
        <f>SUM(H112:H119)</f>
        <v>1329.01</v>
      </c>
      <c r="I120" s="2"/>
    </row>
    <row r="121" spans="1:9" s="1" customFormat="1" ht="15.75" thickBot="1">
      <c r="A121" s="12" t="s">
        <v>5</v>
      </c>
      <c r="B121" s="34">
        <f>SUM(D120+F120+H120)</f>
        <v>1925.19</v>
      </c>
      <c r="C121" s="33"/>
      <c r="D121" s="19"/>
      <c r="E121" s="20"/>
      <c r="F121" s="28"/>
      <c r="G121" s="24"/>
      <c r="H121" s="32"/>
      <c r="I121" s="3"/>
    </row>
    <row r="122" spans="1:9" s="1" customFormat="1">
      <c r="A122" s="43" t="s">
        <v>221</v>
      </c>
      <c r="B122" s="8" t="s">
        <v>222</v>
      </c>
      <c r="C122" s="8" t="s">
        <v>70</v>
      </c>
      <c r="D122" s="14">
        <v>16.3</v>
      </c>
      <c r="E122" s="15" t="s">
        <v>16</v>
      </c>
      <c r="F122" s="25"/>
      <c r="G122" s="21"/>
      <c r="H122" s="29">
        <f>392.41</f>
        <v>392.41</v>
      </c>
      <c r="I122" s="5" t="s">
        <v>67</v>
      </c>
    </row>
    <row r="123" spans="1:9" s="1" customFormat="1">
      <c r="A123" s="10"/>
      <c r="B123" s="37" t="s">
        <v>223</v>
      </c>
      <c r="C123" s="9"/>
      <c r="D123" s="16">
        <f>180</f>
        <v>180</v>
      </c>
      <c r="E123" s="17" t="s">
        <v>14</v>
      </c>
      <c r="F123" s="26"/>
      <c r="G123" s="22"/>
      <c r="H123" s="30">
        <f>309.5</f>
        <v>309.5</v>
      </c>
      <c r="I123" s="6" t="s">
        <v>45</v>
      </c>
    </row>
    <row r="124" spans="1:9" s="1" customFormat="1">
      <c r="A124" s="10"/>
      <c r="B124" s="37"/>
      <c r="C124" s="9"/>
      <c r="D124" s="16">
        <v>51.79</v>
      </c>
      <c r="E124" s="17" t="s">
        <v>29</v>
      </c>
      <c r="F124" s="26"/>
      <c r="G124" s="22"/>
      <c r="H124" s="30"/>
      <c r="I124" s="6"/>
    </row>
    <row r="125" spans="1:9" s="1" customFormat="1">
      <c r="A125" s="10"/>
      <c r="B125" s="37"/>
      <c r="C125" s="9"/>
      <c r="D125" s="16"/>
      <c r="E125" s="17"/>
      <c r="F125" s="26"/>
      <c r="G125" s="22"/>
      <c r="H125" s="30"/>
      <c r="I125" s="6"/>
    </row>
    <row r="126" spans="1:9" s="1" customFormat="1">
      <c r="A126" s="10"/>
      <c r="B126" s="37"/>
      <c r="C126" s="9" t="s">
        <v>71</v>
      </c>
      <c r="D126" s="16">
        <f>8.45+116.75</f>
        <v>125.2</v>
      </c>
      <c r="E126" s="17" t="s">
        <v>16</v>
      </c>
      <c r="F126" s="26">
        <f>20.53</f>
        <v>20.53</v>
      </c>
      <c r="G126" s="22" t="s">
        <v>42</v>
      </c>
      <c r="H126" s="30">
        <f>362.41</f>
        <v>362.41</v>
      </c>
      <c r="I126" s="6" t="s">
        <v>67</v>
      </c>
    </row>
    <row r="127" spans="1:9" s="1" customFormat="1">
      <c r="A127" s="10"/>
      <c r="B127" s="37"/>
      <c r="C127" s="9"/>
      <c r="D127" s="16">
        <f>164.17</f>
        <v>164.17</v>
      </c>
      <c r="E127" s="17" t="s">
        <v>14</v>
      </c>
      <c r="F127" s="26">
        <f>26</f>
        <v>26</v>
      </c>
      <c r="G127" s="22" t="s">
        <v>43</v>
      </c>
      <c r="H127" s="30">
        <f>309.5</f>
        <v>309.5</v>
      </c>
      <c r="I127" s="6" t="s">
        <v>45</v>
      </c>
    </row>
    <row r="128" spans="1:9" s="1" customFormat="1">
      <c r="A128" s="10"/>
      <c r="B128" s="37"/>
      <c r="C128" s="9"/>
      <c r="D128" s="16">
        <f>55</f>
        <v>55</v>
      </c>
      <c r="E128" s="17" t="s">
        <v>29</v>
      </c>
      <c r="F128" s="26"/>
      <c r="G128" s="22"/>
      <c r="H128" s="30"/>
      <c r="I128" s="6"/>
    </row>
    <row r="129" spans="1:11" s="1" customFormat="1">
      <c r="A129" s="10"/>
      <c r="B129" s="37"/>
      <c r="C129" s="9"/>
      <c r="D129" s="16"/>
      <c r="E129" s="17"/>
      <c r="F129" s="26"/>
      <c r="G129" s="22"/>
      <c r="H129" s="30"/>
      <c r="I129" s="6"/>
    </row>
    <row r="130" spans="1:11" s="1" customFormat="1">
      <c r="A130" s="11" t="s">
        <v>4</v>
      </c>
      <c r="B130" s="10"/>
      <c r="C130" s="10"/>
      <c r="D130" s="18">
        <f>SUM(D122:D129)</f>
        <v>592.46</v>
      </c>
      <c r="E130" s="6"/>
      <c r="F130" s="27">
        <f>SUM(F122:F129)</f>
        <v>46.53</v>
      </c>
      <c r="G130" s="23"/>
      <c r="H130" s="31">
        <f>SUM(H122:H129)</f>
        <v>1373.8200000000002</v>
      </c>
      <c r="I130" s="2"/>
    </row>
    <row r="131" spans="1:11" s="1" customFormat="1" ht="15.75" thickBot="1">
      <c r="A131" s="12" t="s">
        <v>5</v>
      </c>
      <c r="B131" s="34">
        <f>SUM(D130+F130+H130)</f>
        <v>2012.8100000000002</v>
      </c>
      <c r="C131" s="33"/>
      <c r="D131" s="19"/>
      <c r="E131" s="20"/>
      <c r="F131" s="28"/>
      <c r="G131" s="24"/>
      <c r="H131" s="32"/>
      <c r="I131" s="3"/>
    </row>
    <row r="132" spans="1:11" ht="15.75" thickBot="1">
      <c r="J132" s="1"/>
      <c r="K132" s="40"/>
    </row>
    <row r="133" spans="1:11" ht="20.25" thickBot="1">
      <c r="A133" s="35" t="s">
        <v>8</v>
      </c>
      <c r="B133" s="36">
        <f>SUM(B15,B24,B30,B38,B48,B57,B63,B69,B81,B91,B101,B111,B121,B131)</f>
        <v>44197.02</v>
      </c>
      <c r="J133" s="1"/>
      <c r="K133" s="40"/>
    </row>
    <row r="134" spans="1:11">
      <c r="J134" s="1"/>
      <c r="K134" s="41"/>
    </row>
    <row r="135" spans="1:11">
      <c r="J135" s="1"/>
      <c r="K135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7"/>
  <sheetViews>
    <sheetView topLeftCell="A61" workbookViewId="0">
      <selection activeCell="D77" sqref="D77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 t="s">
        <v>234</v>
      </c>
      <c r="B2" s="8" t="s">
        <v>235</v>
      </c>
      <c r="C2" s="8" t="s">
        <v>194</v>
      </c>
      <c r="D2" s="16">
        <f>113.7</f>
        <v>113.7</v>
      </c>
      <c r="E2" s="17" t="s">
        <v>14</v>
      </c>
      <c r="F2" s="25"/>
      <c r="G2" s="21"/>
      <c r="H2" s="29">
        <f>120.48</f>
        <v>120.48</v>
      </c>
      <c r="I2" s="5" t="s">
        <v>67</v>
      </c>
    </row>
    <row r="3" spans="1:9" s="1" customFormat="1">
      <c r="A3" s="10"/>
      <c r="B3" s="37" t="s">
        <v>236</v>
      </c>
      <c r="C3" s="9"/>
      <c r="D3" s="16">
        <f>7.24</f>
        <v>7.24</v>
      </c>
      <c r="E3" s="17" t="s">
        <v>29</v>
      </c>
      <c r="F3" s="26"/>
      <c r="G3" s="22"/>
      <c r="H3" s="30">
        <f>247.5</f>
        <v>247.5</v>
      </c>
      <c r="I3" s="6" t="s">
        <v>45</v>
      </c>
    </row>
    <row r="4" spans="1:9" s="1" customFormat="1">
      <c r="A4" s="10"/>
      <c r="B4" s="37"/>
      <c r="C4" s="9"/>
      <c r="D4" s="16"/>
      <c r="E4" s="17"/>
      <c r="F4" s="26"/>
      <c r="G4" s="22"/>
      <c r="H4" s="30">
        <f>21.06</f>
        <v>21.06</v>
      </c>
      <c r="I4" s="6" t="s">
        <v>15</v>
      </c>
    </row>
    <row r="5" spans="1:9" s="1" customFormat="1">
      <c r="A5" s="10"/>
      <c r="B5" s="37"/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195</v>
      </c>
      <c r="D6" s="16"/>
      <c r="E6" s="17"/>
      <c r="F6" s="26">
        <f>26.52</f>
        <v>26.52</v>
      </c>
      <c r="G6" s="22" t="s">
        <v>42</v>
      </c>
      <c r="H6" s="30">
        <f>120.48</f>
        <v>120.48</v>
      </c>
      <c r="I6" s="6" t="s">
        <v>67</v>
      </c>
    </row>
    <row r="7" spans="1:9" s="1" customFormat="1">
      <c r="A7" s="10"/>
      <c r="B7" s="37"/>
      <c r="C7" s="9"/>
      <c r="D7" s="16"/>
      <c r="E7" s="17"/>
      <c r="F7" s="26">
        <v>8.1999999999999993</v>
      </c>
      <c r="G7" s="22" t="s">
        <v>50</v>
      </c>
      <c r="H7" s="30">
        <f>297</f>
        <v>297</v>
      </c>
      <c r="I7" s="6" t="s">
        <v>45</v>
      </c>
    </row>
    <row r="8" spans="1:9" s="1" customFormat="1">
      <c r="A8" s="10"/>
      <c r="B8" s="37"/>
      <c r="C8" s="9"/>
      <c r="D8" s="16"/>
      <c r="E8" s="17"/>
      <c r="F8" s="26">
        <v>45</v>
      </c>
      <c r="G8" s="22" t="s">
        <v>43</v>
      </c>
      <c r="H8" s="30"/>
      <c r="I8" s="6"/>
    </row>
    <row r="9" spans="1:9" s="1" customFormat="1">
      <c r="A9" s="10"/>
      <c r="B9" s="37"/>
      <c r="C9" s="9"/>
      <c r="D9" s="16"/>
      <c r="E9" s="17"/>
      <c r="F9" s="26"/>
      <c r="G9" s="22"/>
      <c r="H9" s="30"/>
      <c r="I9" s="6"/>
    </row>
    <row r="10" spans="1:9" s="1" customFormat="1">
      <c r="A10" s="10"/>
      <c r="B10" s="37"/>
      <c r="C10" s="9" t="s">
        <v>196</v>
      </c>
      <c r="D10" s="16"/>
      <c r="E10" s="17"/>
      <c r="F10" s="26">
        <f>28.03</f>
        <v>28.03</v>
      </c>
      <c r="G10" s="22" t="s">
        <v>42</v>
      </c>
      <c r="H10" s="30">
        <f>120.48</f>
        <v>120.48</v>
      </c>
      <c r="I10" s="6" t="s">
        <v>67</v>
      </c>
    </row>
    <row r="11" spans="1:9" s="1" customFormat="1">
      <c r="A11" s="10"/>
      <c r="B11" s="37"/>
      <c r="C11" s="9"/>
      <c r="D11" s="16"/>
      <c r="E11" s="17"/>
      <c r="F11" s="26">
        <f>9.4</f>
        <v>9.4</v>
      </c>
      <c r="G11" s="22" t="s">
        <v>50</v>
      </c>
      <c r="H11" s="30">
        <f>247.5</f>
        <v>247.5</v>
      </c>
      <c r="I11" s="6" t="s">
        <v>45</v>
      </c>
    </row>
    <row r="12" spans="1:9" s="1" customFormat="1">
      <c r="A12" s="10"/>
      <c r="B12" s="37"/>
      <c r="C12" s="9"/>
      <c r="D12" s="16"/>
      <c r="E12" s="17"/>
      <c r="F12" s="26">
        <f>45</f>
        <v>45</v>
      </c>
      <c r="G12" s="22" t="s">
        <v>43</v>
      </c>
      <c r="H12" s="30"/>
      <c r="I12" s="6"/>
    </row>
    <row r="13" spans="1:9" s="1" customFormat="1">
      <c r="A13" s="10"/>
      <c r="B13" s="37"/>
      <c r="C13" s="9"/>
      <c r="D13" s="16"/>
      <c r="E13" s="17"/>
      <c r="F13" s="26"/>
      <c r="G13" s="22"/>
      <c r="H13" s="30"/>
      <c r="I13" s="6"/>
    </row>
    <row r="14" spans="1:9" s="1" customFormat="1">
      <c r="A14" s="10"/>
      <c r="B14" s="37"/>
      <c r="C14" s="9" t="s">
        <v>9</v>
      </c>
      <c r="D14" s="16">
        <f>5.5+838.86</f>
        <v>844.36</v>
      </c>
      <c r="E14" s="17" t="s">
        <v>16</v>
      </c>
      <c r="F14" s="26">
        <v>13.28</v>
      </c>
      <c r="G14" s="22" t="s">
        <v>42</v>
      </c>
      <c r="H14" s="30">
        <f>117.48</f>
        <v>117.48</v>
      </c>
      <c r="I14" s="6" t="s">
        <v>67</v>
      </c>
    </row>
    <row r="15" spans="1:9" s="1" customFormat="1">
      <c r="A15" s="10"/>
      <c r="B15" s="37"/>
      <c r="C15" s="9"/>
      <c r="D15" s="16"/>
      <c r="E15" s="17"/>
      <c r="F15" s="26">
        <v>36</v>
      </c>
      <c r="G15" s="22" t="s">
        <v>43</v>
      </c>
      <c r="H15" s="30">
        <v>567</v>
      </c>
      <c r="I15" s="6" t="s">
        <v>45</v>
      </c>
    </row>
    <row r="16" spans="1:9" s="1" customFormat="1">
      <c r="A16" s="10"/>
      <c r="B16" s="37"/>
      <c r="C16" s="9"/>
      <c r="D16" s="16"/>
      <c r="E16" s="17"/>
      <c r="F16" s="26"/>
      <c r="G16" s="22"/>
      <c r="H16" s="30">
        <v>11.2</v>
      </c>
      <c r="I16" s="6" t="s">
        <v>15</v>
      </c>
    </row>
    <row r="17" spans="1:10" s="1" customFormat="1">
      <c r="A17" s="10"/>
      <c r="B17" s="37"/>
      <c r="C17" s="9"/>
      <c r="D17" s="16"/>
      <c r="E17" s="17"/>
      <c r="F17" s="26"/>
      <c r="G17" s="22"/>
      <c r="H17" s="30"/>
      <c r="I17" s="6"/>
    </row>
    <row r="18" spans="1:10" s="1" customFormat="1">
      <c r="A18" s="10"/>
      <c r="B18" s="37"/>
      <c r="C18" s="9" t="s">
        <v>71</v>
      </c>
      <c r="D18" s="16"/>
      <c r="E18" s="17"/>
      <c r="F18" s="26">
        <f>21.32</f>
        <v>21.32</v>
      </c>
      <c r="G18" s="22" t="s">
        <v>42</v>
      </c>
      <c r="H18" s="30">
        <f>117.48</f>
        <v>117.48</v>
      </c>
      <c r="I18" s="6" t="s">
        <v>67</v>
      </c>
    </row>
    <row r="19" spans="1:10" s="1" customFormat="1">
      <c r="A19" s="10"/>
      <c r="B19" s="37"/>
      <c r="C19" s="9"/>
      <c r="D19" s="16"/>
      <c r="E19" s="17"/>
      <c r="F19" s="26">
        <f>5.3</f>
        <v>5.3</v>
      </c>
      <c r="G19" s="22" t="s">
        <v>50</v>
      </c>
      <c r="H19" s="30">
        <f>297</f>
        <v>297</v>
      </c>
      <c r="I19" s="6" t="s">
        <v>45</v>
      </c>
    </row>
    <row r="20" spans="1:10" s="1" customFormat="1">
      <c r="A20" s="10"/>
      <c r="B20" s="37"/>
      <c r="C20" s="9"/>
      <c r="D20" s="16"/>
      <c r="E20" s="17"/>
      <c r="F20" s="26">
        <f>19.5+45</f>
        <v>64.5</v>
      </c>
      <c r="G20" s="22" t="s">
        <v>43</v>
      </c>
      <c r="H20" s="30">
        <f>11.26</f>
        <v>11.26</v>
      </c>
      <c r="I20" s="6" t="s">
        <v>15</v>
      </c>
    </row>
    <row r="21" spans="1:10" s="1" customFormat="1">
      <c r="A21" s="10"/>
      <c r="B21" s="37"/>
      <c r="C21" s="9"/>
      <c r="D21" s="16"/>
      <c r="E21" s="17"/>
      <c r="F21" s="26"/>
      <c r="G21" s="22"/>
      <c r="H21" s="30"/>
      <c r="I21" s="6"/>
    </row>
    <row r="22" spans="1:10" s="1" customFormat="1">
      <c r="A22" s="10"/>
      <c r="B22" s="37"/>
      <c r="C22" s="9" t="s">
        <v>57</v>
      </c>
      <c r="D22" s="16">
        <f>1</f>
        <v>1</v>
      </c>
      <c r="E22" s="17" t="s">
        <v>16</v>
      </c>
      <c r="F22" s="26"/>
      <c r="G22" s="22"/>
      <c r="H22" s="30">
        <f>120.48</f>
        <v>120.48</v>
      </c>
      <c r="I22" s="6" t="s">
        <v>67</v>
      </c>
    </row>
    <row r="23" spans="1:10" s="1" customFormat="1">
      <c r="A23" s="10"/>
      <c r="B23" s="37"/>
      <c r="C23" s="9"/>
      <c r="D23" s="16">
        <f>103</f>
        <v>103</v>
      </c>
      <c r="E23" s="17" t="s">
        <v>14</v>
      </c>
      <c r="F23" s="26"/>
      <c r="G23" s="22"/>
      <c r="H23" s="30">
        <f>247.5+143</f>
        <v>390.5</v>
      </c>
      <c r="I23" s="6" t="s">
        <v>249</v>
      </c>
    </row>
    <row r="24" spans="1:10" s="1" customFormat="1">
      <c r="A24" s="10"/>
      <c r="B24" s="37"/>
      <c r="C24" s="9"/>
      <c r="D24" s="16"/>
      <c r="E24" s="17"/>
      <c r="F24" s="26"/>
      <c r="G24" s="22"/>
      <c r="H24" s="30">
        <f>23.97</f>
        <v>23.97</v>
      </c>
      <c r="I24" s="6" t="s">
        <v>15</v>
      </c>
    </row>
    <row r="25" spans="1:10" s="1" customFormat="1">
      <c r="A25" s="10"/>
      <c r="B25" s="37"/>
      <c r="C25" s="9"/>
      <c r="D25" s="16"/>
      <c r="E25" s="17"/>
      <c r="F25" s="26"/>
      <c r="G25" s="22"/>
      <c r="H25" s="30"/>
      <c r="I25" s="6"/>
    </row>
    <row r="26" spans="1:10" s="1" customFormat="1">
      <c r="A26" s="10"/>
      <c r="B26" s="37"/>
      <c r="C26" s="9" t="s">
        <v>76</v>
      </c>
      <c r="D26" s="16">
        <f>281.17</f>
        <v>281.17</v>
      </c>
      <c r="E26" s="17" t="s">
        <v>16</v>
      </c>
      <c r="F26" s="26">
        <f>16.75</f>
        <v>16.75</v>
      </c>
      <c r="G26" s="22" t="s">
        <v>42</v>
      </c>
      <c r="H26" s="46">
        <f>120.48</f>
        <v>120.48</v>
      </c>
      <c r="I26" s="47" t="s">
        <v>67</v>
      </c>
      <c r="J26" s="48" t="s">
        <v>262</v>
      </c>
    </row>
    <row r="27" spans="1:10" s="1" customFormat="1">
      <c r="A27" s="10"/>
      <c r="B27" s="37"/>
      <c r="C27" s="9"/>
      <c r="D27" s="16">
        <f>249.31</f>
        <v>249.31</v>
      </c>
      <c r="E27" s="17" t="s">
        <v>14</v>
      </c>
      <c r="F27" s="26">
        <f>5.8</f>
        <v>5.8</v>
      </c>
      <c r="G27" s="22" t="s">
        <v>50</v>
      </c>
      <c r="H27" s="46">
        <f>247.5</f>
        <v>247.5</v>
      </c>
      <c r="I27" s="47" t="s">
        <v>45</v>
      </c>
      <c r="J27" s="48" t="s">
        <v>262</v>
      </c>
    </row>
    <row r="28" spans="1:10" s="1" customFormat="1">
      <c r="A28" s="10"/>
      <c r="B28" s="37"/>
      <c r="C28" s="9"/>
      <c r="D28" s="16"/>
      <c r="E28" s="17"/>
      <c r="F28" s="26">
        <f>65.5</f>
        <v>65.5</v>
      </c>
      <c r="G28" s="22" t="s">
        <v>43</v>
      </c>
      <c r="H28" s="30">
        <f>14.53</f>
        <v>14.53</v>
      </c>
      <c r="I28" s="6" t="s">
        <v>15</v>
      </c>
    </row>
    <row r="29" spans="1:10" s="1" customFormat="1">
      <c r="A29" s="10"/>
      <c r="B29" s="37"/>
      <c r="C29" s="9"/>
      <c r="D29" s="16"/>
      <c r="E29" s="17"/>
      <c r="F29" s="26"/>
      <c r="G29" s="22"/>
      <c r="H29" s="30"/>
      <c r="I29" s="6"/>
    </row>
    <row r="30" spans="1:10" s="1" customFormat="1">
      <c r="A30" s="10"/>
      <c r="B30" s="37"/>
      <c r="C30" s="9" t="s">
        <v>65</v>
      </c>
      <c r="D30" s="16"/>
      <c r="E30" s="17"/>
      <c r="F30" s="26"/>
      <c r="G30" s="22"/>
      <c r="H30" s="30">
        <f>117.48</f>
        <v>117.48</v>
      </c>
      <c r="I30" s="6" t="s">
        <v>243</v>
      </c>
    </row>
    <row r="31" spans="1:10" s="1" customFormat="1">
      <c r="A31" s="10"/>
      <c r="B31" s="37"/>
      <c r="C31" s="9"/>
      <c r="D31" s="16"/>
      <c r="E31" s="17"/>
      <c r="F31" s="26"/>
      <c r="G31" s="22"/>
      <c r="H31" s="30">
        <f>99</f>
        <v>99</v>
      </c>
      <c r="I31" s="6" t="s">
        <v>240</v>
      </c>
    </row>
    <row r="32" spans="1:10" s="1" customFormat="1">
      <c r="A32" s="10"/>
      <c r="B32" s="37"/>
      <c r="C32" s="9"/>
      <c r="D32" s="16"/>
      <c r="E32" s="17"/>
      <c r="F32" s="26"/>
      <c r="G32" s="22"/>
      <c r="H32" s="30"/>
      <c r="I32" s="6"/>
    </row>
    <row r="33" spans="1:9" s="1" customFormat="1">
      <c r="A33" s="10"/>
      <c r="B33" s="37"/>
      <c r="C33" s="9" t="s">
        <v>12</v>
      </c>
      <c r="D33" s="16"/>
      <c r="E33" s="17"/>
      <c r="F33" s="26"/>
      <c r="G33" s="22"/>
      <c r="H33" s="30">
        <f>99</f>
        <v>99</v>
      </c>
      <c r="I33" s="6" t="s">
        <v>240</v>
      </c>
    </row>
    <row r="34" spans="1:9" s="1" customFormat="1">
      <c r="A34" s="10"/>
      <c r="B34" s="37"/>
      <c r="C34" s="9"/>
      <c r="D34" s="16"/>
      <c r="E34" s="17"/>
      <c r="F34" s="26"/>
      <c r="G34" s="22"/>
      <c r="H34" s="30"/>
      <c r="I34" s="6"/>
    </row>
    <row r="35" spans="1:9" s="1" customFormat="1">
      <c r="A35" s="10"/>
      <c r="B35" s="37"/>
      <c r="C35" s="9" t="s">
        <v>10</v>
      </c>
      <c r="D35" s="16"/>
      <c r="E35" s="17"/>
      <c r="F35" s="26"/>
      <c r="G35" s="22"/>
      <c r="H35" s="30">
        <v>99</v>
      </c>
      <c r="I35" s="6" t="s">
        <v>240</v>
      </c>
    </row>
    <row r="36" spans="1:9" s="1" customFormat="1">
      <c r="A36" s="10"/>
      <c r="B36" s="37"/>
      <c r="C36" s="9"/>
      <c r="D36" s="16"/>
      <c r="E36" s="17"/>
      <c r="F36" s="26"/>
      <c r="G36" s="22"/>
      <c r="H36" s="30"/>
      <c r="I36" s="6"/>
    </row>
    <row r="37" spans="1:9" s="1" customFormat="1">
      <c r="A37" s="10"/>
      <c r="B37" s="37"/>
      <c r="C37" s="9" t="s">
        <v>11</v>
      </c>
      <c r="D37" s="16"/>
      <c r="E37" s="17"/>
      <c r="F37" s="26"/>
      <c r="G37" s="22"/>
      <c r="H37" s="30">
        <f>99</f>
        <v>99</v>
      </c>
      <c r="I37" s="6" t="s">
        <v>240</v>
      </c>
    </row>
    <row r="38" spans="1:9" s="1" customFormat="1">
      <c r="A38" s="10"/>
      <c r="B38" s="37"/>
      <c r="C38" s="9"/>
      <c r="D38" s="16"/>
      <c r="E38" s="17"/>
      <c r="F38" s="26"/>
      <c r="G38" s="22"/>
      <c r="H38" s="30"/>
      <c r="I38" s="6"/>
    </row>
    <row r="39" spans="1:9" s="1" customFormat="1">
      <c r="A39" s="11" t="s">
        <v>4</v>
      </c>
      <c r="B39" s="10"/>
      <c r="C39" s="10"/>
      <c r="D39" s="18">
        <f>SUM(D2:D38)</f>
        <v>1599.78</v>
      </c>
      <c r="E39" s="6"/>
      <c r="F39" s="27">
        <f>SUM(F2:F38)</f>
        <v>390.6</v>
      </c>
      <c r="G39" s="23"/>
      <c r="H39" s="31">
        <f>SUM(H2:H38)</f>
        <v>3726.86</v>
      </c>
      <c r="I39" s="2"/>
    </row>
    <row r="40" spans="1:9" s="1" customFormat="1" ht="15.75" thickBot="1">
      <c r="A40" s="12" t="s">
        <v>5</v>
      </c>
      <c r="B40" s="34">
        <f>SUM(D39+F39+H39)</f>
        <v>5717.24</v>
      </c>
      <c r="C40" s="33"/>
      <c r="D40" s="19"/>
      <c r="E40" s="20"/>
      <c r="F40" s="28"/>
      <c r="G40" s="24"/>
      <c r="H40" s="32"/>
      <c r="I40" s="3"/>
    </row>
    <row r="41" spans="1:9" s="1" customFormat="1">
      <c r="A41" s="43" t="s">
        <v>246</v>
      </c>
      <c r="B41" s="8" t="s">
        <v>149</v>
      </c>
      <c r="C41" s="8" t="s">
        <v>231</v>
      </c>
      <c r="D41" s="14">
        <f>65.85</f>
        <v>65.849999999999994</v>
      </c>
      <c r="E41" s="15" t="s">
        <v>16</v>
      </c>
      <c r="F41" s="25">
        <f>3</f>
        <v>3</v>
      </c>
      <c r="G41" s="21" t="s">
        <v>31</v>
      </c>
      <c r="H41" s="29">
        <f>584.47+1195.96</f>
        <v>1780.43</v>
      </c>
      <c r="I41" s="5" t="s">
        <v>67</v>
      </c>
    </row>
    <row r="42" spans="1:9" s="1" customFormat="1">
      <c r="A42" s="10"/>
      <c r="B42" s="37" t="s">
        <v>27</v>
      </c>
      <c r="C42" s="9"/>
      <c r="D42" s="16">
        <f>8+26.06</f>
        <v>34.06</v>
      </c>
      <c r="E42" s="17" t="s">
        <v>14</v>
      </c>
      <c r="F42" s="26">
        <f>24+71+50</f>
        <v>145</v>
      </c>
      <c r="G42" s="22" t="s">
        <v>32</v>
      </c>
      <c r="H42" s="30">
        <f>2235</f>
        <v>2235</v>
      </c>
      <c r="I42" s="6" t="s">
        <v>45</v>
      </c>
    </row>
    <row r="43" spans="1:9" s="1" customFormat="1">
      <c r="A43" s="10"/>
      <c r="B43" s="37"/>
      <c r="C43" s="9"/>
      <c r="D43" s="16">
        <f>174.83</f>
        <v>174.83</v>
      </c>
      <c r="E43" s="17" t="s">
        <v>247</v>
      </c>
      <c r="F43" s="26"/>
      <c r="G43" s="22"/>
      <c r="H43" s="30">
        <f>106</f>
        <v>106</v>
      </c>
      <c r="I43" s="6" t="s">
        <v>15</v>
      </c>
    </row>
    <row r="44" spans="1:9" s="1" customFormat="1">
      <c r="A44" s="10"/>
      <c r="B44" s="37"/>
      <c r="C44" s="9"/>
      <c r="D44" s="16"/>
      <c r="E44" s="17"/>
      <c r="F44" s="26"/>
      <c r="G44" s="22"/>
      <c r="H44" s="30"/>
      <c r="I44" s="6"/>
    </row>
    <row r="45" spans="1:9" s="1" customFormat="1">
      <c r="A45" s="11" t="s">
        <v>4</v>
      </c>
      <c r="B45" s="10"/>
      <c r="C45" s="10"/>
      <c r="D45" s="18">
        <f>SUM(D41:D44)</f>
        <v>274.74</v>
      </c>
      <c r="E45" s="6"/>
      <c r="F45" s="27">
        <f>SUM(F41:F44)</f>
        <v>148</v>
      </c>
      <c r="G45" s="23"/>
      <c r="H45" s="31">
        <f>SUM(H41:H44)</f>
        <v>4121.43</v>
      </c>
      <c r="I45" s="2"/>
    </row>
    <row r="46" spans="1:9" s="1" customFormat="1" ht="15.75" thickBot="1">
      <c r="A46" s="12" t="s">
        <v>5</v>
      </c>
      <c r="B46" s="34">
        <f>SUM(D45+F45+H45)</f>
        <v>4544.17</v>
      </c>
      <c r="C46" s="33"/>
      <c r="D46" s="19"/>
      <c r="E46" s="20"/>
      <c r="F46" s="28"/>
      <c r="G46" s="24"/>
      <c r="H46" s="32"/>
      <c r="I46" s="3"/>
    </row>
    <row r="47" spans="1:9" s="1" customFormat="1">
      <c r="A47" s="43" t="s">
        <v>241</v>
      </c>
      <c r="B47" s="8" t="s">
        <v>222</v>
      </c>
      <c r="C47" s="8" t="s">
        <v>242</v>
      </c>
      <c r="D47" s="14"/>
      <c r="E47" s="15"/>
      <c r="F47" s="25"/>
      <c r="G47" s="21"/>
      <c r="H47" s="29">
        <f>654.94</f>
        <v>654.94000000000005</v>
      </c>
      <c r="I47" s="5" t="s">
        <v>67</v>
      </c>
    </row>
    <row r="48" spans="1:9" s="1" customFormat="1">
      <c r="A48" s="10"/>
      <c r="B48" s="37" t="s">
        <v>27</v>
      </c>
      <c r="C48" s="9"/>
      <c r="D48" s="16"/>
      <c r="E48" s="17"/>
      <c r="F48" s="26"/>
      <c r="G48" s="22"/>
      <c r="H48" s="30">
        <f>338.7</f>
        <v>338.7</v>
      </c>
      <c r="I48" s="6" t="s">
        <v>45</v>
      </c>
    </row>
    <row r="49" spans="1:9" s="1" customFormat="1">
      <c r="A49" s="10"/>
      <c r="B49" s="37"/>
      <c r="C49" s="9"/>
      <c r="D49" s="16"/>
      <c r="E49" s="17"/>
      <c r="F49" s="26"/>
      <c r="G49" s="22"/>
      <c r="H49" s="30"/>
      <c r="I49" s="6"/>
    </row>
    <row r="50" spans="1:9" s="1" customFormat="1">
      <c r="A50" s="11" t="s">
        <v>4</v>
      </c>
      <c r="B50" s="10"/>
      <c r="C50" s="10"/>
      <c r="D50" s="18">
        <f>SUM(D47:D48)</f>
        <v>0</v>
      </c>
      <c r="E50" s="6"/>
      <c r="F50" s="27">
        <f>SUM(F47:F48)</f>
        <v>0</v>
      </c>
      <c r="G50" s="23"/>
      <c r="H50" s="31">
        <f>SUM(H47:H49)</f>
        <v>993.6400000000001</v>
      </c>
      <c r="I50" s="2"/>
    </row>
    <row r="51" spans="1:9" s="1" customFormat="1" ht="15.75" thickBot="1">
      <c r="A51" s="12" t="s">
        <v>5</v>
      </c>
      <c r="B51" s="34">
        <f>SUM(D50+F50+H50)</f>
        <v>993.6400000000001</v>
      </c>
      <c r="C51" s="33"/>
      <c r="D51" s="19"/>
      <c r="E51" s="20"/>
      <c r="F51" s="28"/>
      <c r="G51" s="24"/>
      <c r="H51" s="32"/>
      <c r="I51" s="3"/>
    </row>
    <row r="52" spans="1:9" s="1" customFormat="1">
      <c r="A52" s="43" t="s">
        <v>244</v>
      </c>
      <c r="B52" s="8" t="s">
        <v>79</v>
      </c>
      <c r="C52" s="8" t="s">
        <v>12</v>
      </c>
      <c r="D52" s="14">
        <f>879</f>
        <v>879</v>
      </c>
      <c r="E52" s="15" t="s">
        <v>16</v>
      </c>
      <c r="F52" s="26">
        <f>95+86+43</f>
        <v>224</v>
      </c>
      <c r="G52" s="22" t="s">
        <v>32</v>
      </c>
      <c r="H52" s="29">
        <f>1664</f>
        <v>1664</v>
      </c>
      <c r="I52" s="5" t="s">
        <v>67</v>
      </c>
    </row>
    <row r="53" spans="1:9" s="1" customFormat="1">
      <c r="A53" s="10"/>
      <c r="B53" s="37" t="s">
        <v>27</v>
      </c>
      <c r="C53" s="9"/>
      <c r="D53" s="16">
        <f>66.39+379.6</f>
        <v>445.99</v>
      </c>
      <c r="E53" s="17" t="s">
        <v>14</v>
      </c>
      <c r="F53" s="26"/>
      <c r="G53" s="22"/>
      <c r="H53" s="30">
        <f>510+420</f>
        <v>930</v>
      </c>
      <c r="I53" s="6" t="s">
        <v>45</v>
      </c>
    </row>
    <row r="54" spans="1:9" s="1" customFormat="1">
      <c r="A54" s="10"/>
      <c r="B54" s="37"/>
      <c r="C54" s="9"/>
      <c r="D54" s="16">
        <f>178.5</f>
        <v>178.5</v>
      </c>
      <c r="E54" s="17" t="s">
        <v>29</v>
      </c>
      <c r="F54" s="26"/>
      <c r="G54" s="22"/>
      <c r="H54" s="30">
        <f>55+15</f>
        <v>70</v>
      </c>
      <c r="I54" s="6" t="s">
        <v>15</v>
      </c>
    </row>
    <row r="55" spans="1:9" s="1" customFormat="1">
      <c r="A55" s="10"/>
      <c r="B55" s="37"/>
      <c r="C55" s="9"/>
      <c r="D55" s="16"/>
      <c r="E55" s="17"/>
      <c r="F55" s="26"/>
      <c r="G55" s="22"/>
      <c r="H55" s="30"/>
      <c r="I55" s="6"/>
    </row>
    <row r="56" spans="1:9" s="1" customFormat="1">
      <c r="A56" s="11" t="s">
        <v>4</v>
      </c>
      <c r="B56" s="10"/>
      <c r="C56" s="10"/>
      <c r="D56" s="18">
        <f>SUM(D52:D55)</f>
        <v>1503.49</v>
      </c>
      <c r="E56" s="6"/>
      <c r="F56" s="27">
        <f>SUM(F52:F55)</f>
        <v>224</v>
      </c>
      <c r="G56" s="23"/>
      <c r="H56" s="31">
        <f>SUM(H52:H55)</f>
        <v>2664</v>
      </c>
      <c r="I56" s="2"/>
    </row>
    <row r="57" spans="1:9" s="1" customFormat="1" ht="15.75" thickBot="1">
      <c r="A57" s="12" t="s">
        <v>5</v>
      </c>
      <c r="B57" s="34">
        <f>SUM(D56+F56+H56)</f>
        <v>4391.49</v>
      </c>
      <c r="C57" s="33"/>
      <c r="D57" s="19"/>
      <c r="E57" s="20"/>
      <c r="F57" s="28"/>
      <c r="G57" s="24"/>
      <c r="H57" s="32"/>
      <c r="I57" s="3"/>
    </row>
    <row r="58" spans="1:9" s="1" customFormat="1">
      <c r="A58" s="43">
        <v>41801</v>
      </c>
      <c r="B58" s="8" t="s">
        <v>237</v>
      </c>
      <c r="C58" s="8" t="s">
        <v>194</v>
      </c>
      <c r="D58" s="14">
        <f>109.5</f>
        <v>109.5</v>
      </c>
      <c r="E58" s="15" t="s">
        <v>16</v>
      </c>
      <c r="F58" s="25"/>
      <c r="G58" s="21"/>
      <c r="H58" s="29">
        <f>128+128</f>
        <v>256</v>
      </c>
      <c r="I58" s="5" t="s">
        <v>32</v>
      </c>
    </row>
    <row r="59" spans="1:9" s="1" customFormat="1">
      <c r="A59" s="10"/>
      <c r="B59" s="37" t="s">
        <v>147</v>
      </c>
      <c r="C59" s="9"/>
      <c r="D59" s="16">
        <f>10</f>
        <v>10</v>
      </c>
      <c r="E59" s="17" t="s">
        <v>14</v>
      </c>
      <c r="F59" s="26"/>
      <c r="G59" s="22"/>
      <c r="H59" s="30">
        <f>80</f>
        <v>80</v>
      </c>
      <c r="I59" s="6" t="s">
        <v>45</v>
      </c>
    </row>
    <row r="60" spans="1:9" s="1" customFormat="1">
      <c r="A60" s="10"/>
      <c r="B60" s="37"/>
      <c r="C60" s="9"/>
      <c r="D60" s="16"/>
      <c r="E60" s="17"/>
      <c r="F60" s="26"/>
      <c r="G60" s="22"/>
      <c r="H60" s="30"/>
      <c r="I60" s="6"/>
    </row>
    <row r="61" spans="1:9" s="1" customFormat="1">
      <c r="A61" s="10"/>
      <c r="B61" s="37"/>
      <c r="C61" s="9" t="s">
        <v>76</v>
      </c>
      <c r="D61" s="16">
        <f>34.5+34</f>
        <v>68.5</v>
      </c>
      <c r="E61" s="17" t="s">
        <v>16</v>
      </c>
      <c r="F61" s="26">
        <f>3</f>
        <v>3</v>
      </c>
      <c r="G61" s="22" t="s">
        <v>31</v>
      </c>
      <c r="H61" s="30">
        <f>116+116</f>
        <v>232</v>
      </c>
      <c r="I61" s="6" t="s">
        <v>32</v>
      </c>
    </row>
    <row r="62" spans="1:9" s="1" customFormat="1">
      <c r="A62" s="10"/>
      <c r="B62" s="37"/>
      <c r="C62" s="9"/>
      <c r="D62" s="16">
        <f>9+7+11.5</f>
        <v>27.5</v>
      </c>
      <c r="E62" s="17" t="s">
        <v>14</v>
      </c>
      <c r="F62" s="26"/>
      <c r="G62" s="22"/>
      <c r="H62" s="30">
        <f>90</f>
        <v>90</v>
      </c>
      <c r="I62" s="6" t="s">
        <v>45</v>
      </c>
    </row>
    <row r="63" spans="1:9" s="1" customFormat="1">
      <c r="A63" s="10"/>
      <c r="B63" s="37"/>
      <c r="C63" s="9"/>
      <c r="D63" s="16"/>
      <c r="E63" s="17"/>
      <c r="F63" s="26"/>
      <c r="G63" s="22"/>
      <c r="H63" s="30">
        <f>2</f>
        <v>2</v>
      </c>
      <c r="I63" s="6" t="s">
        <v>15</v>
      </c>
    </row>
    <row r="64" spans="1:9" s="1" customFormat="1">
      <c r="A64" s="10"/>
      <c r="B64" s="37"/>
      <c r="C64" s="9"/>
      <c r="D64" s="16"/>
      <c r="E64" s="17"/>
      <c r="F64" s="26"/>
      <c r="G64" s="22"/>
      <c r="H64" s="30"/>
      <c r="I64" s="6"/>
    </row>
    <row r="65" spans="1:9" s="1" customFormat="1">
      <c r="A65" s="10"/>
      <c r="B65" s="37"/>
      <c r="C65" s="9" t="s">
        <v>196</v>
      </c>
      <c r="D65" s="16"/>
      <c r="E65" s="17"/>
      <c r="F65" s="26"/>
      <c r="G65" s="22"/>
      <c r="H65" s="30">
        <f>128+128</f>
        <v>256</v>
      </c>
      <c r="I65" s="6" t="s">
        <v>32</v>
      </c>
    </row>
    <row r="66" spans="1:9" s="1" customFormat="1">
      <c r="A66" s="10"/>
      <c r="B66" s="37"/>
      <c r="C66" s="9"/>
      <c r="D66" s="16"/>
      <c r="E66" s="17"/>
      <c r="F66" s="26"/>
      <c r="G66" s="22"/>
      <c r="H66" s="30">
        <f>80</f>
        <v>80</v>
      </c>
      <c r="I66" s="6" t="s">
        <v>45</v>
      </c>
    </row>
    <row r="67" spans="1:9" s="1" customFormat="1">
      <c r="A67" s="10"/>
      <c r="B67" s="37"/>
      <c r="C67" s="9"/>
      <c r="D67" s="16"/>
      <c r="E67" s="17"/>
      <c r="F67" s="26"/>
      <c r="G67" s="22"/>
      <c r="H67" s="30"/>
      <c r="I67" s="6"/>
    </row>
    <row r="68" spans="1:9" s="1" customFormat="1">
      <c r="A68" s="11" t="s">
        <v>4</v>
      </c>
      <c r="B68" s="10"/>
      <c r="C68" s="10"/>
      <c r="D68" s="18">
        <f>SUM(D58:D67)</f>
        <v>215.5</v>
      </c>
      <c r="E68" s="6"/>
      <c r="F68" s="27">
        <f>SUM(F58:F67)</f>
        <v>3</v>
      </c>
      <c r="G68" s="23"/>
      <c r="H68" s="31">
        <f>SUM(H58:H67)</f>
        <v>996</v>
      </c>
      <c r="I68" s="2"/>
    </row>
    <row r="69" spans="1:9" s="1" customFormat="1" ht="15.75" thickBot="1">
      <c r="A69" s="12" t="s">
        <v>5</v>
      </c>
      <c r="B69" s="34">
        <f>SUM(D68+F68+H68)</f>
        <v>1214.5</v>
      </c>
      <c r="C69" s="33"/>
      <c r="D69" s="19"/>
      <c r="E69" s="20"/>
      <c r="F69" s="28"/>
      <c r="G69" s="24"/>
      <c r="H69" s="32"/>
      <c r="I69" s="3"/>
    </row>
    <row r="70" spans="1:9" s="1" customFormat="1">
      <c r="A70" s="43" t="s">
        <v>238</v>
      </c>
      <c r="B70" s="8" t="s">
        <v>239</v>
      </c>
      <c r="C70" s="8" t="s">
        <v>135</v>
      </c>
      <c r="D70" s="14">
        <f>32.5</f>
        <v>32.5</v>
      </c>
      <c r="E70" s="15" t="s">
        <v>16</v>
      </c>
      <c r="F70" s="25">
        <f>10.4</f>
        <v>10.4</v>
      </c>
      <c r="G70" s="21" t="s">
        <v>43</v>
      </c>
      <c r="H70" s="29">
        <f>116+116</f>
        <v>232</v>
      </c>
      <c r="I70" s="5" t="s">
        <v>32</v>
      </c>
    </row>
    <row r="71" spans="1:9" s="1" customFormat="1">
      <c r="A71" s="10"/>
      <c r="B71" s="37" t="s">
        <v>147</v>
      </c>
      <c r="C71" s="9"/>
      <c r="D71" s="16">
        <f>25</f>
        <v>25</v>
      </c>
      <c r="E71" s="17" t="s">
        <v>14</v>
      </c>
      <c r="F71" s="26"/>
      <c r="G71" s="22"/>
      <c r="H71" s="30">
        <f>480</f>
        <v>480</v>
      </c>
      <c r="I71" s="6" t="s">
        <v>45</v>
      </c>
    </row>
    <row r="72" spans="1:9" s="1" customFormat="1">
      <c r="A72" s="10"/>
      <c r="B72" s="37"/>
      <c r="C72" s="9"/>
      <c r="D72" s="16"/>
      <c r="E72" s="17"/>
      <c r="F72" s="26"/>
      <c r="G72" s="22"/>
      <c r="H72" s="30"/>
      <c r="I72" s="6"/>
    </row>
    <row r="73" spans="1:9" s="1" customFormat="1">
      <c r="A73" s="10"/>
      <c r="B73" s="37"/>
      <c r="C73" s="9" t="s">
        <v>9</v>
      </c>
      <c r="D73" s="16">
        <f>13.45</f>
        <v>13.45</v>
      </c>
      <c r="E73" s="17" t="s">
        <v>107</v>
      </c>
      <c r="F73" s="26"/>
      <c r="G73" s="22"/>
      <c r="H73" s="30">
        <f>276</f>
        <v>276</v>
      </c>
      <c r="I73" s="6" t="s">
        <v>259</v>
      </c>
    </row>
    <row r="74" spans="1:9" s="1" customFormat="1">
      <c r="A74" s="10"/>
      <c r="B74" s="37"/>
      <c r="C74" s="9"/>
      <c r="D74" s="16">
        <f>75.6</f>
        <v>75.599999999999994</v>
      </c>
      <c r="E74" s="17" t="s">
        <v>14</v>
      </c>
      <c r="F74" s="26"/>
      <c r="G74" s="22"/>
      <c r="H74" s="30">
        <f>480</f>
        <v>480</v>
      </c>
      <c r="I74" s="6" t="s">
        <v>45</v>
      </c>
    </row>
    <row r="75" spans="1:9" s="1" customFormat="1">
      <c r="A75" s="10"/>
      <c r="B75" s="37"/>
      <c r="C75" s="9"/>
      <c r="D75" s="16"/>
      <c r="E75" s="17"/>
      <c r="F75" s="26"/>
      <c r="G75" s="22"/>
      <c r="H75" s="30">
        <f>6</f>
        <v>6</v>
      </c>
      <c r="I75" s="6" t="s">
        <v>15</v>
      </c>
    </row>
    <row r="76" spans="1:9" s="1" customFormat="1">
      <c r="A76" s="10"/>
      <c r="B76" s="37"/>
      <c r="C76" s="9"/>
      <c r="D76" s="16"/>
      <c r="E76" s="17"/>
      <c r="F76" s="26"/>
      <c r="G76" s="22"/>
      <c r="H76" s="30"/>
      <c r="I76" s="6"/>
    </row>
    <row r="77" spans="1:9" s="1" customFormat="1">
      <c r="A77" s="10"/>
      <c r="B77" s="37"/>
      <c r="C77" s="9" t="s">
        <v>77</v>
      </c>
      <c r="D77" s="16">
        <f>111.4</f>
        <v>111.4</v>
      </c>
      <c r="E77" s="17" t="s">
        <v>16</v>
      </c>
      <c r="F77" s="26">
        <f>86</f>
        <v>86</v>
      </c>
      <c r="G77" s="22" t="s">
        <v>253</v>
      </c>
      <c r="H77" s="30">
        <f>1610.35+23.48</f>
        <v>1633.83</v>
      </c>
      <c r="I77" s="6" t="s">
        <v>67</v>
      </c>
    </row>
    <row r="78" spans="1:9" s="1" customFormat="1">
      <c r="A78" s="10"/>
      <c r="B78" s="37"/>
      <c r="C78" s="9"/>
      <c r="D78" s="16">
        <f>118.08+46</f>
        <v>164.07999999999998</v>
      </c>
      <c r="E78" s="17" t="s">
        <v>14</v>
      </c>
      <c r="F78" s="26"/>
      <c r="G78" s="22"/>
      <c r="H78" s="30">
        <f>640+160-640+160-160+640</f>
        <v>800</v>
      </c>
      <c r="I78" s="6" t="s">
        <v>44</v>
      </c>
    </row>
    <row r="79" spans="1:9" s="1" customFormat="1">
      <c r="A79" s="10"/>
      <c r="B79" s="37"/>
      <c r="C79" s="9"/>
      <c r="D79" s="16"/>
      <c r="E79" s="17"/>
      <c r="F79" s="26"/>
      <c r="G79" s="22"/>
      <c r="H79" s="30">
        <v>33</v>
      </c>
      <c r="I79" s="6" t="s">
        <v>15</v>
      </c>
    </row>
    <row r="80" spans="1:9" s="1" customFormat="1">
      <c r="A80" s="10"/>
      <c r="B80" s="37"/>
      <c r="C80" s="9"/>
      <c r="D80" s="16"/>
      <c r="E80" s="17"/>
      <c r="F80" s="26"/>
      <c r="G80" s="22"/>
      <c r="H80" s="30"/>
      <c r="I80" s="6"/>
    </row>
    <row r="81" spans="1:9" s="1" customFormat="1">
      <c r="A81" s="10"/>
      <c r="B81" s="37"/>
      <c r="C81" s="9" t="s">
        <v>76</v>
      </c>
      <c r="D81" s="16">
        <f>67+28+44+13.2+167+8.1</f>
        <v>327.3</v>
      </c>
      <c r="E81" s="17" t="s">
        <v>16</v>
      </c>
      <c r="F81" s="26"/>
      <c r="G81" s="22"/>
      <c r="H81" s="30">
        <f>232</f>
        <v>232</v>
      </c>
      <c r="I81" s="6" t="s">
        <v>32</v>
      </c>
    </row>
    <row r="82" spans="1:9" s="1" customFormat="1">
      <c r="A82" s="10"/>
      <c r="B82" s="37"/>
      <c r="C82" s="9"/>
      <c r="D82" s="16">
        <f>7+20+32.5+11+15+10+10+15+8+6.2+2+18+17+10+38</f>
        <v>219.7</v>
      </c>
      <c r="E82" s="17" t="s">
        <v>14</v>
      </c>
      <c r="F82" s="26"/>
      <c r="G82" s="22"/>
      <c r="H82" s="30">
        <v>480</v>
      </c>
      <c r="I82" s="6" t="s">
        <v>45</v>
      </c>
    </row>
    <row r="83" spans="1:9" s="1" customFormat="1">
      <c r="A83" s="10"/>
      <c r="B83" s="37"/>
      <c r="C83" s="9"/>
      <c r="D83" s="16"/>
      <c r="E83" s="17"/>
      <c r="F83" s="26"/>
      <c r="G83" s="22"/>
      <c r="H83" s="30">
        <f>9</f>
        <v>9</v>
      </c>
      <c r="I83" s="6" t="s">
        <v>15</v>
      </c>
    </row>
    <row r="84" spans="1:9" s="1" customFormat="1">
      <c r="A84" s="10"/>
      <c r="B84" s="37"/>
      <c r="C84" s="9"/>
      <c r="D84" s="16"/>
      <c r="E84" s="17"/>
      <c r="F84" s="26"/>
      <c r="G84" s="22"/>
      <c r="H84" s="30"/>
      <c r="I84" s="6"/>
    </row>
    <row r="85" spans="1:9" s="1" customFormat="1">
      <c r="A85" s="11" t="s">
        <v>4</v>
      </c>
      <c r="B85" s="10"/>
      <c r="C85" s="10"/>
      <c r="D85" s="18">
        <f>SUM(D70:D84)</f>
        <v>969.03</v>
      </c>
      <c r="E85" s="6"/>
      <c r="F85" s="27">
        <f>SUM(F70:F84)</f>
        <v>96.4</v>
      </c>
      <c r="G85" s="23"/>
      <c r="H85" s="31">
        <f>SUM(H70:H84)</f>
        <v>4661.83</v>
      </c>
      <c r="I85" s="2"/>
    </row>
    <row r="86" spans="1:9" s="1" customFormat="1" ht="15.75" thickBot="1">
      <c r="A86" s="12" t="s">
        <v>5</v>
      </c>
      <c r="B86" s="34">
        <f>SUM(D85+F85+H85)</f>
        <v>5727.26</v>
      </c>
      <c r="C86" s="33"/>
      <c r="D86" s="19"/>
      <c r="E86" s="20"/>
      <c r="F86" s="28"/>
      <c r="G86" s="24"/>
      <c r="H86" s="32"/>
      <c r="I86" s="3"/>
    </row>
    <row r="87" spans="1:9" s="1" customFormat="1">
      <c r="A87" s="43" t="s">
        <v>260</v>
      </c>
      <c r="B87" s="8" t="s">
        <v>222</v>
      </c>
      <c r="C87" s="8" t="s">
        <v>77</v>
      </c>
      <c r="D87" s="14">
        <f>54.5</f>
        <v>54.5</v>
      </c>
      <c r="E87" s="15" t="s">
        <v>16</v>
      </c>
      <c r="F87" s="25"/>
      <c r="G87" s="21"/>
      <c r="H87" s="29">
        <f>280</f>
        <v>280</v>
      </c>
      <c r="I87" s="5" t="s">
        <v>45</v>
      </c>
    </row>
    <row r="88" spans="1:9" s="1" customFormat="1">
      <c r="A88" s="10"/>
      <c r="B88" s="37" t="s">
        <v>27</v>
      </c>
      <c r="C88" s="9"/>
      <c r="D88" s="16">
        <f>117.64+111.7</f>
        <v>229.34</v>
      </c>
      <c r="E88" s="17" t="s">
        <v>14</v>
      </c>
      <c r="F88" s="26"/>
      <c r="G88" s="22"/>
      <c r="H88" s="30"/>
      <c r="I88" s="6"/>
    </row>
    <row r="89" spans="1:9" s="1" customFormat="1">
      <c r="A89" s="10"/>
      <c r="B89" s="37"/>
      <c r="C89" s="9"/>
      <c r="D89" s="16"/>
      <c r="E89" s="17"/>
      <c r="F89" s="26"/>
      <c r="G89" s="22"/>
      <c r="H89" s="30"/>
      <c r="I89" s="6"/>
    </row>
    <row r="90" spans="1:9" s="1" customFormat="1">
      <c r="A90" s="11" t="s">
        <v>4</v>
      </c>
      <c r="B90" s="10"/>
      <c r="C90" s="10"/>
      <c r="D90" s="18">
        <f>SUM(D87:D89)</f>
        <v>283.84000000000003</v>
      </c>
      <c r="E90" s="6"/>
      <c r="F90" s="27">
        <f>SUM(F87:F88)</f>
        <v>0</v>
      </c>
      <c r="G90" s="23"/>
      <c r="H90" s="31">
        <f>SUM(H87:H89)</f>
        <v>280</v>
      </c>
      <c r="I90" s="2"/>
    </row>
    <row r="91" spans="1:9" s="1" customFormat="1" ht="15.75" thickBot="1">
      <c r="A91" s="12" t="s">
        <v>5</v>
      </c>
      <c r="B91" s="34">
        <f>SUM(D90+F90+H90)</f>
        <v>563.84</v>
      </c>
      <c r="C91" s="33"/>
      <c r="D91" s="19"/>
      <c r="E91" s="20"/>
      <c r="F91" s="28"/>
      <c r="G91" s="24"/>
      <c r="H91" s="32"/>
      <c r="I91" s="3"/>
    </row>
    <row r="92" spans="1:9" s="1" customFormat="1">
      <c r="A92" s="43" t="s">
        <v>238</v>
      </c>
      <c r="B92" s="8" t="s">
        <v>149</v>
      </c>
      <c r="C92" s="8" t="s">
        <v>49</v>
      </c>
      <c r="D92" s="14"/>
      <c r="E92" s="15"/>
      <c r="F92" s="25"/>
      <c r="G92" s="21"/>
      <c r="H92" s="29">
        <f>544.39</f>
        <v>544.39</v>
      </c>
      <c r="I92" s="5" t="s">
        <v>67</v>
      </c>
    </row>
    <row r="93" spans="1:9" s="1" customFormat="1">
      <c r="A93" s="10"/>
      <c r="B93" s="37" t="s">
        <v>48</v>
      </c>
      <c r="C93" s="9"/>
      <c r="D93" s="16"/>
      <c r="E93" s="17"/>
      <c r="F93" s="26"/>
      <c r="G93" s="22"/>
      <c r="H93" s="30"/>
      <c r="I93" s="6"/>
    </row>
    <row r="94" spans="1:9" s="1" customFormat="1">
      <c r="A94" s="10"/>
      <c r="B94" s="37"/>
      <c r="C94" s="9" t="s">
        <v>57</v>
      </c>
      <c r="D94" s="16"/>
      <c r="E94" s="17"/>
      <c r="F94" s="26"/>
      <c r="G94" s="22"/>
      <c r="H94" s="30">
        <f>544.39</f>
        <v>544.39</v>
      </c>
      <c r="I94" s="6" t="s">
        <v>67</v>
      </c>
    </row>
    <row r="95" spans="1:9" s="1" customFormat="1">
      <c r="A95" s="10"/>
      <c r="B95" s="37"/>
      <c r="C95" s="9"/>
      <c r="D95" s="16"/>
      <c r="E95" s="17"/>
      <c r="F95" s="26"/>
      <c r="G95" s="22"/>
      <c r="H95" s="30"/>
      <c r="I95" s="6"/>
    </row>
    <row r="96" spans="1:9" s="1" customFormat="1">
      <c r="A96" s="11" t="s">
        <v>4</v>
      </c>
      <c r="B96" s="10"/>
      <c r="C96" s="10"/>
      <c r="D96" s="18">
        <f>SUM(D92:D93)</f>
        <v>0</v>
      </c>
      <c r="E96" s="6"/>
      <c r="F96" s="27">
        <f>SUM(F92:F93)</f>
        <v>0</v>
      </c>
      <c r="G96" s="23"/>
      <c r="H96" s="31">
        <f>SUM(H92:H95)</f>
        <v>1088.78</v>
      </c>
      <c r="I96" s="2"/>
    </row>
    <row r="97" spans="1:9" s="1" customFormat="1" ht="15.75" thickBot="1">
      <c r="A97" s="12" t="s">
        <v>5</v>
      </c>
      <c r="B97" s="34">
        <f>SUM(D96+F96+H96)</f>
        <v>1088.78</v>
      </c>
      <c r="C97" s="33"/>
      <c r="D97" s="19"/>
      <c r="E97" s="20"/>
      <c r="F97" s="28"/>
      <c r="G97" s="24"/>
      <c r="H97" s="32"/>
      <c r="I97" s="3"/>
    </row>
    <row r="98" spans="1:9" s="1" customFormat="1">
      <c r="A98" s="43" t="s">
        <v>252</v>
      </c>
      <c r="B98" s="8" t="s">
        <v>55</v>
      </c>
      <c r="C98" s="8" t="s">
        <v>70</v>
      </c>
      <c r="D98" s="14"/>
      <c r="E98" s="15"/>
      <c r="F98" s="25"/>
      <c r="G98" s="21"/>
      <c r="H98" s="29">
        <f>224.88+206.89+228.6+0.03-224.88</f>
        <v>435.52</v>
      </c>
      <c r="I98" s="5" t="s">
        <v>45</v>
      </c>
    </row>
    <row r="99" spans="1:9" s="1" customFormat="1">
      <c r="A99" s="10"/>
      <c r="B99" s="37" t="s">
        <v>223</v>
      </c>
      <c r="C99" s="9"/>
      <c r="D99" s="16"/>
      <c r="E99" s="17"/>
      <c r="F99" s="26"/>
      <c r="G99" s="22"/>
      <c r="H99" s="30"/>
      <c r="I99" s="6"/>
    </row>
    <row r="100" spans="1:9" s="1" customFormat="1">
      <c r="A100" s="10"/>
      <c r="B100" s="37" t="s">
        <v>208</v>
      </c>
      <c r="C100" s="9" t="s">
        <v>71</v>
      </c>
      <c r="D100" s="16"/>
      <c r="E100" s="17"/>
      <c r="F100" s="26"/>
      <c r="G100" s="22"/>
      <c r="H100" s="30">
        <f>224.88+206.89+224.88-224.88</f>
        <v>431.77</v>
      </c>
      <c r="I100" s="6" t="s">
        <v>45</v>
      </c>
    </row>
    <row r="101" spans="1:9" s="1" customFormat="1">
      <c r="A101" s="10"/>
      <c r="B101" s="37"/>
      <c r="C101" s="9"/>
      <c r="D101" s="16"/>
      <c r="E101" s="17"/>
      <c r="F101" s="26"/>
      <c r="G101" s="22"/>
      <c r="H101" s="30"/>
      <c r="I101" s="6"/>
    </row>
    <row r="102" spans="1:9" s="1" customFormat="1">
      <c r="A102" s="11" t="s">
        <v>4</v>
      </c>
      <c r="B102" s="10"/>
      <c r="C102" s="10"/>
      <c r="D102" s="18">
        <f>SUM(D98:D99)</f>
        <v>0</v>
      </c>
      <c r="E102" s="6"/>
      <c r="F102" s="27">
        <f>SUM(F98:F99)</f>
        <v>0</v>
      </c>
      <c r="G102" s="23"/>
      <c r="H102" s="31">
        <f>SUM(H98:H101)</f>
        <v>867.29</v>
      </c>
      <c r="I102" s="2"/>
    </row>
    <row r="103" spans="1:9" s="1" customFormat="1" ht="15.75" thickBot="1">
      <c r="A103" s="12" t="s">
        <v>5</v>
      </c>
      <c r="B103" s="34">
        <f>SUM(D102+F102+H102)</f>
        <v>867.29</v>
      </c>
      <c r="C103" s="33"/>
      <c r="D103" s="19"/>
      <c r="E103" s="20"/>
      <c r="F103" s="28"/>
      <c r="G103" s="24"/>
      <c r="H103" s="32"/>
      <c r="I103" s="3"/>
    </row>
    <row r="104" spans="1:9" s="1" customFormat="1">
      <c r="A104" s="43" t="s">
        <v>250</v>
      </c>
      <c r="B104" s="8" t="s">
        <v>79</v>
      </c>
      <c r="C104" s="8" t="s">
        <v>20</v>
      </c>
      <c r="D104" s="14">
        <f>32</f>
        <v>32</v>
      </c>
      <c r="E104" s="15" t="s">
        <v>16</v>
      </c>
      <c r="F104" s="25">
        <f>1.95</f>
        <v>1.95</v>
      </c>
      <c r="G104" s="21" t="s">
        <v>50</v>
      </c>
      <c r="H104" s="29">
        <f>290.35</f>
        <v>290.35000000000002</v>
      </c>
      <c r="I104" s="5" t="s">
        <v>67</v>
      </c>
    </row>
    <row r="105" spans="1:9" s="1" customFormat="1">
      <c r="A105" s="10"/>
      <c r="B105" s="37" t="s">
        <v>27</v>
      </c>
      <c r="C105" s="9"/>
      <c r="D105" s="16">
        <f>114.65</f>
        <v>114.65</v>
      </c>
      <c r="E105" s="17" t="s">
        <v>14</v>
      </c>
      <c r="F105" s="26">
        <v>4.5</v>
      </c>
      <c r="G105" s="22" t="s">
        <v>31</v>
      </c>
      <c r="H105" s="30"/>
      <c r="I105" s="6"/>
    </row>
    <row r="106" spans="1:9" s="1" customFormat="1">
      <c r="A106" s="10"/>
      <c r="B106" s="37"/>
      <c r="C106" s="9"/>
      <c r="D106" s="16"/>
      <c r="E106" s="17"/>
      <c r="F106" s="26">
        <v>12</v>
      </c>
      <c r="G106" s="22" t="s">
        <v>32</v>
      </c>
      <c r="H106" s="30"/>
      <c r="I106" s="6"/>
    </row>
    <row r="107" spans="1:9" s="1" customFormat="1">
      <c r="A107" s="10"/>
      <c r="B107" s="37"/>
      <c r="C107" s="9"/>
      <c r="D107" s="16"/>
      <c r="E107" s="17"/>
      <c r="F107" s="26"/>
      <c r="G107" s="22"/>
      <c r="H107" s="30"/>
      <c r="I107" s="6"/>
    </row>
    <row r="108" spans="1:9" s="1" customFormat="1">
      <c r="A108" s="11" t="s">
        <v>4</v>
      </c>
      <c r="B108" s="10"/>
      <c r="C108" s="10"/>
      <c r="D108" s="18">
        <f>SUM(D104:D107)</f>
        <v>146.65</v>
      </c>
      <c r="E108" s="6"/>
      <c r="F108" s="27">
        <f>SUM(F104:F107)</f>
        <v>18.45</v>
      </c>
      <c r="G108" s="23"/>
      <c r="H108" s="31">
        <f>SUM(H104:H107)</f>
        <v>290.35000000000002</v>
      </c>
      <c r="I108" s="2"/>
    </row>
    <row r="109" spans="1:9" s="1" customFormat="1" ht="15.75" thickBot="1">
      <c r="A109" s="12" t="s">
        <v>5</v>
      </c>
      <c r="B109" s="34">
        <f>SUM(D108+F108+H108)</f>
        <v>455.45000000000005</v>
      </c>
      <c r="C109" s="33"/>
      <c r="D109" s="19"/>
      <c r="E109" s="20"/>
      <c r="F109" s="28"/>
      <c r="G109" s="24"/>
      <c r="H109" s="32"/>
      <c r="I109" s="3"/>
    </row>
    <row r="110" spans="1:9" s="1" customFormat="1">
      <c r="A110" s="43" t="s">
        <v>248</v>
      </c>
      <c r="B110" s="8" t="s">
        <v>55</v>
      </c>
      <c r="C110" s="8" t="s">
        <v>39</v>
      </c>
      <c r="D110" s="14">
        <f>54.2+9.15</f>
        <v>63.35</v>
      </c>
      <c r="E110" s="15" t="s">
        <v>16</v>
      </c>
      <c r="F110" s="25">
        <f>42.3</f>
        <v>42.3</v>
      </c>
      <c r="G110" s="21" t="s">
        <v>42</v>
      </c>
      <c r="H110" s="29">
        <f>624.09</f>
        <v>624.09</v>
      </c>
      <c r="I110" s="5" t="s">
        <v>67</v>
      </c>
    </row>
    <row r="111" spans="1:9" s="1" customFormat="1">
      <c r="A111" s="10"/>
      <c r="B111" s="37" t="s">
        <v>229</v>
      </c>
      <c r="C111" s="9"/>
      <c r="D111" s="16"/>
      <c r="E111" s="17"/>
      <c r="F111" s="26">
        <f>40.04</f>
        <v>40.04</v>
      </c>
      <c r="G111" s="22" t="s">
        <v>43</v>
      </c>
      <c r="H111" s="30">
        <f>142.45+142.45-142.45</f>
        <v>142.44999999999999</v>
      </c>
      <c r="I111" s="6" t="s">
        <v>45</v>
      </c>
    </row>
    <row r="112" spans="1:9" s="1" customFormat="1">
      <c r="A112" s="10"/>
      <c r="B112" s="37"/>
      <c r="C112" s="9"/>
      <c r="D112" s="16"/>
      <c r="E112" s="17"/>
      <c r="F112" s="26">
        <f>4.6</f>
        <v>4.5999999999999996</v>
      </c>
      <c r="G112" s="22" t="s">
        <v>50</v>
      </c>
      <c r="H112" s="30">
        <f>3.43</f>
        <v>3.43</v>
      </c>
      <c r="I112" s="6" t="s">
        <v>15</v>
      </c>
    </row>
    <row r="113" spans="1:9" s="1" customFormat="1">
      <c r="A113" s="10"/>
      <c r="B113" s="37"/>
      <c r="C113" s="9"/>
      <c r="D113" s="16"/>
      <c r="E113" s="17"/>
      <c r="F113" s="26"/>
      <c r="G113" s="22"/>
      <c r="H113" s="30"/>
      <c r="I113" s="6"/>
    </row>
    <row r="114" spans="1:9" s="1" customFormat="1">
      <c r="A114" s="10"/>
      <c r="B114" s="37"/>
      <c r="C114" s="9" t="s">
        <v>71</v>
      </c>
      <c r="D114" s="16"/>
      <c r="E114" s="17"/>
      <c r="F114" s="26">
        <f>21.32</f>
        <v>21.32</v>
      </c>
      <c r="G114" s="22" t="s">
        <v>42</v>
      </c>
      <c r="H114" s="30">
        <f>624.09</f>
        <v>624.09</v>
      </c>
      <c r="I114" s="6" t="s">
        <v>67</v>
      </c>
    </row>
    <row r="115" spans="1:9" s="1" customFormat="1">
      <c r="A115" s="10"/>
      <c r="B115" s="37"/>
      <c r="C115" s="9"/>
      <c r="D115" s="16"/>
      <c r="E115" s="17"/>
      <c r="F115" s="26">
        <f>3.3+4.6</f>
        <v>7.8999999999999995</v>
      </c>
      <c r="G115" s="22" t="s">
        <v>50</v>
      </c>
      <c r="H115" s="30">
        <f>142.45+36+142.45-142.45</f>
        <v>178.45</v>
      </c>
      <c r="I115" s="6" t="s">
        <v>254</v>
      </c>
    </row>
    <row r="116" spans="1:9" s="1" customFormat="1">
      <c r="A116" s="10"/>
      <c r="B116" s="37"/>
      <c r="C116" s="9"/>
      <c r="D116" s="16"/>
      <c r="E116" s="17"/>
      <c r="F116" s="26">
        <f>59</f>
        <v>59</v>
      </c>
      <c r="G116" s="22" t="s">
        <v>43</v>
      </c>
      <c r="H116" s="30">
        <f>88.8</f>
        <v>88.8</v>
      </c>
      <c r="I116" s="6" t="s">
        <v>15</v>
      </c>
    </row>
    <row r="117" spans="1:9" s="1" customFormat="1">
      <c r="A117" s="10"/>
      <c r="B117" s="37"/>
      <c r="C117" s="9"/>
      <c r="D117" s="16"/>
      <c r="E117" s="17"/>
      <c r="F117" s="26"/>
      <c r="G117" s="22"/>
      <c r="H117" s="30"/>
      <c r="I117" s="6"/>
    </row>
    <row r="118" spans="1:9" s="1" customFormat="1">
      <c r="A118" s="11" t="s">
        <v>4</v>
      </c>
      <c r="B118" s="10"/>
      <c r="C118" s="10"/>
      <c r="D118" s="18">
        <f>SUM(D110:D117)</f>
        <v>63.35</v>
      </c>
      <c r="E118" s="6"/>
      <c r="F118" s="27">
        <f>SUM(F110:F117)</f>
        <v>175.16</v>
      </c>
      <c r="G118" s="23"/>
      <c r="H118" s="31">
        <f>SUM(H110:H117)</f>
        <v>1661.31</v>
      </c>
      <c r="I118" s="2"/>
    </row>
    <row r="119" spans="1:9" s="1" customFormat="1" ht="15.75" thickBot="1">
      <c r="A119" s="12" t="s">
        <v>5</v>
      </c>
      <c r="B119" s="34">
        <f>SUM(D118+F118+H118)</f>
        <v>1899.82</v>
      </c>
      <c r="C119" s="33"/>
      <c r="D119" s="19"/>
      <c r="E119" s="20"/>
      <c r="F119" s="28"/>
      <c r="G119" s="24"/>
      <c r="H119" s="32"/>
      <c r="I119" s="3"/>
    </row>
    <row r="120" spans="1:9" s="1" customFormat="1">
      <c r="A120" s="43" t="s">
        <v>255</v>
      </c>
      <c r="B120" s="8" t="s">
        <v>79</v>
      </c>
      <c r="C120" s="8" t="s">
        <v>160</v>
      </c>
      <c r="D120" s="14">
        <f>129.5</f>
        <v>129.5</v>
      </c>
      <c r="E120" s="15" t="s">
        <v>16</v>
      </c>
      <c r="F120" s="25"/>
      <c r="G120" s="21"/>
      <c r="H120" s="29">
        <f>116+100</f>
        <v>216</v>
      </c>
      <c r="I120" s="5" t="s">
        <v>32</v>
      </c>
    </row>
    <row r="121" spans="1:9" s="1" customFormat="1">
      <c r="A121" s="10"/>
      <c r="B121" s="37" t="s">
        <v>147</v>
      </c>
      <c r="C121" s="9"/>
      <c r="D121" s="16">
        <f>58</f>
        <v>58</v>
      </c>
      <c r="E121" s="17" t="s">
        <v>14</v>
      </c>
      <c r="F121" s="26"/>
      <c r="G121" s="22"/>
      <c r="H121" s="30">
        <f>75.6</f>
        <v>75.599999999999994</v>
      </c>
      <c r="I121" s="6" t="s">
        <v>45</v>
      </c>
    </row>
    <row r="122" spans="1:9" s="1" customFormat="1">
      <c r="A122" s="10"/>
      <c r="B122" s="37"/>
      <c r="C122" s="9"/>
      <c r="D122" s="16"/>
      <c r="E122" s="17"/>
      <c r="F122" s="26"/>
      <c r="G122" s="22"/>
      <c r="H122" s="30"/>
      <c r="I122" s="6"/>
    </row>
    <row r="123" spans="1:9" s="1" customFormat="1">
      <c r="A123" s="10"/>
      <c r="B123" s="37"/>
      <c r="C123" s="9" t="s">
        <v>256</v>
      </c>
      <c r="D123" s="16"/>
      <c r="E123" s="17"/>
      <c r="F123" s="26"/>
      <c r="G123" s="22"/>
      <c r="H123" s="30">
        <f>116+100</f>
        <v>216</v>
      </c>
      <c r="I123" s="6" t="s">
        <v>32</v>
      </c>
    </row>
    <row r="124" spans="1:9" s="1" customFormat="1">
      <c r="A124" s="10"/>
      <c r="B124" s="37"/>
      <c r="C124" s="9"/>
      <c r="D124" s="16"/>
      <c r="E124" s="17"/>
      <c r="F124" s="26"/>
      <c r="G124" s="22"/>
      <c r="H124" s="30">
        <f>75.6</f>
        <v>75.599999999999994</v>
      </c>
      <c r="I124" s="6" t="s">
        <v>45</v>
      </c>
    </row>
    <row r="125" spans="1:9" s="1" customFormat="1">
      <c r="A125" s="10"/>
      <c r="B125" s="37"/>
      <c r="C125" s="9"/>
      <c r="D125" s="16"/>
      <c r="E125" s="17"/>
      <c r="F125" s="26"/>
      <c r="G125" s="22"/>
      <c r="H125" s="30"/>
      <c r="I125" s="6"/>
    </row>
    <row r="126" spans="1:9" s="1" customFormat="1">
      <c r="A126" s="11" t="s">
        <v>4</v>
      </c>
      <c r="B126" s="10"/>
      <c r="C126" s="10"/>
      <c r="D126" s="18">
        <f>SUM(D120:D125)</f>
        <v>187.5</v>
      </c>
      <c r="E126" s="6"/>
      <c r="F126" s="27">
        <f>SUM(F120:F121)</f>
        <v>0</v>
      </c>
      <c r="G126" s="23"/>
      <c r="H126" s="31">
        <f>SUM(H120:H125)</f>
        <v>583.20000000000005</v>
      </c>
      <c r="I126" s="2"/>
    </row>
    <row r="127" spans="1:9" s="1" customFormat="1" ht="15.75" thickBot="1">
      <c r="A127" s="12" t="s">
        <v>5</v>
      </c>
      <c r="B127" s="34">
        <f>SUM(D126+F126+H126)</f>
        <v>770.7</v>
      </c>
      <c r="C127" s="33"/>
      <c r="D127" s="19"/>
      <c r="E127" s="20"/>
      <c r="F127" s="28"/>
      <c r="G127" s="24"/>
      <c r="H127" s="32"/>
      <c r="I127" s="3"/>
    </row>
    <row r="128" spans="1:9" s="1" customFormat="1">
      <c r="A128" s="43" t="s">
        <v>251</v>
      </c>
      <c r="B128" s="8" t="s">
        <v>55</v>
      </c>
      <c r="C128" s="8" t="s">
        <v>20</v>
      </c>
      <c r="D128" s="14">
        <f>7.5+18.31+33.63</f>
        <v>59.44</v>
      </c>
      <c r="E128" s="15" t="s">
        <v>16</v>
      </c>
      <c r="F128" s="25">
        <f>5.1</f>
        <v>5.0999999999999996</v>
      </c>
      <c r="G128" s="21" t="s">
        <v>32</v>
      </c>
      <c r="H128" s="29">
        <f>3312.79</f>
        <v>3312.79</v>
      </c>
      <c r="I128" s="5" t="s">
        <v>67</v>
      </c>
    </row>
    <row r="129" spans="1:11" s="1" customFormat="1">
      <c r="A129" s="10"/>
      <c r="B129" s="37" t="s">
        <v>181</v>
      </c>
      <c r="C129" s="9"/>
      <c r="D129" s="16">
        <f>120.15+8.6</f>
        <v>128.75</v>
      </c>
      <c r="E129" s="17" t="s">
        <v>14</v>
      </c>
      <c r="F129" s="26">
        <f>3.9</f>
        <v>3.9</v>
      </c>
      <c r="G129" s="22" t="s">
        <v>50</v>
      </c>
      <c r="H129" s="30">
        <f>673.79</f>
        <v>673.79</v>
      </c>
      <c r="I129" s="6" t="s">
        <v>81</v>
      </c>
    </row>
    <row r="130" spans="1:11" s="1" customFormat="1">
      <c r="A130" s="10"/>
      <c r="B130" s="37"/>
      <c r="C130" s="9"/>
      <c r="D130" s="16">
        <f>16.33+28.85</f>
        <v>45.18</v>
      </c>
      <c r="E130" s="17" t="s">
        <v>29</v>
      </c>
      <c r="F130" s="26">
        <v>1.3</v>
      </c>
      <c r="G130" s="22" t="s">
        <v>43</v>
      </c>
      <c r="H130" s="30"/>
      <c r="I130" s="6"/>
    </row>
    <row r="131" spans="1:11" s="1" customFormat="1">
      <c r="A131" s="10"/>
      <c r="B131" s="37"/>
      <c r="C131" s="9"/>
      <c r="D131" s="16"/>
      <c r="E131" s="17"/>
      <c r="F131" s="26"/>
      <c r="G131" s="22"/>
      <c r="H131" s="30"/>
      <c r="I131" s="6"/>
    </row>
    <row r="132" spans="1:11" s="1" customFormat="1">
      <c r="A132" s="11" t="s">
        <v>4</v>
      </c>
      <c r="B132" s="10"/>
      <c r="C132" s="10"/>
      <c r="D132" s="18">
        <f>SUM(D128:D131)</f>
        <v>233.37</v>
      </c>
      <c r="E132" s="6"/>
      <c r="F132" s="27">
        <f>SUM(F128:F131)</f>
        <v>10.3</v>
      </c>
      <c r="G132" s="23"/>
      <c r="H132" s="31">
        <f>SUM(H128:H131)</f>
        <v>3986.58</v>
      </c>
      <c r="I132" s="2"/>
    </row>
    <row r="133" spans="1:11" s="1" customFormat="1" ht="15.75" thickBot="1">
      <c r="A133" s="12" t="s">
        <v>5</v>
      </c>
      <c r="B133" s="34">
        <f>SUM(D132+F132+H132)</f>
        <v>4230.25</v>
      </c>
      <c r="C133" s="33"/>
      <c r="D133" s="19"/>
      <c r="E133" s="20"/>
      <c r="F133" s="28"/>
      <c r="G133" s="24"/>
      <c r="H133" s="32"/>
      <c r="I133" s="3"/>
    </row>
    <row r="134" spans="1:11" ht="15.75" thickBot="1">
      <c r="J134" s="1"/>
      <c r="K134" s="40"/>
    </row>
    <row r="135" spans="1:11" ht="20.25" thickBot="1">
      <c r="A135" s="35" t="s">
        <v>8</v>
      </c>
      <c r="B135" s="36">
        <f>SUM(B133,B127,B119,B109,B103,B97,B91,B86,B69,B57,B51,B46,B40)</f>
        <v>32464.429999999993</v>
      </c>
      <c r="J135" s="1"/>
      <c r="K135" s="40"/>
    </row>
    <row r="136" spans="1:11">
      <c r="J136" s="1"/>
      <c r="K136" s="41"/>
    </row>
    <row r="137" spans="1:11">
      <c r="J137" s="1"/>
      <c r="K137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2"/>
  <sheetViews>
    <sheetView topLeftCell="A88" workbookViewId="0">
      <selection activeCell="H105" sqref="H105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 t="s">
        <v>268</v>
      </c>
      <c r="B2" s="8" t="s">
        <v>55</v>
      </c>
      <c r="C2" s="8" t="s">
        <v>12</v>
      </c>
      <c r="D2" s="14">
        <f>34.37</f>
        <v>34.369999999999997</v>
      </c>
      <c r="E2" s="15" t="s">
        <v>16</v>
      </c>
      <c r="F2" s="25"/>
      <c r="G2" s="21"/>
      <c r="H2" s="29">
        <f>855.3</f>
        <v>855.3</v>
      </c>
      <c r="I2" s="5" t="s">
        <v>67</v>
      </c>
    </row>
    <row r="3" spans="1:9" s="1" customFormat="1">
      <c r="A3" s="10"/>
      <c r="B3" s="37" t="s">
        <v>84</v>
      </c>
      <c r="C3" s="9"/>
      <c r="D3" s="16">
        <f>77.06</f>
        <v>77.06</v>
      </c>
      <c r="E3" s="17" t="s">
        <v>14</v>
      </c>
      <c r="F3" s="26"/>
      <c r="G3" s="22"/>
      <c r="H3" s="30">
        <f>281.02</f>
        <v>281.02</v>
      </c>
      <c r="I3" s="6" t="s">
        <v>45</v>
      </c>
    </row>
    <row r="4" spans="1:9" s="1" customFormat="1">
      <c r="A4" s="10"/>
      <c r="B4" s="37"/>
      <c r="C4" s="9"/>
      <c r="D4" s="16"/>
      <c r="E4" s="17"/>
      <c r="F4" s="26"/>
      <c r="G4" s="22"/>
      <c r="H4" s="30">
        <f>399.14</f>
        <v>399.14</v>
      </c>
      <c r="I4" s="6" t="s">
        <v>15</v>
      </c>
    </row>
    <row r="5" spans="1:9" s="1" customFormat="1">
      <c r="A5" s="10"/>
      <c r="B5" s="37"/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11</v>
      </c>
      <c r="D6" s="16">
        <f>12.81+6.87</f>
        <v>19.68</v>
      </c>
      <c r="E6" s="17" t="s">
        <v>16</v>
      </c>
      <c r="F6" s="26"/>
      <c r="G6" s="22"/>
      <c r="H6" s="30">
        <f>855.3</f>
        <v>855.3</v>
      </c>
      <c r="I6" s="6" t="s">
        <v>67</v>
      </c>
    </row>
    <row r="7" spans="1:9" s="1" customFormat="1">
      <c r="A7" s="10"/>
      <c r="B7" s="37"/>
      <c r="C7" s="9"/>
      <c r="D7" s="16">
        <f>32.76</f>
        <v>32.76</v>
      </c>
      <c r="E7" s="17" t="s">
        <v>14</v>
      </c>
      <c r="F7" s="26"/>
      <c r="G7" s="22"/>
      <c r="H7" s="30">
        <f>281.02</f>
        <v>281.02</v>
      </c>
      <c r="I7" s="6" t="s">
        <v>45</v>
      </c>
    </row>
    <row r="8" spans="1:9" s="1" customFormat="1">
      <c r="A8" s="10"/>
      <c r="B8" s="37"/>
      <c r="C8" s="9"/>
      <c r="D8" s="16"/>
      <c r="E8" s="17"/>
      <c r="F8" s="26"/>
      <c r="G8" s="22"/>
      <c r="H8" s="30">
        <f>213.11</f>
        <v>213.11</v>
      </c>
      <c r="I8" s="6" t="s">
        <v>15</v>
      </c>
    </row>
    <row r="9" spans="1:9" s="1" customFormat="1">
      <c r="A9" s="10"/>
      <c r="B9" s="37"/>
      <c r="C9" s="9"/>
      <c r="D9" s="16"/>
      <c r="E9" s="17"/>
      <c r="F9" s="26"/>
      <c r="G9" s="22"/>
      <c r="H9" s="30"/>
      <c r="I9" s="6"/>
    </row>
    <row r="10" spans="1:9" s="1" customFormat="1">
      <c r="A10" s="11" t="s">
        <v>4</v>
      </c>
      <c r="B10" s="10"/>
      <c r="C10" s="10"/>
      <c r="D10" s="18">
        <f>SUM(D2:D9)</f>
        <v>163.87</v>
      </c>
      <c r="E10" s="6"/>
      <c r="F10" s="27">
        <f>SUM(F2:F3)</f>
        <v>0</v>
      </c>
      <c r="G10" s="23"/>
      <c r="H10" s="31">
        <f>SUM(H2:H9)</f>
        <v>2884.8900000000003</v>
      </c>
      <c r="I10" s="2"/>
    </row>
    <row r="11" spans="1:9" s="1" customFormat="1" ht="15.75" thickBot="1">
      <c r="A11" s="12" t="s">
        <v>5</v>
      </c>
      <c r="B11" s="34">
        <f>SUM(D10+F10+H10)</f>
        <v>3048.76</v>
      </c>
      <c r="C11" s="33"/>
      <c r="D11" s="19"/>
      <c r="E11" s="20"/>
      <c r="F11" s="28"/>
      <c r="G11" s="24"/>
      <c r="H11" s="32"/>
      <c r="I11" s="3"/>
    </row>
    <row r="12" spans="1:9" s="1" customFormat="1">
      <c r="A12" s="43" t="s">
        <v>267</v>
      </c>
      <c r="B12" s="8" t="s">
        <v>55</v>
      </c>
      <c r="C12" s="8" t="s">
        <v>12</v>
      </c>
      <c r="D12" s="14">
        <f>108.65</f>
        <v>108.65</v>
      </c>
      <c r="E12" s="15" t="s">
        <v>16</v>
      </c>
      <c r="F12" s="25"/>
      <c r="G12" s="21"/>
      <c r="H12" s="29">
        <f>266.43</f>
        <v>266.43</v>
      </c>
      <c r="I12" s="5" t="s">
        <v>67</v>
      </c>
    </row>
    <row r="13" spans="1:9" s="1" customFormat="1">
      <c r="A13" s="10"/>
      <c r="B13" s="37" t="s">
        <v>199</v>
      </c>
      <c r="C13" s="9"/>
      <c r="D13" s="16">
        <f>60.35</f>
        <v>60.35</v>
      </c>
      <c r="E13" s="17" t="s">
        <v>14</v>
      </c>
      <c r="F13" s="26"/>
      <c r="G13" s="22"/>
      <c r="H13" s="30">
        <f>133.37</f>
        <v>133.37</v>
      </c>
      <c r="I13" s="6" t="s">
        <v>45</v>
      </c>
    </row>
    <row r="14" spans="1:9" s="1" customFormat="1">
      <c r="A14" s="10"/>
      <c r="B14" s="37"/>
      <c r="C14" s="9"/>
      <c r="D14" s="16"/>
      <c r="E14" s="17"/>
      <c r="F14" s="26"/>
      <c r="G14" s="22"/>
      <c r="H14" s="30">
        <f>62.67</f>
        <v>62.67</v>
      </c>
      <c r="I14" s="6" t="s">
        <v>15</v>
      </c>
    </row>
    <row r="15" spans="1:9" s="1" customFormat="1">
      <c r="A15" s="10"/>
      <c r="B15" s="37"/>
      <c r="C15" s="9"/>
      <c r="D15" s="16"/>
      <c r="E15" s="17"/>
      <c r="F15" s="26"/>
      <c r="G15" s="22"/>
      <c r="H15" s="30"/>
      <c r="I15" s="6"/>
    </row>
    <row r="16" spans="1:9" s="1" customFormat="1">
      <c r="A16" s="10"/>
      <c r="B16" s="37"/>
      <c r="C16" s="9" t="s">
        <v>11</v>
      </c>
      <c r="D16" s="16">
        <f>9.51</f>
        <v>9.51</v>
      </c>
      <c r="E16" s="17" t="s">
        <v>16</v>
      </c>
      <c r="F16" s="26"/>
      <c r="G16" s="22"/>
      <c r="H16" s="30">
        <f>266.43</f>
        <v>266.43</v>
      </c>
      <c r="I16" s="6" t="s">
        <v>67</v>
      </c>
    </row>
    <row r="17" spans="1:9" s="1" customFormat="1">
      <c r="A17" s="10"/>
      <c r="B17" s="37"/>
      <c r="C17" s="9"/>
      <c r="D17" s="16">
        <f>48.51+18.14</f>
        <v>66.650000000000006</v>
      </c>
      <c r="E17" s="17" t="s">
        <v>14</v>
      </c>
      <c r="F17" s="26"/>
      <c r="G17" s="22"/>
      <c r="H17" s="30">
        <f>133.37</f>
        <v>133.37</v>
      </c>
      <c r="I17" s="6" t="s">
        <v>45</v>
      </c>
    </row>
    <row r="18" spans="1:9" s="1" customFormat="1">
      <c r="A18" s="10"/>
      <c r="B18" s="37"/>
      <c r="C18" s="9"/>
      <c r="D18" s="16"/>
      <c r="E18" s="17"/>
      <c r="F18" s="26"/>
      <c r="G18" s="22"/>
      <c r="H18" s="30">
        <f>113.2</f>
        <v>113.2</v>
      </c>
      <c r="I18" s="6" t="s">
        <v>15</v>
      </c>
    </row>
    <row r="19" spans="1:9" s="1" customFormat="1">
      <c r="A19" s="10"/>
      <c r="B19" s="37"/>
      <c r="C19" s="9"/>
      <c r="D19" s="16"/>
      <c r="E19" s="17"/>
      <c r="F19" s="26"/>
      <c r="G19" s="22"/>
      <c r="H19" s="30"/>
      <c r="I19" s="6"/>
    </row>
    <row r="20" spans="1:9" s="1" customFormat="1">
      <c r="A20" s="11" t="s">
        <v>4</v>
      </c>
      <c r="B20" s="10"/>
      <c r="C20" s="10"/>
      <c r="D20" s="18">
        <f>SUM(D12:D19)</f>
        <v>245.16</v>
      </c>
      <c r="E20" s="6"/>
      <c r="F20" s="27">
        <f>SUM(F12:F19)</f>
        <v>0</v>
      </c>
      <c r="G20" s="23"/>
      <c r="H20" s="31">
        <f>SUM(H12:H19)</f>
        <v>975.47000000000014</v>
      </c>
      <c r="I20" s="2"/>
    </row>
    <row r="21" spans="1:9" s="1" customFormat="1" ht="15.75" thickBot="1">
      <c r="A21" s="12" t="s">
        <v>5</v>
      </c>
      <c r="B21" s="34">
        <f>SUM(D20+F20+H20)</f>
        <v>1220.6300000000001</v>
      </c>
      <c r="C21" s="33"/>
      <c r="D21" s="19"/>
      <c r="E21" s="20"/>
      <c r="F21" s="28"/>
      <c r="G21" s="24"/>
      <c r="H21" s="32"/>
      <c r="I21" s="3"/>
    </row>
    <row r="22" spans="1:9" s="1" customFormat="1">
      <c r="A22" s="43" t="s">
        <v>273</v>
      </c>
      <c r="B22" s="8" t="s">
        <v>55</v>
      </c>
      <c r="C22" s="8" t="s">
        <v>57</v>
      </c>
      <c r="D22" s="14">
        <f>11.9+23.89</f>
        <v>35.79</v>
      </c>
      <c r="E22" s="15" t="s">
        <v>16</v>
      </c>
      <c r="F22" s="25">
        <f>24</f>
        <v>24</v>
      </c>
      <c r="G22" s="21" t="s">
        <v>32</v>
      </c>
      <c r="H22" s="29">
        <f>586.65</f>
        <v>586.65</v>
      </c>
      <c r="I22" s="5" t="s">
        <v>67</v>
      </c>
    </row>
    <row r="23" spans="1:9" s="1" customFormat="1">
      <c r="A23" s="10"/>
      <c r="B23" s="37" t="s">
        <v>38</v>
      </c>
      <c r="C23" s="9"/>
      <c r="D23" s="16">
        <f>5.21</f>
        <v>5.21</v>
      </c>
      <c r="E23" s="17" t="s">
        <v>14</v>
      </c>
      <c r="F23" s="26">
        <f>3</f>
        <v>3</v>
      </c>
      <c r="G23" s="22" t="s">
        <v>31</v>
      </c>
      <c r="H23" s="30">
        <f>434.29+373.94-373.94</f>
        <v>434.29</v>
      </c>
      <c r="I23" s="6" t="s">
        <v>25</v>
      </c>
    </row>
    <row r="24" spans="1:9" s="1" customFormat="1">
      <c r="A24" s="10"/>
      <c r="B24" s="37"/>
      <c r="C24" s="9"/>
      <c r="D24" s="16">
        <f>25.72</f>
        <v>25.72</v>
      </c>
      <c r="E24" s="17" t="s">
        <v>29</v>
      </c>
      <c r="F24" s="26"/>
      <c r="G24" s="22"/>
      <c r="H24" s="30"/>
      <c r="I24" s="6"/>
    </row>
    <row r="25" spans="1:9" s="1" customFormat="1">
      <c r="A25" s="10"/>
      <c r="B25" s="37"/>
      <c r="C25" s="9"/>
      <c r="D25" s="16"/>
      <c r="E25" s="17"/>
      <c r="F25" s="26"/>
      <c r="G25" s="22"/>
      <c r="H25" s="30"/>
      <c r="I25" s="6"/>
    </row>
    <row r="26" spans="1:9" s="1" customFormat="1">
      <c r="A26" s="10"/>
      <c r="B26" s="37"/>
      <c r="C26" s="9"/>
      <c r="D26" s="16"/>
      <c r="E26" s="17"/>
      <c r="F26" s="26"/>
      <c r="G26" s="22"/>
      <c r="H26" s="30"/>
      <c r="I26" s="6"/>
    </row>
    <row r="27" spans="1:9" s="1" customFormat="1">
      <c r="A27" s="10"/>
      <c r="B27" s="37"/>
      <c r="C27" s="9"/>
      <c r="D27" s="16"/>
      <c r="E27" s="17"/>
      <c r="F27" s="26"/>
      <c r="G27" s="22"/>
      <c r="H27" s="30"/>
      <c r="I27" s="6"/>
    </row>
    <row r="28" spans="1:9" s="1" customFormat="1">
      <c r="A28" s="10"/>
      <c r="B28" s="37"/>
      <c r="C28" s="9"/>
      <c r="D28" s="16"/>
      <c r="E28" s="17"/>
      <c r="F28" s="26"/>
      <c r="G28" s="22"/>
      <c r="H28" s="30"/>
      <c r="I28" s="6"/>
    </row>
    <row r="29" spans="1:9" s="1" customFormat="1">
      <c r="A29" s="11" t="s">
        <v>4</v>
      </c>
      <c r="B29" s="10"/>
      <c r="C29" s="10"/>
      <c r="D29" s="18">
        <f>SUM(D22:D28)</f>
        <v>66.72</v>
      </c>
      <c r="E29" s="6"/>
      <c r="F29" s="27">
        <f>SUM(F22:F28)</f>
        <v>27</v>
      </c>
      <c r="G29" s="23"/>
      <c r="H29" s="31">
        <f>SUM(H22:H28)</f>
        <v>1020.94</v>
      </c>
      <c r="I29" s="2"/>
    </row>
    <row r="30" spans="1:9" s="1" customFormat="1" ht="15.75" thickBot="1">
      <c r="A30" s="12" t="s">
        <v>5</v>
      </c>
      <c r="B30" s="34">
        <f>SUM(D29+F29+H29)</f>
        <v>1114.6600000000001</v>
      </c>
      <c r="C30" s="33"/>
      <c r="D30" s="19"/>
      <c r="E30" s="20"/>
      <c r="F30" s="28"/>
      <c r="G30" s="24"/>
      <c r="H30" s="32"/>
      <c r="I30" s="3"/>
    </row>
    <row r="31" spans="1:9" s="1" customFormat="1">
      <c r="A31" s="43">
        <v>41830</v>
      </c>
      <c r="B31" s="8" t="s">
        <v>79</v>
      </c>
      <c r="C31" s="8" t="s">
        <v>76</v>
      </c>
      <c r="D31" s="14">
        <f>52</f>
        <v>52</v>
      </c>
      <c r="E31" s="15" t="s">
        <v>14</v>
      </c>
      <c r="F31" s="25">
        <f>74.5+74.5</f>
        <v>149</v>
      </c>
      <c r="G31" s="21" t="s">
        <v>32</v>
      </c>
      <c r="H31" s="29"/>
      <c r="I31" s="5"/>
    </row>
    <row r="32" spans="1:9" s="1" customFormat="1">
      <c r="A32" s="10"/>
      <c r="B32" s="37" t="s">
        <v>147</v>
      </c>
      <c r="C32" s="9"/>
      <c r="D32" s="16"/>
      <c r="E32" s="17"/>
      <c r="F32" s="26"/>
      <c r="G32" s="22"/>
      <c r="H32" s="30"/>
      <c r="I32" s="6"/>
    </row>
    <row r="33" spans="1:9" s="1" customFormat="1">
      <c r="A33" s="10"/>
      <c r="B33" s="37"/>
      <c r="C33" s="9" t="s">
        <v>39</v>
      </c>
      <c r="D33" s="16">
        <f>47.3</f>
        <v>47.3</v>
      </c>
      <c r="E33" s="17" t="s">
        <v>16</v>
      </c>
      <c r="F33" s="26">
        <f>74.5+74.5</f>
        <v>149</v>
      </c>
      <c r="G33" s="22" t="s">
        <v>32</v>
      </c>
      <c r="H33" s="30"/>
      <c r="I33" s="6"/>
    </row>
    <row r="34" spans="1:9" s="1" customFormat="1">
      <c r="A34" s="10"/>
      <c r="B34" s="37"/>
      <c r="C34" s="9"/>
      <c r="D34" s="16"/>
      <c r="E34" s="17"/>
      <c r="F34" s="26"/>
      <c r="G34" s="22"/>
      <c r="H34" s="30"/>
      <c r="I34" s="6"/>
    </row>
    <row r="35" spans="1:9" s="1" customFormat="1">
      <c r="A35" s="11" t="s">
        <v>4</v>
      </c>
      <c r="B35" s="10"/>
      <c r="C35" s="10"/>
      <c r="D35" s="18">
        <f>SUM(D31:D34)</f>
        <v>99.3</v>
      </c>
      <c r="E35" s="6"/>
      <c r="F35" s="27">
        <f>SUM(F31:F34)</f>
        <v>298</v>
      </c>
      <c r="G35" s="23"/>
      <c r="H35" s="31">
        <f>SUM(H31:H34)</f>
        <v>0</v>
      </c>
      <c r="I35" s="2"/>
    </row>
    <row r="36" spans="1:9" s="1" customFormat="1" ht="15.75" thickBot="1">
      <c r="A36" s="12" t="s">
        <v>5</v>
      </c>
      <c r="B36" s="34">
        <f>SUM(D35+F35+H35)</f>
        <v>397.3</v>
      </c>
      <c r="C36" s="33"/>
      <c r="D36" s="19"/>
      <c r="E36" s="20"/>
      <c r="F36" s="28"/>
      <c r="G36" s="24"/>
      <c r="H36" s="32"/>
      <c r="I36" s="3"/>
    </row>
    <row r="37" spans="1:9" s="1" customFormat="1">
      <c r="A37" s="43">
        <v>41831</v>
      </c>
      <c r="B37" s="8" t="s">
        <v>222</v>
      </c>
      <c r="C37" s="8" t="s">
        <v>76</v>
      </c>
      <c r="D37" s="14"/>
      <c r="E37" s="15"/>
      <c r="F37" s="25">
        <f>13.71</f>
        <v>13.71</v>
      </c>
      <c r="G37" s="21" t="s">
        <v>42</v>
      </c>
      <c r="H37" s="29"/>
      <c r="I37" s="5"/>
    </row>
    <row r="38" spans="1:9" s="1" customFormat="1">
      <c r="A38" s="10"/>
      <c r="B38" s="37" t="s">
        <v>272</v>
      </c>
      <c r="C38" s="9"/>
      <c r="D38" s="16"/>
      <c r="E38" s="17"/>
      <c r="F38" s="26">
        <f>8.6</f>
        <v>8.6</v>
      </c>
      <c r="G38" s="22" t="s">
        <v>50</v>
      </c>
      <c r="H38" s="30"/>
      <c r="I38" s="6"/>
    </row>
    <row r="39" spans="1:9" s="1" customFormat="1">
      <c r="A39" s="10"/>
      <c r="B39" s="37"/>
      <c r="C39" s="9"/>
      <c r="D39" s="16"/>
      <c r="E39" s="17"/>
      <c r="F39" s="26"/>
      <c r="G39" s="22"/>
      <c r="H39" s="30"/>
      <c r="I39" s="6"/>
    </row>
    <row r="40" spans="1:9" s="1" customFormat="1">
      <c r="A40" s="10"/>
      <c r="B40" s="37"/>
      <c r="C40" s="9"/>
      <c r="D40" s="16"/>
      <c r="E40" s="17"/>
      <c r="F40" s="26"/>
      <c r="G40" s="22"/>
      <c r="H40" s="30"/>
      <c r="I40" s="6"/>
    </row>
    <row r="41" spans="1:9" s="1" customFormat="1">
      <c r="A41" s="11" t="s">
        <v>4</v>
      </c>
      <c r="B41" s="10"/>
      <c r="C41" s="10"/>
      <c r="D41" s="18">
        <f>SUM(D37:D38)</f>
        <v>0</v>
      </c>
      <c r="E41" s="6"/>
      <c r="F41" s="27">
        <f>SUM(F37:F38)</f>
        <v>22.310000000000002</v>
      </c>
      <c r="G41" s="23"/>
      <c r="H41" s="31">
        <f>SUM(H37:H40)</f>
        <v>0</v>
      </c>
      <c r="I41" s="2"/>
    </row>
    <row r="42" spans="1:9" s="1" customFormat="1" ht="15.75" thickBot="1">
      <c r="A42" s="12" t="s">
        <v>5</v>
      </c>
      <c r="B42" s="34">
        <f>SUM(D41+F41+H41)</f>
        <v>22.310000000000002</v>
      </c>
      <c r="C42" s="33"/>
      <c r="D42" s="19"/>
      <c r="E42" s="20"/>
      <c r="F42" s="28"/>
      <c r="G42" s="24"/>
      <c r="H42" s="32"/>
      <c r="I42" s="3"/>
    </row>
    <row r="43" spans="1:9" s="1" customFormat="1">
      <c r="A43" s="43">
        <v>41831</v>
      </c>
      <c r="B43" s="8" t="s">
        <v>222</v>
      </c>
      <c r="C43" s="8" t="s">
        <v>77</v>
      </c>
      <c r="D43" s="14">
        <f>40.41</f>
        <v>40.409999999999997</v>
      </c>
      <c r="E43" s="15" t="s">
        <v>16</v>
      </c>
      <c r="F43" s="25">
        <f>16.18</f>
        <v>16.18</v>
      </c>
      <c r="G43" s="21" t="s">
        <v>43</v>
      </c>
      <c r="H43" s="29">
        <f>513.93</f>
        <v>513.92999999999995</v>
      </c>
      <c r="I43" s="5" t="s">
        <v>67</v>
      </c>
    </row>
    <row r="44" spans="1:9" s="1" customFormat="1">
      <c r="A44" s="10"/>
      <c r="B44" s="37" t="s">
        <v>17</v>
      </c>
      <c r="C44" s="9"/>
      <c r="D44" s="16">
        <f>51.38</f>
        <v>51.38</v>
      </c>
      <c r="E44" s="17" t="s">
        <v>14</v>
      </c>
      <c r="F44" s="26"/>
      <c r="G44" s="22"/>
      <c r="H44" s="30"/>
      <c r="I44" s="6"/>
    </row>
    <row r="45" spans="1:9" s="1" customFormat="1">
      <c r="A45" s="10"/>
      <c r="B45" s="37"/>
      <c r="C45" s="9"/>
      <c r="D45" s="16"/>
      <c r="E45" s="17"/>
      <c r="F45" s="26"/>
      <c r="G45" s="22"/>
      <c r="H45" s="30"/>
      <c r="I45" s="6"/>
    </row>
    <row r="46" spans="1:9" s="1" customFormat="1">
      <c r="A46" s="10"/>
      <c r="B46" s="37"/>
      <c r="C46" s="9"/>
      <c r="D46" s="16"/>
      <c r="E46" s="17"/>
      <c r="F46" s="26"/>
      <c r="G46" s="22"/>
      <c r="H46" s="30"/>
      <c r="I46" s="6"/>
    </row>
    <row r="47" spans="1:9" s="1" customFormat="1">
      <c r="A47" s="11" t="s">
        <v>4</v>
      </c>
      <c r="B47" s="10"/>
      <c r="C47" s="10"/>
      <c r="D47" s="18">
        <f>SUM(D43:D46)</f>
        <v>91.789999999999992</v>
      </c>
      <c r="E47" s="6"/>
      <c r="F47" s="27">
        <f>SUM(F43:F46)</f>
        <v>16.18</v>
      </c>
      <c r="G47" s="23"/>
      <c r="H47" s="31">
        <f>SUM(H43:H46)</f>
        <v>513.92999999999995</v>
      </c>
      <c r="I47" s="2"/>
    </row>
    <row r="48" spans="1:9" s="1" customFormat="1" ht="15.75" thickBot="1">
      <c r="A48" s="12" t="s">
        <v>5</v>
      </c>
      <c r="B48" s="34">
        <f>SUM(D47+F47+H47)</f>
        <v>621.9</v>
      </c>
      <c r="C48" s="33"/>
      <c r="D48" s="19"/>
      <c r="E48" s="20"/>
      <c r="F48" s="28"/>
      <c r="G48" s="24"/>
      <c r="H48" s="32"/>
      <c r="I48" s="3"/>
    </row>
    <row r="49" spans="1:9" s="1" customFormat="1">
      <c r="A49" s="43" t="s">
        <v>270</v>
      </c>
      <c r="B49" s="8" t="s">
        <v>34</v>
      </c>
      <c r="C49" s="8" t="s">
        <v>20</v>
      </c>
      <c r="D49" s="14">
        <f>4.8+51.92</f>
        <v>56.72</v>
      </c>
      <c r="E49" s="15" t="s">
        <v>16</v>
      </c>
      <c r="F49" s="25">
        <f>2.3</f>
        <v>2.2999999999999998</v>
      </c>
      <c r="G49" s="21" t="s">
        <v>43</v>
      </c>
      <c r="H49" s="29">
        <f>1509.3</f>
        <v>1509.3</v>
      </c>
      <c r="I49" s="5" t="s">
        <v>67</v>
      </c>
    </row>
    <row r="50" spans="1:9" s="1" customFormat="1">
      <c r="A50" s="9"/>
      <c r="B50" s="37" t="s">
        <v>89</v>
      </c>
      <c r="C50" s="9"/>
      <c r="D50" s="16">
        <f>62.8+39.8</f>
        <v>102.6</v>
      </c>
      <c r="E50" s="17" t="s">
        <v>14</v>
      </c>
      <c r="F50" s="26">
        <v>0.71</v>
      </c>
      <c r="G50" s="22" t="s">
        <v>191</v>
      </c>
      <c r="H50" s="30">
        <f>735.75</f>
        <v>735.75</v>
      </c>
      <c r="I50" s="6" t="s">
        <v>45</v>
      </c>
    </row>
    <row r="51" spans="1:9" s="1" customFormat="1">
      <c r="A51" s="9"/>
      <c r="B51" s="37"/>
      <c r="C51" s="9"/>
      <c r="D51" s="16">
        <f>15.76</f>
        <v>15.76</v>
      </c>
      <c r="E51" s="17" t="s">
        <v>29</v>
      </c>
      <c r="F51" s="26"/>
      <c r="G51" s="22"/>
      <c r="H51" s="30">
        <f>244.49</f>
        <v>244.49</v>
      </c>
      <c r="I51" s="6" t="s">
        <v>15</v>
      </c>
    </row>
    <row r="52" spans="1:9" s="1" customFormat="1">
      <c r="A52" s="10"/>
      <c r="B52" s="37"/>
      <c r="C52" s="9"/>
      <c r="D52" s="16"/>
      <c r="E52" s="17"/>
      <c r="F52" s="26"/>
      <c r="G52" s="22"/>
      <c r="H52" s="30"/>
      <c r="I52" s="6"/>
    </row>
    <row r="53" spans="1:9" s="1" customFormat="1">
      <c r="A53" s="10"/>
      <c r="B53" s="37"/>
      <c r="C53" s="9" t="s">
        <v>231</v>
      </c>
      <c r="D53" s="16">
        <f>42.75</f>
        <v>42.75</v>
      </c>
      <c r="E53" s="17" t="s">
        <v>16</v>
      </c>
      <c r="F53" s="26"/>
      <c r="G53" s="22"/>
      <c r="H53" s="30">
        <f>903.9+79.2</f>
        <v>983.1</v>
      </c>
      <c r="I53" s="6" t="s">
        <v>67</v>
      </c>
    </row>
    <row r="54" spans="1:9" s="1" customFormat="1">
      <c r="A54" s="10"/>
      <c r="B54" s="37"/>
      <c r="C54" s="9"/>
      <c r="D54" s="16">
        <f>62.28+33.17</f>
        <v>95.45</v>
      </c>
      <c r="E54" s="17" t="s">
        <v>14</v>
      </c>
      <c r="F54" s="26"/>
      <c r="G54" s="22"/>
      <c r="H54" s="30">
        <f>735.75</f>
        <v>735.75</v>
      </c>
      <c r="I54" s="6" t="s">
        <v>45</v>
      </c>
    </row>
    <row r="55" spans="1:9" s="1" customFormat="1">
      <c r="A55" s="10"/>
      <c r="B55" s="37"/>
      <c r="C55" s="9"/>
      <c r="D55" s="16">
        <f>72.83+4.08+22.52</f>
        <v>99.429999999999993</v>
      </c>
      <c r="E55" s="17" t="s">
        <v>29</v>
      </c>
      <c r="F55" s="26"/>
      <c r="G55" s="22"/>
      <c r="H55" s="30"/>
      <c r="I55" s="6"/>
    </row>
    <row r="56" spans="1:9" s="1" customFormat="1">
      <c r="A56" s="10"/>
      <c r="B56" s="37"/>
      <c r="C56" s="9"/>
      <c r="D56" s="16"/>
      <c r="E56" s="17"/>
      <c r="F56" s="26"/>
      <c r="G56" s="22"/>
      <c r="H56" s="30"/>
      <c r="I56" s="6"/>
    </row>
    <row r="57" spans="1:9" s="1" customFormat="1">
      <c r="A57" s="10"/>
      <c r="B57" s="37"/>
      <c r="C57" s="9"/>
      <c r="D57" s="16"/>
      <c r="E57" s="17"/>
      <c r="F57" s="26"/>
      <c r="G57" s="22"/>
      <c r="H57" s="30"/>
      <c r="I57" s="6"/>
    </row>
    <row r="58" spans="1:9" s="1" customFormat="1">
      <c r="A58" s="10"/>
      <c r="B58" s="37"/>
      <c r="C58" s="9"/>
      <c r="D58" s="16"/>
      <c r="E58" s="17"/>
      <c r="F58" s="26"/>
      <c r="G58" s="22"/>
      <c r="H58" s="30"/>
      <c r="I58" s="6"/>
    </row>
    <row r="59" spans="1:9" s="1" customFormat="1">
      <c r="A59" s="11" t="s">
        <v>4</v>
      </c>
      <c r="B59" s="10"/>
      <c r="C59" s="10"/>
      <c r="D59" s="18">
        <f>SUM(D49:D58)</f>
        <v>412.71</v>
      </c>
      <c r="E59" s="6"/>
      <c r="F59" s="27">
        <f>SUM(F49:F58)</f>
        <v>3.01</v>
      </c>
      <c r="G59" s="23"/>
      <c r="H59" s="31">
        <f>SUM(H49:H58)</f>
        <v>4208.3899999999994</v>
      </c>
      <c r="I59" s="2"/>
    </row>
    <row r="60" spans="1:9" s="1" customFormat="1" ht="15.75" thickBot="1">
      <c r="A60" s="12" t="s">
        <v>5</v>
      </c>
      <c r="B60" s="34">
        <f>SUM(D59+F59+H59)</f>
        <v>4624.1099999999997</v>
      </c>
      <c r="C60" s="33"/>
      <c r="D60" s="19"/>
      <c r="E60" s="20"/>
      <c r="F60" s="28"/>
      <c r="G60" s="24"/>
      <c r="H60" s="32"/>
      <c r="I60" s="3"/>
    </row>
    <row r="61" spans="1:9" s="1" customFormat="1">
      <c r="A61" s="43" t="s">
        <v>263</v>
      </c>
      <c r="B61" s="8" t="s">
        <v>235</v>
      </c>
      <c r="C61" s="8" t="s">
        <v>76</v>
      </c>
      <c r="D61" s="16">
        <f>30.82</f>
        <v>30.82</v>
      </c>
      <c r="E61" s="17" t="s">
        <v>16</v>
      </c>
      <c r="F61" s="25">
        <f>16.75</f>
        <v>16.75</v>
      </c>
      <c r="G61" s="21" t="s">
        <v>42</v>
      </c>
      <c r="H61" s="29">
        <f>1491.93</f>
        <v>1491.93</v>
      </c>
      <c r="I61" s="5" t="s">
        <v>67</v>
      </c>
    </row>
    <row r="62" spans="1:9" s="1" customFormat="1">
      <c r="A62" s="10"/>
      <c r="B62" s="37" t="s">
        <v>264</v>
      </c>
      <c r="C62" s="9"/>
      <c r="D62" s="16"/>
      <c r="E62" s="17"/>
      <c r="F62" s="26">
        <f>5.8</f>
        <v>5.8</v>
      </c>
      <c r="G62" s="22" t="s">
        <v>50</v>
      </c>
      <c r="H62" s="30">
        <f>719.55</f>
        <v>719.55</v>
      </c>
      <c r="I62" s="6" t="s">
        <v>230</v>
      </c>
    </row>
    <row r="63" spans="1:9" s="1" customFormat="1">
      <c r="A63" s="10"/>
      <c r="B63" s="37"/>
      <c r="C63" s="9"/>
      <c r="D63" s="16"/>
      <c r="E63" s="17"/>
      <c r="F63" s="26">
        <f>44.2</f>
        <v>44.2</v>
      </c>
      <c r="G63" s="22" t="s">
        <v>43</v>
      </c>
      <c r="H63" s="30">
        <f>310.21</f>
        <v>310.20999999999998</v>
      </c>
      <c r="I63" s="6" t="s">
        <v>15</v>
      </c>
    </row>
    <row r="64" spans="1:9" s="1" customFormat="1">
      <c r="A64" s="10"/>
      <c r="B64" s="37"/>
      <c r="C64" s="9"/>
      <c r="D64" s="16"/>
      <c r="E64" s="17"/>
      <c r="F64" s="26"/>
      <c r="G64" s="22"/>
      <c r="H64" s="30"/>
      <c r="I64" s="6"/>
    </row>
    <row r="65" spans="1:9" s="1" customFormat="1">
      <c r="A65" s="10"/>
      <c r="B65" s="37"/>
      <c r="C65" s="9" t="s">
        <v>57</v>
      </c>
      <c r="D65" s="16">
        <f>5.3+11.85</f>
        <v>17.149999999999999</v>
      </c>
      <c r="E65" s="17" t="s">
        <v>16</v>
      </c>
      <c r="F65" s="26">
        <f>24</f>
        <v>24</v>
      </c>
      <c r="G65" s="22" t="s">
        <v>32</v>
      </c>
      <c r="H65" s="30">
        <f>1491.93</f>
        <v>1491.93</v>
      </c>
      <c r="I65" s="6" t="s">
        <v>67</v>
      </c>
    </row>
    <row r="66" spans="1:9" s="1" customFormat="1">
      <c r="A66" s="10"/>
      <c r="B66" s="37"/>
      <c r="C66" s="9"/>
      <c r="D66" s="16">
        <f>15</f>
        <v>15</v>
      </c>
      <c r="E66" s="17" t="s">
        <v>14</v>
      </c>
      <c r="F66" s="26">
        <f>1.5</f>
        <v>1.5</v>
      </c>
      <c r="G66" s="22" t="s">
        <v>31</v>
      </c>
      <c r="H66" s="30">
        <f>1086.45-1086.45+651.87</f>
        <v>651.87</v>
      </c>
      <c r="I66" s="6" t="s">
        <v>265</v>
      </c>
    </row>
    <row r="67" spans="1:9" s="1" customFormat="1">
      <c r="A67" s="10"/>
      <c r="B67" s="37"/>
      <c r="C67" s="9"/>
      <c r="D67" s="16"/>
      <c r="E67" s="17"/>
      <c r="F67" s="26"/>
      <c r="G67" s="22"/>
      <c r="H67" s="30">
        <f>18.95</f>
        <v>18.95</v>
      </c>
      <c r="I67" s="6" t="s">
        <v>15</v>
      </c>
    </row>
    <row r="68" spans="1:9" s="1" customFormat="1">
      <c r="A68" s="10"/>
      <c r="B68" s="37"/>
      <c r="C68" s="9"/>
      <c r="D68" s="16"/>
      <c r="E68" s="17"/>
      <c r="F68" s="26"/>
      <c r="G68" s="22"/>
      <c r="H68" s="30"/>
      <c r="I68" s="6"/>
    </row>
    <row r="69" spans="1:9" s="1" customFormat="1">
      <c r="A69" s="10"/>
      <c r="B69" s="37"/>
      <c r="C69" s="9" t="s">
        <v>71</v>
      </c>
      <c r="D69" s="16">
        <f>8+209.83</f>
        <v>217.83</v>
      </c>
      <c r="E69" s="17" t="s">
        <v>16</v>
      </c>
      <c r="F69" s="26">
        <f>18.57</f>
        <v>18.57</v>
      </c>
      <c r="G69" s="22" t="s">
        <v>42</v>
      </c>
      <c r="H69" s="30">
        <f>1491.93</f>
        <v>1491.93</v>
      </c>
      <c r="I69" s="6" t="s">
        <v>266</v>
      </c>
    </row>
    <row r="70" spans="1:9" s="1" customFormat="1">
      <c r="A70" s="10"/>
      <c r="B70" s="37"/>
      <c r="C70" s="9"/>
      <c r="D70" s="16"/>
      <c r="E70" s="17"/>
      <c r="F70" s="26">
        <f>7.7</f>
        <v>7.7</v>
      </c>
      <c r="G70" s="22" t="s">
        <v>50</v>
      </c>
      <c r="H70" s="30">
        <f>651.87</f>
        <v>651.87</v>
      </c>
      <c r="I70" s="6" t="s">
        <v>45</v>
      </c>
    </row>
    <row r="71" spans="1:9" s="1" customFormat="1">
      <c r="A71" s="10"/>
      <c r="B71" s="37"/>
      <c r="C71" s="9"/>
      <c r="D71" s="16"/>
      <c r="E71" s="17"/>
      <c r="F71" s="26">
        <f>38</f>
        <v>38</v>
      </c>
      <c r="G71" s="22" t="s">
        <v>43</v>
      </c>
      <c r="H71" s="30">
        <f>185.5</f>
        <v>185.5</v>
      </c>
      <c r="I71" s="6" t="s">
        <v>15</v>
      </c>
    </row>
    <row r="72" spans="1:9" s="1" customFormat="1">
      <c r="A72" s="10"/>
      <c r="B72" s="37"/>
      <c r="C72" s="9"/>
      <c r="D72" s="16"/>
      <c r="E72" s="17"/>
      <c r="F72" s="26"/>
      <c r="G72" s="22"/>
      <c r="H72" s="30"/>
      <c r="I72" s="6"/>
    </row>
    <row r="73" spans="1:9" s="1" customFormat="1">
      <c r="A73" s="10"/>
      <c r="B73" s="37"/>
      <c r="C73" s="9" t="s">
        <v>194</v>
      </c>
      <c r="D73" s="16">
        <f>52.03+361.57</f>
        <v>413.6</v>
      </c>
      <c r="E73" s="17" t="s">
        <v>16</v>
      </c>
      <c r="F73" s="26">
        <v>12</v>
      </c>
      <c r="G73" s="22" t="s">
        <v>32</v>
      </c>
      <c r="H73" s="30">
        <f>1491.93</f>
        <v>1491.93</v>
      </c>
      <c r="I73" s="6" t="s">
        <v>67</v>
      </c>
    </row>
    <row r="74" spans="1:9" s="1" customFormat="1">
      <c r="A74" s="10"/>
      <c r="B74" s="37"/>
      <c r="C74" s="9"/>
      <c r="D74" s="16">
        <f>27.7</f>
        <v>27.7</v>
      </c>
      <c r="E74" s="17" t="s">
        <v>14</v>
      </c>
      <c r="F74" s="26"/>
      <c r="G74" s="22"/>
      <c r="H74" s="30">
        <f>1086.45-1086.45+651.87</f>
        <v>651.87</v>
      </c>
      <c r="I74" s="6" t="s">
        <v>44</v>
      </c>
    </row>
    <row r="75" spans="1:9" s="1" customFormat="1">
      <c r="A75" s="10"/>
      <c r="B75" s="37"/>
      <c r="C75" s="9"/>
      <c r="D75" s="16"/>
      <c r="E75" s="17"/>
      <c r="F75" s="26"/>
      <c r="G75" s="22"/>
      <c r="H75" s="30">
        <f>78.67</f>
        <v>78.67</v>
      </c>
      <c r="I75" s="6" t="s">
        <v>15</v>
      </c>
    </row>
    <row r="76" spans="1:9" s="1" customFormat="1">
      <c r="A76" s="10"/>
      <c r="B76" s="37"/>
      <c r="C76" s="9"/>
      <c r="D76" s="16"/>
      <c r="E76" s="17"/>
      <c r="F76" s="26"/>
      <c r="G76" s="22"/>
      <c r="H76" s="30"/>
      <c r="I76" s="6"/>
    </row>
    <row r="77" spans="1:9" s="1" customFormat="1">
      <c r="A77" s="10"/>
      <c r="B77" s="37"/>
      <c r="C77" s="9" t="s">
        <v>196</v>
      </c>
      <c r="D77" s="16"/>
      <c r="E77" s="17"/>
      <c r="F77" s="26"/>
      <c r="G77" s="22"/>
      <c r="H77" s="30">
        <f>1491.93-1491.93</f>
        <v>0</v>
      </c>
      <c r="I77" s="6" t="s">
        <v>300</v>
      </c>
    </row>
    <row r="78" spans="1:9" s="1" customFormat="1">
      <c r="A78" s="10"/>
      <c r="B78" s="37"/>
      <c r="C78" s="9"/>
      <c r="D78" s="16"/>
      <c r="E78" s="17"/>
      <c r="F78" s="26"/>
      <c r="G78" s="22"/>
      <c r="H78" s="30">
        <f>651.87-651.87</f>
        <v>0</v>
      </c>
      <c r="I78" s="6" t="s">
        <v>290</v>
      </c>
    </row>
    <row r="79" spans="1:9" s="1" customFormat="1">
      <c r="A79" s="10"/>
      <c r="B79" s="37"/>
      <c r="C79" s="9"/>
      <c r="D79" s="16"/>
      <c r="E79" s="17"/>
      <c r="F79" s="26"/>
      <c r="G79" s="22"/>
      <c r="H79" s="30"/>
      <c r="I79" s="6"/>
    </row>
    <row r="80" spans="1:9" s="1" customFormat="1">
      <c r="A80" s="10"/>
      <c r="B80" s="37"/>
      <c r="C80" s="9" t="s">
        <v>70</v>
      </c>
      <c r="D80" s="16">
        <f>10.72</f>
        <v>10.72</v>
      </c>
      <c r="E80" s="17" t="s">
        <v>16</v>
      </c>
      <c r="F80" s="26"/>
      <c r="G80" s="22"/>
      <c r="H80" s="30">
        <v>2115.81</v>
      </c>
      <c r="I80" s="6" t="s">
        <v>67</v>
      </c>
    </row>
    <row r="81" spans="1:9" s="1" customFormat="1">
      <c r="A81" s="10"/>
      <c r="B81" s="37"/>
      <c r="C81" s="9"/>
      <c r="D81" s="16">
        <f>180</f>
        <v>180</v>
      </c>
      <c r="E81" s="17" t="s">
        <v>14</v>
      </c>
      <c r="F81" s="26"/>
      <c r="G81" s="22"/>
      <c r="H81" s="30">
        <f>442.76+42.38</f>
        <v>485.14</v>
      </c>
      <c r="I81" s="6" t="s">
        <v>45</v>
      </c>
    </row>
    <row r="82" spans="1:9" s="1" customFormat="1">
      <c r="A82" s="10"/>
      <c r="B82" s="37"/>
      <c r="C82" s="9"/>
      <c r="D82" s="16"/>
      <c r="E82" s="17"/>
      <c r="F82" s="26"/>
      <c r="G82" s="22"/>
      <c r="H82" s="30"/>
      <c r="I82" s="6"/>
    </row>
    <row r="83" spans="1:9" s="1" customFormat="1">
      <c r="A83" s="10"/>
      <c r="B83" s="37"/>
      <c r="C83" s="9"/>
      <c r="D83" s="16"/>
      <c r="E83" s="17"/>
      <c r="F83" s="26"/>
      <c r="G83" s="22"/>
      <c r="H83" s="30"/>
      <c r="I83" s="6"/>
    </row>
    <row r="84" spans="1:9" s="1" customFormat="1">
      <c r="A84" s="10"/>
      <c r="B84" s="37"/>
      <c r="C84" s="9" t="s">
        <v>195</v>
      </c>
      <c r="D84" s="16">
        <f>10</f>
        <v>10</v>
      </c>
      <c r="E84" s="17" t="s">
        <v>29</v>
      </c>
      <c r="F84" s="26">
        <f>26.52</f>
        <v>26.52</v>
      </c>
      <c r="G84" s="22" t="s">
        <v>42</v>
      </c>
      <c r="H84" s="30">
        <f>1491.93</f>
        <v>1491.93</v>
      </c>
      <c r="I84" s="6" t="s">
        <v>67</v>
      </c>
    </row>
    <row r="85" spans="1:9" s="1" customFormat="1">
      <c r="A85" s="10"/>
      <c r="B85" s="37"/>
      <c r="C85" s="9"/>
      <c r="D85" s="16"/>
      <c r="E85" s="17"/>
      <c r="F85" s="26">
        <f>8.2</f>
        <v>8.1999999999999993</v>
      </c>
      <c r="G85" s="22" t="s">
        <v>50</v>
      </c>
      <c r="H85" s="30">
        <f>651.87</f>
        <v>651.87</v>
      </c>
      <c r="I85" s="6" t="s">
        <v>45</v>
      </c>
    </row>
    <row r="86" spans="1:9" s="1" customFormat="1">
      <c r="A86" s="10"/>
      <c r="B86" s="37"/>
      <c r="C86" s="9"/>
      <c r="D86" s="16"/>
      <c r="E86" s="17"/>
      <c r="F86" s="26">
        <f>22.1</f>
        <v>22.1</v>
      </c>
      <c r="G86" s="22" t="s">
        <v>43</v>
      </c>
      <c r="H86" s="30"/>
      <c r="I86" s="6"/>
    </row>
    <row r="87" spans="1:9" s="1" customFormat="1">
      <c r="A87" s="10"/>
      <c r="B87" s="37"/>
      <c r="C87" s="9"/>
      <c r="D87" s="16"/>
      <c r="E87" s="17"/>
      <c r="F87" s="26"/>
      <c r="G87" s="22"/>
      <c r="H87" s="30"/>
      <c r="I87" s="6"/>
    </row>
    <row r="88" spans="1:9" s="1" customFormat="1">
      <c r="A88" s="11" t="s">
        <v>4</v>
      </c>
      <c r="B88" s="10"/>
      <c r="C88" s="10"/>
      <c r="D88" s="18">
        <f>SUM(D61:D87)</f>
        <v>922.82000000000016</v>
      </c>
      <c r="E88" s="6"/>
      <c r="F88" s="27">
        <f>SUM(F61:F87)</f>
        <v>225.33999999999997</v>
      </c>
      <c r="G88" s="23"/>
      <c r="H88" s="31">
        <f>SUM(H61:H87)</f>
        <v>13980.960000000001</v>
      </c>
      <c r="I88" s="2"/>
    </row>
    <row r="89" spans="1:9" s="1" customFormat="1" ht="15.75" thickBot="1">
      <c r="A89" s="12" t="s">
        <v>5</v>
      </c>
      <c r="B89" s="34">
        <f>SUM(D88+F88+H88)</f>
        <v>15129.12</v>
      </c>
      <c r="C89" s="33"/>
      <c r="D89" s="19"/>
      <c r="E89" s="20"/>
      <c r="F89" s="28"/>
      <c r="G89" s="24"/>
      <c r="H89" s="32"/>
      <c r="I89" s="3"/>
    </row>
    <row r="90" spans="1:9" s="1" customFormat="1">
      <c r="A90" s="43">
        <v>41838</v>
      </c>
      <c r="B90" s="8" t="s">
        <v>269</v>
      </c>
      <c r="C90" s="8" t="s">
        <v>261</v>
      </c>
      <c r="D90" s="14"/>
      <c r="E90" s="15"/>
      <c r="F90" s="26"/>
      <c r="G90" s="22"/>
      <c r="H90" s="29">
        <f>94</f>
        <v>94</v>
      </c>
      <c r="I90" s="5" t="s">
        <v>45</v>
      </c>
    </row>
    <row r="91" spans="1:9" s="1" customFormat="1">
      <c r="A91" s="10"/>
      <c r="B91" s="37" t="s">
        <v>27</v>
      </c>
      <c r="C91" s="9"/>
      <c r="D91" s="16"/>
      <c r="E91" s="17"/>
      <c r="F91" s="26"/>
      <c r="G91" s="22"/>
      <c r="H91" s="30"/>
      <c r="I91" s="6"/>
    </row>
    <row r="92" spans="1:9" s="1" customFormat="1">
      <c r="A92" s="10"/>
      <c r="B92" s="37"/>
      <c r="C92" s="9"/>
      <c r="D92" s="16"/>
      <c r="E92" s="17"/>
      <c r="F92" s="26"/>
      <c r="G92" s="22"/>
      <c r="H92" s="30"/>
      <c r="I92" s="6"/>
    </row>
    <row r="93" spans="1:9" s="1" customFormat="1">
      <c r="A93" s="10"/>
      <c r="B93" s="37"/>
      <c r="C93" s="9"/>
      <c r="D93" s="16"/>
      <c r="E93" s="17"/>
      <c r="F93" s="26"/>
      <c r="G93" s="22"/>
      <c r="H93" s="30"/>
      <c r="I93" s="6"/>
    </row>
    <row r="94" spans="1:9" s="1" customFormat="1">
      <c r="A94" s="11" t="s">
        <v>4</v>
      </c>
      <c r="B94" s="10"/>
      <c r="C94" s="10"/>
      <c r="D94" s="18">
        <f>SUM(D90:D93)</f>
        <v>0</v>
      </c>
      <c r="E94" s="6"/>
      <c r="F94" s="27">
        <f>SUM(F90:F93)</f>
        <v>0</v>
      </c>
      <c r="G94" s="23"/>
      <c r="H94" s="31">
        <f>SUM(H90:H93)</f>
        <v>94</v>
      </c>
      <c r="I94" s="2"/>
    </row>
    <row r="95" spans="1:9" s="1" customFormat="1" ht="15.75" thickBot="1">
      <c r="A95" s="12" t="s">
        <v>5</v>
      </c>
      <c r="B95" s="34">
        <f>SUM(D94+F94+H94)</f>
        <v>94</v>
      </c>
      <c r="C95" s="33"/>
      <c r="D95" s="19"/>
      <c r="E95" s="20"/>
      <c r="F95" s="28"/>
      <c r="G95" s="24"/>
      <c r="H95" s="32"/>
      <c r="I95" s="3"/>
    </row>
    <row r="96" spans="1:9" s="1" customFormat="1">
      <c r="A96" s="43" t="s">
        <v>271</v>
      </c>
      <c r="B96" s="8" t="s">
        <v>55</v>
      </c>
      <c r="C96" s="8" t="s">
        <v>231</v>
      </c>
      <c r="D96" s="14">
        <f>18.39+7.12</f>
        <v>25.51</v>
      </c>
      <c r="E96" s="15" t="s">
        <v>16</v>
      </c>
      <c r="F96" s="25"/>
      <c r="G96" s="21"/>
      <c r="H96" s="29">
        <f>943.01</f>
        <v>943.01</v>
      </c>
      <c r="I96" s="5" t="s">
        <v>67</v>
      </c>
    </row>
    <row r="97" spans="1:9" s="1" customFormat="1">
      <c r="A97" s="10"/>
      <c r="B97" s="37" t="s">
        <v>275</v>
      </c>
      <c r="C97" s="9"/>
      <c r="D97" s="16">
        <f>22.14+32.32</f>
        <v>54.46</v>
      </c>
      <c r="E97" s="17" t="s">
        <v>14</v>
      </c>
      <c r="F97" s="26"/>
      <c r="G97" s="22"/>
      <c r="H97" s="30">
        <f>280.37</f>
        <v>280.37</v>
      </c>
      <c r="I97" s="6" t="s">
        <v>45</v>
      </c>
    </row>
    <row r="98" spans="1:9" s="1" customFormat="1">
      <c r="A98" s="10"/>
      <c r="B98" s="37"/>
      <c r="C98" s="9"/>
      <c r="D98" s="16"/>
      <c r="E98" s="17"/>
      <c r="F98" s="26"/>
      <c r="G98" s="22"/>
      <c r="H98" s="30"/>
      <c r="I98" s="6"/>
    </row>
    <row r="99" spans="1:9" s="1" customFormat="1">
      <c r="A99" s="10" t="s">
        <v>281</v>
      </c>
      <c r="B99" s="37"/>
      <c r="C99" s="9" t="s">
        <v>39</v>
      </c>
      <c r="D99" s="16">
        <f>38.75+101.24+431.2</f>
        <v>571.19000000000005</v>
      </c>
      <c r="E99" s="17" t="s">
        <v>16</v>
      </c>
      <c r="F99" s="26">
        <f>39.48</f>
        <v>39.479999999999997</v>
      </c>
      <c r="G99" s="22" t="s">
        <v>42</v>
      </c>
      <c r="H99" s="30">
        <f>2098.26+860.11-2098.26+1979.26</f>
        <v>2839.37</v>
      </c>
      <c r="I99" s="6" t="s">
        <v>67</v>
      </c>
    </row>
    <row r="100" spans="1:9" s="1" customFormat="1">
      <c r="A100" s="10"/>
      <c r="B100" s="37"/>
      <c r="C100" s="9"/>
      <c r="D100" s="16">
        <f>52.07+26.65</f>
        <v>78.72</v>
      </c>
      <c r="E100" s="17" t="s">
        <v>14</v>
      </c>
      <c r="F100" s="26">
        <f>69</f>
        <v>69</v>
      </c>
      <c r="G100" s="22" t="s">
        <v>43</v>
      </c>
      <c r="H100" s="30">
        <f>280.37+316.24+345.53-316.24</f>
        <v>625.9</v>
      </c>
      <c r="I100" s="6" t="s">
        <v>45</v>
      </c>
    </row>
    <row r="101" spans="1:9" s="1" customFormat="1">
      <c r="A101" s="10"/>
      <c r="B101" s="37"/>
      <c r="C101" s="9"/>
      <c r="D101" s="16">
        <f>33+11.59</f>
        <v>44.59</v>
      </c>
      <c r="E101" s="17" t="s">
        <v>29</v>
      </c>
      <c r="F101" s="26"/>
      <c r="G101" s="22"/>
      <c r="H101" s="30">
        <f>16.79+27.65</f>
        <v>44.44</v>
      </c>
      <c r="I101" s="6" t="s">
        <v>15</v>
      </c>
    </row>
    <row r="102" spans="1:9" s="1" customFormat="1">
      <c r="A102" s="10"/>
      <c r="B102" s="37"/>
      <c r="C102" s="9"/>
      <c r="D102" s="16"/>
      <c r="E102" s="17"/>
      <c r="F102" s="26"/>
      <c r="G102" s="22"/>
      <c r="H102" s="30"/>
      <c r="I102" s="6"/>
    </row>
    <row r="103" spans="1:9" s="1" customFormat="1">
      <c r="A103" s="10" t="s">
        <v>288</v>
      </c>
      <c r="B103" s="37"/>
      <c r="C103" s="9" t="s">
        <v>77</v>
      </c>
      <c r="D103" s="16">
        <f>15.11+61.77</f>
        <v>76.88</v>
      </c>
      <c r="E103" s="17" t="s">
        <v>16</v>
      </c>
      <c r="F103" s="26"/>
      <c r="G103" s="22"/>
      <c r="H103" s="30">
        <f>1140.11+860.11</f>
        <v>2000.2199999999998</v>
      </c>
      <c r="I103" s="6" t="s">
        <v>67</v>
      </c>
    </row>
    <row r="104" spans="1:9" s="1" customFormat="1">
      <c r="A104" s="10"/>
      <c r="B104" s="37"/>
      <c r="C104" s="9"/>
      <c r="D104" s="16">
        <f>45.75</f>
        <v>45.75</v>
      </c>
      <c r="E104" s="17" t="s">
        <v>14</v>
      </c>
      <c r="F104" s="26"/>
      <c r="G104" s="22"/>
      <c r="H104" s="30">
        <f>280.37+474.36+518.3-474.36</f>
        <v>798.67</v>
      </c>
      <c r="I104" s="6" t="s">
        <v>45</v>
      </c>
    </row>
    <row r="105" spans="1:9" s="1" customFormat="1">
      <c r="A105" s="10"/>
      <c r="B105" s="37"/>
      <c r="C105" s="9"/>
      <c r="D105" s="16"/>
      <c r="E105" s="17"/>
      <c r="F105" s="26"/>
      <c r="G105" s="22"/>
      <c r="H105" s="30">
        <f>60.66</f>
        <v>60.66</v>
      </c>
      <c r="I105" s="6" t="s">
        <v>15</v>
      </c>
    </row>
    <row r="106" spans="1:9" s="1" customFormat="1">
      <c r="A106" s="10"/>
      <c r="B106" s="37"/>
      <c r="C106" s="9"/>
      <c r="D106" s="16"/>
      <c r="E106" s="17"/>
      <c r="F106" s="26"/>
      <c r="G106" s="22"/>
      <c r="H106" s="30"/>
      <c r="I106" s="6"/>
    </row>
    <row r="107" spans="1:9" s="1" customFormat="1">
      <c r="A107" s="11" t="s">
        <v>4</v>
      </c>
      <c r="B107" s="10"/>
      <c r="C107" s="10"/>
      <c r="D107" s="18">
        <f>SUM(D96:D106)</f>
        <v>897.10000000000014</v>
      </c>
      <c r="E107" s="6"/>
      <c r="F107" s="27">
        <f>SUM(F96:F106)</f>
        <v>108.47999999999999</v>
      </c>
      <c r="G107" s="23"/>
      <c r="H107" s="31">
        <f>SUM(H96:H106)</f>
        <v>7592.6399999999994</v>
      </c>
      <c r="I107" s="2"/>
    </row>
    <row r="108" spans="1:9" s="1" customFormat="1" ht="15.75" thickBot="1">
      <c r="A108" s="12" t="s">
        <v>5</v>
      </c>
      <c r="B108" s="34">
        <f>SUM(D107+F107+H107)</f>
        <v>8598.2199999999993</v>
      </c>
      <c r="C108" s="33"/>
      <c r="D108" s="19"/>
      <c r="E108" s="20"/>
      <c r="F108" s="28"/>
      <c r="G108" s="24"/>
      <c r="H108" s="32"/>
      <c r="I108" s="3"/>
    </row>
    <row r="109" spans="1:9" s="1" customFormat="1">
      <c r="A109" s="43" t="s">
        <v>274</v>
      </c>
      <c r="B109" s="8" t="s">
        <v>55</v>
      </c>
      <c r="C109" s="8" t="s">
        <v>57</v>
      </c>
      <c r="D109" s="14">
        <f>12.6+8.6+210.61+102.19</f>
        <v>334</v>
      </c>
      <c r="E109" s="15" t="s">
        <v>16</v>
      </c>
      <c r="F109" s="25">
        <f>24</f>
        <v>24</v>
      </c>
      <c r="G109" s="21" t="s">
        <v>32</v>
      </c>
      <c r="H109" s="29">
        <f>531.33</f>
        <v>531.33000000000004</v>
      </c>
      <c r="I109" s="5" t="s">
        <v>67</v>
      </c>
    </row>
    <row r="110" spans="1:9" s="1" customFormat="1">
      <c r="A110" s="10"/>
      <c r="B110" s="37" t="s">
        <v>115</v>
      </c>
      <c r="C110" s="9"/>
      <c r="D110" s="16">
        <f>25.9+49.02</f>
        <v>74.92</v>
      </c>
      <c r="E110" s="17" t="s">
        <v>14</v>
      </c>
      <c r="F110" s="26"/>
      <c r="G110" s="22"/>
      <c r="H110" s="30" t="s">
        <v>322</v>
      </c>
      <c r="I110" s="6" t="s">
        <v>319</v>
      </c>
    </row>
    <row r="111" spans="1:9" s="1" customFormat="1">
      <c r="A111" s="10"/>
      <c r="B111" s="37"/>
      <c r="C111" s="9"/>
      <c r="D111" s="16"/>
      <c r="E111" s="17"/>
      <c r="F111" s="26"/>
      <c r="G111" s="22"/>
      <c r="H111" s="30">
        <f>152</f>
        <v>152</v>
      </c>
      <c r="I111" s="6" t="s">
        <v>15</v>
      </c>
    </row>
    <row r="112" spans="1:9" s="1" customFormat="1">
      <c r="A112" s="10"/>
      <c r="B112" s="37"/>
      <c r="C112" s="9"/>
      <c r="D112" s="16"/>
      <c r="E112" s="17"/>
      <c r="F112" s="26"/>
      <c r="G112" s="22"/>
      <c r="H112" s="30"/>
      <c r="I112" s="6"/>
    </row>
    <row r="113" spans="1:9" s="1" customFormat="1">
      <c r="A113" s="10"/>
      <c r="B113" s="37"/>
      <c r="C113" s="9" t="s">
        <v>277</v>
      </c>
      <c r="D113" s="16">
        <f>2.36</f>
        <v>2.36</v>
      </c>
      <c r="E113" s="17" t="s">
        <v>16</v>
      </c>
      <c r="F113" s="26">
        <f>3.6*2</f>
        <v>7.2</v>
      </c>
      <c r="G113" s="22" t="s">
        <v>42</v>
      </c>
      <c r="H113" s="30">
        <f>531.33</f>
        <v>531.33000000000004</v>
      </c>
      <c r="I113" s="6" t="s">
        <v>67</v>
      </c>
    </row>
    <row r="114" spans="1:9" s="1" customFormat="1">
      <c r="A114" s="10"/>
      <c r="B114" s="37"/>
      <c r="C114" s="9"/>
      <c r="D114" s="16">
        <f>9.63+16.79</f>
        <v>26.42</v>
      </c>
      <c r="E114" s="17" t="s">
        <v>14</v>
      </c>
      <c r="F114" s="26">
        <f>45</f>
        <v>45</v>
      </c>
      <c r="G114" s="22" t="s">
        <v>43</v>
      </c>
      <c r="H114" s="30">
        <f>819.24</f>
        <v>819.24</v>
      </c>
      <c r="I114" s="6" t="s">
        <v>45</v>
      </c>
    </row>
    <row r="115" spans="1:9" s="1" customFormat="1">
      <c r="A115" s="10"/>
      <c r="B115" s="37"/>
      <c r="C115" s="9"/>
      <c r="D115" s="16"/>
      <c r="E115" s="17"/>
      <c r="F115" s="26"/>
      <c r="G115" s="22"/>
      <c r="H115" s="30"/>
      <c r="I115" s="6"/>
    </row>
    <row r="116" spans="1:9" s="1" customFormat="1">
      <c r="A116" s="10"/>
      <c r="B116" s="37"/>
      <c r="C116" s="9" t="s">
        <v>49</v>
      </c>
      <c r="D116" s="16">
        <f>14.69+82.78</f>
        <v>97.47</v>
      </c>
      <c r="E116" s="17" t="s">
        <v>16</v>
      </c>
      <c r="F116" s="26">
        <f>111.95</f>
        <v>111.95</v>
      </c>
      <c r="G116" s="22" t="s">
        <v>42</v>
      </c>
      <c r="H116" s="30">
        <f>531.33</f>
        <v>531.33000000000004</v>
      </c>
      <c r="I116" s="6" t="s">
        <v>67</v>
      </c>
    </row>
    <row r="117" spans="1:9" s="1" customFormat="1">
      <c r="A117" s="10"/>
      <c r="B117" s="37"/>
      <c r="C117" s="9"/>
      <c r="D117" s="16"/>
      <c r="E117" s="17"/>
      <c r="F117" s="26">
        <f>8.1</f>
        <v>8.1</v>
      </c>
      <c r="G117" s="22" t="s">
        <v>50</v>
      </c>
      <c r="H117" s="30">
        <f>461.32</f>
        <v>461.32</v>
      </c>
      <c r="I117" s="6" t="s">
        <v>45</v>
      </c>
    </row>
    <row r="118" spans="1:9" s="1" customFormat="1">
      <c r="A118" s="10"/>
      <c r="B118" s="37"/>
      <c r="C118" s="9"/>
      <c r="D118" s="16"/>
      <c r="E118" s="17"/>
      <c r="F118" s="26">
        <f>76</f>
        <v>76</v>
      </c>
      <c r="G118" s="22" t="s">
        <v>43</v>
      </c>
      <c r="H118" s="30"/>
      <c r="I118" s="6"/>
    </row>
    <row r="119" spans="1:9" s="1" customFormat="1">
      <c r="A119" s="10"/>
      <c r="B119" s="37"/>
      <c r="C119" s="9"/>
      <c r="D119" s="16"/>
      <c r="E119" s="17"/>
      <c r="F119" s="26"/>
      <c r="G119" s="22"/>
      <c r="H119" s="30"/>
      <c r="I119" s="6"/>
    </row>
    <row r="120" spans="1:9" s="1" customFormat="1">
      <c r="A120" s="11" t="s">
        <v>4</v>
      </c>
      <c r="B120" s="10"/>
      <c r="C120" s="10"/>
      <c r="D120" s="18">
        <f>SUM(D109:D119)</f>
        <v>535.17000000000007</v>
      </c>
      <c r="E120" s="6"/>
      <c r="F120" s="27">
        <f>SUM(F109:F119)</f>
        <v>272.25</v>
      </c>
      <c r="G120" s="23"/>
      <c r="H120" s="31">
        <f>SUM(H109:H119)</f>
        <v>3026.55</v>
      </c>
      <c r="I120" s="2"/>
    </row>
    <row r="121" spans="1:9" s="1" customFormat="1" ht="15.75" thickBot="1">
      <c r="A121" s="12" t="s">
        <v>5</v>
      </c>
      <c r="B121" s="34">
        <f>SUM(D120+F120+H120)</f>
        <v>3833.9700000000003</v>
      </c>
      <c r="C121" s="33"/>
      <c r="D121" s="19"/>
      <c r="E121" s="20"/>
      <c r="F121" s="28"/>
      <c r="G121" s="24"/>
      <c r="H121" s="32"/>
      <c r="I121" s="3"/>
    </row>
    <row r="122" spans="1:9" s="1" customFormat="1">
      <c r="A122" s="43" t="s">
        <v>276</v>
      </c>
      <c r="B122" s="8" t="s">
        <v>55</v>
      </c>
      <c r="C122" s="8" t="s">
        <v>12</v>
      </c>
      <c r="D122" s="14">
        <f>37.13</f>
        <v>37.130000000000003</v>
      </c>
      <c r="E122" s="15" t="s">
        <v>16</v>
      </c>
      <c r="F122" s="25"/>
      <c r="G122" s="21"/>
      <c r="H122" s="29">
        <f>361.36</f>
        <v>361.36</v>
      </c>
      <c r="I122" s="5" t="s">
        <v>67</v>
      </c>
    </row>
    <row r="123" spans="1:9" s="1" customFormat="1">
      <c r="A123" s="10"/>
      <c r="B123" s="37" t="s">
        <v>175</v>
      </c>
      <c r="C123" s="9"/>
      <c r="D123" s="16">
        <f>30.51</f>
        <v>30.51</v>
      </c>
      <c r="E123" s="17" t="s">
        <v>14</v>
      </c>
      <c r="F123" s="26"/>
      <c r="G123" s="22"/>
      <c r="H123" s="30">
        <f>174.24</f>
        <v>174.24</v>
      </c>
      <c r="I123" s="6" t="s">
        <v>45</v>
      </c>
    </row>
    <row r="124" spans="1:9" s="1" customFormat="1">
      <c r="A124" s="10"/>
      <c r="B124" s="37"/>
      <c r="C124" s="9"/>
      <c r="D124" s="16"/>
      <c r="E124" s="17"/>
      <c r="F124" s="26"/>
      <c r="G124" s="22"/>
      <c r="H124" s="30">
        <f>20.49</f>
        <v>20.49</v>
      </c>
      <c r="I124" s="6" t="s">
        <v>15</v>
      </c>
    </row>
    <row r="125" spans="1:9" s="1" customFormat="1">
      <c r="A125" s="10"/>
      <c r="B125" s="37"/>
      <c r="C125" s="9"/>
      <c r="D125" s="16"/>
      <c r="E125" s="17"/>
      <c r="F125" s="26"/>
      <c r="G125" s="22"/>
      <c r="H125" s="30"/>
      <c r="I125" s="6"/>
    </row>
    <row r="126" spans="1:9" s="1" customFormat="1">
      <c r="A126" s="10"/>
      <c r="B126" s="37"/>
      <c r="C126" s="9" t="s">
        <v>11</v>
      </c>
      <c r="D126" s="16">
        <f>25.54+9.52</f>
        <v>35.06</v>
      </c>
      <c r="E126" s="17" t="s">
        <v>14</v>
      </c>
      <c r="F126" s="26">
        <f>33.3</f>
        <v>33.299999999999997</v>
      </c>
      <c r="G126" s="22" t="s">
        <v>32</v>
      </c>
      <c r="H126" s="30">
        <f>361.36</f>
        <v>361.36</v>
      </c>
      <c r="I126" s="6" t="s">
        <v>67</v>
      </c>
    </row>
    <row r="127" spans="1:9" s="1" customFormat="1">
      <c r="A127" s="10"/>
      <c r="B127" s="37"/>
      <c r="C127" s="9"/>
      <c r="D127" s="16">
        <f>80.65</f>
        <v>80.650000000000006</v>
      </c>
      <c r="E127" s="17" t="s">
        <v>29</v>
      </c>
      <c r="F127" s="26"/>
      <c r="G127" s="22"/>
      <c r="H127" s="30">
        <f>174.24</f>
        <v>174.24</v>
      </c>
      <c r="I127" s="6" t="s">
        <v>45</v>
      </c>
    </row>
    <row r="128" spans="1:9" s="1" customFormat="1">
      <c r="A128" s="10"/>
      <c r="B128" s="37"/>
      <c r="C128" s="9"/>
      <c r="D128" s="16"/>
      <c r="E128" s="17"/>
      <c r="F128" s="26"/>
      <c r="G128" s="22"/>
      <c r="H128" s="30">
        <v>158.38999999999999</v>
      </c>
      <c r="I128" s="6" t="s">
        <v>15</v>
      </c>
    </row>
    <row r="129" spans="1:9" s="1" customFormat="1">
      <c r="A129" s="10"/>
      <c r="B129" s="37"/>
      <c r="C129" s="9"/>
      <c r="D129" s="16"/>
      <c r="E129" s="17"/>
      <c r="F129" s="26"/>
      <c r="G129" s="22"/>
      <c r="H129" s="30"/>
      <c r="I129" s="6"/>
    </row>
    <row r="130" spans="1:9" s="1" customFormat="1">
      <c r="A130" s="11" t="s">
        <v>4</v>
      </c>
      <c r="B130" s="10"/>
      <c r="C130" s="10"/>
      <c r="D130" s="18">
        <f>SUM(D122:D129)</f>
        <v>183.35000000000002</v>
      </c>
      <c r="E130" s="6"/>
      <c r="F130" s="27">
        <f>SUM(F122:F129)</f>
        <v>33.299999999999997</v>
      </c>
      <c r="G130" s="23"/>
      <c r="H130" s="31">
        <f>SUM(H122:H129)</f>
        <v>1250.08</v>
      </c>
      <c r="I130" s="2"/>
    </row>
    <row r="131" spans="1:9" s="1" customFormat="1" ht="15.75" thickBot="1">
      <c r="A131" s="12" t="s">
        <v>5</v>
      </c>
      <c r="B131" s="34">
        <f>SUM(D130+F130+H130)</f>
        <v>1466.73</v>
      </c>
      <c r="C131" s="33"/>
      <c r="D131" s="19"/>
      <c r="E131" s="20"/>
      <c r="F131" s="28"/>
      <c r="G131" s="24"/>
      <c r="H131" s="32"/>
      <c r="I131" s="3"/>
    </row>
    <row r="132" spans="1:9" s="1" customFormat="1">
      <c r="A132" s="43" t="s">
        <v>280</v>
      </c>
      <c r="B132" s="8" t="s">
        <v>55</v>
      </c>
      <c r="C132" s="8" t="s">
        <v>231</v>
      </c>
      <c r="D132" s="14">
        <f>101.23+30.76</f>
        <v>131.99</v>
      </c>
      <c r="E132" s="15" t="s">
        <v>14</v>
      </c>
      <c r="F132" s="25"/>
      <c r="G132" s="21"/>
      <c r="H132" s="29">
        <f>946.23</f>
        <v>946.23</v>
      </c>
      <c r="I132" s="5" t="s">
        <v>67</v>
      </c>
    </row>
    <row r="133" spans="1:9" s="1" customFormat="1">
      <c r="A133" s="10"/>
      <c r="B133" s="37" t="s">
        <v>17</v>
      </c>
      <c r="C133" s="9"/>
      <c r="D133" s="16">
        <f>3.99</f>
        <v>3.99</v>
      </c>
      <c r="E133" s="17" t="s">
        <v>29</v>
      </c>
      <c r="F133" s="26"/>
      <c r="G133" s="22"/>
      <c r="H133" s="30">
        <f>355.43+355.36-355.36</f>
        <v>355.42999999999995</v>
      </c>
      <c r="I133" s="6" t="s">
        <v>25</v>
      </c>
    </row>
    <row r="134" spans="1:9" s="1" customFormat="1">
      <c r="A134" s="10"/>
      <c r="B134" s="37"/>
      <c r="C134" s="9"/>
      <c r="D134" s="16"/>
      <c r="E134" s="17"/>
      <c r="F134" s="26"/>
      <c r="G134" s="22"/>
      <c r="H134" s="30"/>
      <c r="I134" s="6"/>
    </row>
    <row r="135" spans="1:9" s="1" customFormat="1">
      <c r="A135" s="10"/>
      <c r="B135" s="37"/>
      <c r="C135" s="9"/>
      <c r="D135" s="16"/>
      <c r="E135" s="17"/>
      <c r="F135" s="26"/>
      <c r="G135" s="22"/>
      <c r="H135" s="30"/>
      <c r="I135" s="6"/>
    </row>
    <row r="136" spans="1:9" s="1" customFormat="1">
      <c r="A136" s="10"/>
      <c r="B136" s="37"/>
      <c r="C136" s="9" t="s">
        <v>135</v>
      </c>
      <c r="D136" s="16">
        <f>85.7+328.39</f>
        <v>414.09</v>
      </c>
      <c r="E136" s="17" t="s">
        <v>16</v>
      </c>
      <c r="F136" s="26">
        <f>59</f>
        <v>59</v>
      </c>
      <c r="G136" s="22" t="s">
        <v>43</v>
      </c>
      <c r="H136" s="30">
        <f>2926.45</f>
        <v>2926.45</v>
      </c>
      <c r="I136" s="6" t="s">
        <v>67</v>
      </c>
    </row>
    <row r="137" spans="1:9" s="1" customFormat="1">
      <c r="A137" s="10"/>
      <c r="B137" s="37"/>
      <c r="C137" s="9"/>
      <c r="D137" s="16">
        <f>265.16</f>
        <v>265.16000000000003</v>
      </c>
      <c r="E137" s="17" t="s">
        <v>14</v>
      </c>
      <c r="F137" s="26">
        <v>5.78</v>
      </c>
      <c r="G137" s="22" t="s">
        <v>42</v>
      </c>
      <c r="H137" s="30">
        <f>355.36-355.36</f>
        <v>0</v>
      </c>
      <c r="I137" s="6" t="s">
        <v>359</v>
      </c>
    </row>
    <row r="138" spans="1:9" s="1" customFormat="1">
      <c r="A138" s="10"/>
      <c r="B138" s="37"/>
      <c r="C138" s="9"/>
      <c r="D138" s="16">
        <f>128.09+10.42</f>
        <v>138.51</v>
      </c>
      <c r="E138" s="17" t="s">
        <v>29</v>
      </c>
      <c r="F138" s="26"/>
      <c r="G138" s="22"/>
      <c r="H138" s="30">
        <f>260.55</f>
        <v>260.55</v>
      </c>
      <c r="I138" s="6" t="s">
        <v>81</v>
      </c>
    </row>
    <row r="139" spans="1:9" s="1" customFormat="1">
      <c r="A139" s="10"/>
      <c r="B139" s="37"/>
      <c r="C139" s="9"/>
      <c r="D139" s="16"/>
      <c r="E139" s="17"/>
      <c r="F139" s="26"/>
      <c r="G139" s="22"/>
      <c r="H139" s="30"/>
      <c r="I139" s="6"/>
    </row>
    <row r="140" spans="1:9" s="1" customFormat="1">
      <c r="A140" s="10"/>
      <c r="B140" s="37"/>
      <c r="C140" s="9" t="s">
        <v>77</v>
      </c>
      <c r="D140" s="16">
        <f>264.74</f>
        <v>264.74</v>
      </c>
      <c r="E140" s="17" t="s">
        <v>16</v>
      </c>
      <c r="F140" s="26"/>
      <c r="G140" s="22"/>
      <c r="H140" s="30"/>
      <c r="I140" s="6"/>
    </row>
    <row r="141" spans="1:9" s="1" customFormat="1">
      <c r="A141" s="10"/>
      <c r="B141" s="37"/>
      <c r="C141" s="9"/>
      <c r="D141" s="16">
        <f>56.97</f>
        <v>56.97</v>
      </c>
      <c r="E141" s="17" t="s">
        <v>29</v>
      </c>
      <c r="F141" s="26"/>
      <c r="G141" s="22"/>
      <c r="H141" s="30"/>
      <c r="I141" s="6"/>
    </row>
    <row r="142" spans="1:9" s="1" customFormat="1">
      <c r="A142" s="10"/>
      <c r="B142" s="37"/>
      <c r="C142" s="9"/>
      <c r="D142" s="16"/>
      <c r="E142" s="17"/>
      <c r="F142" s="26"/>
      <c r="G142" s="22"/>
      <c r="H142" s="30"/>
      <c r="I142" s="6"/>
    </row>
    <row r="143" spans="1:9" s="1" customFormat="1">
      <c r="A143" s="10"/>
      <c r="B143" s="37"/>
      <c r="C143" s="9"/>
      <c r="D143" s="16"/>
      <c r="E143" s="17"/>
      <c r="F143" s="26"/>
      <c r="G143" s="22"/>
      <c r="H143" s="30"/>
      <c r="I143" s="6"/>
    </row>
    <row r="144" spans="1:9" s="1" customFormat="1">
      <c r="A144" s="11" t="s">
        <v>4</v>
      </c>
      <c r="B144" s="10"/>
      <c r="C144" s="10"/>
      <c r="D144" s="18">
        <f>SUM(D132:D143)</f>
        <v>1275.45</v>
      </c>
      <c r="E144" s="6"/>
      <c r="F144" s="27">
        <f>SUM(F132:F143)</f>
        <v>64.78</v>
      </c>
      <c r="G144" s="23"/>
      <c r="H144" s="31">
        <f>SUM(H132:H143)</f>
        <v>4488.66</v>
      </c>
      <c r="I144" s="2"/>
    </row>
    <row r="145" spans="1:11" s="1" customFormat="1" ht="15.75" thickBot="1">
      <c r="A145" s="12" t="s">
        <v>5</v>
      </c>
      <c r="B145" s="34">
        <f>SUM(D144+F144+H144)</f>
        <v>5828.8899999999994</v>
      </c>
      <c r="C145" s="33"/>
      <c r="D145" s="19"/>
      <c r="E145" s="20"/>
      <c r="F145" s="28"/>
      <c r="G145" s="24"/>
      <c r="H145" s="32"/>
      <c r="I145" s="3"/>
    </row>
    <row r="146" spans="1:11" s="1" customFormat="1">
      <c r="A146" s="43" t="s">
        <v>278</v>
      </c>
      <c r="B146" s="8" t="s">
        <v>55</v>
      </c>
      <c r="C146" s="8" t="s">
        <v>277</v>
      </c>
      <c r="D146" s="14"/>
      <c r="E146" s="15"/>
      <c r="F146" s="25">
        <f>7.2</f>
        <v>7.2</v>
      </c>
      <c r="G146" s="21" t="s">
        <v>42</v>
      </c>
      <c r="H146" s="29">
        <f>775.37</f>
        <v>775.37</v>
      </c>
      <c r="I146" s="5" t="s">
        <v>67</v>
      </c>
    </row>
    <row r="147" spans="1:11" s="1" customFormat="1">
      <c r="A147" s="10"/>
      <c r="B147" s="37" t="s">
        <v>279</v>
      </c>
      <c r="C147" s="9"/>
      <c r="D147" s="16"/>
      <c r="E147" s="17"/>
      <c r="F147" s="26"/>
      <c r="G147" s="22"/>
      <c r="H147" s="30">
        <f>123.12</f>
        <v>123.12</v>
      </c>
      <c r="I147" s="6" t="s">
        <v>45</v>
      </c>
    </row>
    <row r="148" spans="1:11" s="1" customFormat="1">
      <c r="A148" s="10"/>
      <c r="B148" s="37"/>
      <c r="C148" s="9"/>
      <c r="D148" s="16"/>
      <c r="E148" s="17"/>
      <c r="F148" s="26"/>
      <c r="G148" s="22"/>
      <c r="H148" s="30"/>
      <c r="I148" s="6"/>
    </row>
    <row r="149" spans="1:11" s="1" customFormat="1">
      <c r="A149" s="10"/>
      <c r="B149" s="37"/>
      <c r="C149" s="9" t="s">
        <v>71</v>
      </c>
      <c r="D149" s="16">
        <f>33.5</f>
        <v>33.5</v>
      </c>
      <c r="E149" s="17" t="s">
        <v>16</v>
      </c>
      <c r="F149" s="26">
        <f>18.57</f>
        <v>18.57</v>
      </c>
      <c r="G149" s="22" t="s">
        <v>42</v>
      </c>
      <c r="H149" s="30">
        <f>775.37</f>
        <v>775.37</v>
      </c>
      <c r="I149" s="6" t="s">
        <v>67</v>
      </c>
    </row>
    <row r="150" spans="1:11" s="1" customFormat="1">
      <c r="A150" s="10"/>
      <c r="B150" s="37"/>
      <c r="C150" s="9"/>
      <c r="D150" s="16"/>
      <c r="E150" s="17"/>
      <c r="F150" s="26">
        <f>5</f>
        <v>5</v>
      </c>
      <c r="G150" s="22" t="s">
        <v>50</v>
      </c>
      <c r="H150" s="30">
        <f>123.12</f>
        <v>123.12</v>
      </c>
      <c r="I150" s="6" t="s">
        <v>45</v>
      </c>
    </row>
    <row r="151" spans="1:11" s="1" customFormat="1">
      <c r="A151" s="10"/>
      <c r="B151" s="37"/>
      <c r="C151" s="9"/>
      <c r="D151" s="16"/>
      <c r="E151" s="17"/>
      <c r="F151" s="26">
        <f>74.5</f>
        <v>74.5</v>
      </c>
      <c r="G151" s="22" t="s">
        <v>43</v>
      </c>
      <c r="H151" s="30">
        <f>14.74</f>
        <v>14.74</v>
      </c>
      <c r="I151" s="6" t="s">
        <v>15</v>
      </c>
    </row>
    <row r="152" spans="1:11" s="1" customFormat="1">
      <c r="A152" s="10"/>
      <c r="B152" s="37"/>
      <c r="C152" s="9"/>
      <c r="D152" s="16"/>
      <c r="E152" s="17"/>
      <c r="F152" s="26"/>
      <c r="G152" s="22"/>
      <c r="H152" s="30"/>
      <c r="I152" s="6"/>
    </row>
    <row r="153" spans="1:11" s="1" customFormat="1">
      <c r="A153" s="10"/>
      <c r="B153" s="37"/>
      <c r="C153" s="9" t="s">
        <v>39</v>
      </c>
      <c r="D153" s="16">
        <f>62.83</f>
        <v>62.83</v>
      </c>
      <c r="E153" s="17" t="s">
        <v>16</v>
      </c>
      <c r="F153" s="26">
        <v>42.3</v>
      </c>
      <c r="G153" s="22" t="s">
        <v>42</v>
      </c>
      <c r="H153" s="30">
        <f>775.37</f>
        <v>775.37</v>
      </c>
      <c r="I153" s="6" t="s">
        <v>67</v>
      </c>
    </row>
    <row r="154" spans="1:11" s="1" customFormat="1">
      <c r="A154" s="10"/>
      <c r="B154" s="37"/>
      <c r="C154" s="9"/>
      <c r="D154" s="16"/>
      <c r="E154" s="17"/>
      <c r="F154" s="26">
        <f>5.8</f>
        <v>5.8</v>
      </c>
      <c r="G154" s="22" t="s">
        <v>50</v>
      </c>
      <c r="H154" s="30">
        <f>123.12+242+277</f>
        <v>642.12</v>
      </c>
      <c r="I154" s="6" t="s">
        <v>299</v>
      </c>
    </row>
    <row r="155" spans="1:11" s="1" customFormat="1">
      <c r="A155" s="10"/>
      <c r="B155" s="37"/>
      <c r="C155" s="9"/>
      <c r="D155" s="16"/>
      <c r="E155" s="17"/>
      <c r="F155" s="26">
        <v>55</v>
      </c>
      <c r="G155" s="22" t="s">
        <v>43</v>
      </c>
      <c r="H155" s="30">
        <f>22.07</f>
        <v>22.07</v>
      </c>
      <c r="I155" s="6" t="s">
        <v>15</v>
      </c>
    </row>
    <row r="156" spans="1:11" s="1" customFormat="1">
      <c r="A156" s="10"/>
      <c r="B156" s="37"/>
      <c r="C156" s="9"/>
      <c r="D156" s="16"/>
      <c r="E156" s="17"/>
      <c r="F156" s="26"/>
      <c r="G156" s="22"/>
      <c r="H156" s="30"/>
      <c r="I156" s="6"/>
    </row>
    <row r="157" spans="1:11" s="1" customFormat="1">
      <c r="A157" s="11" t="s">
        <v>4</v>
      </c>
      <c r="B157" s="10"/>
      <c r="C157" s="10"/>
      <c r="D157" s="18">
        <f>SUM(D146:D156)</f>
        <v>96.33</v>
      </c>
      <c r="E157" s="6"/>
      <c r="F157" s="27">
        <f>SUM(F146:F156)</f>
        <v>208.37</v>
      </c>
      <c r="G157" s="23"/>
      <c r="H157" s="31">
        <f>SUM(H146:H156)</f>
        <v>3251.28</v>
      </c>
      <c r="I157" s="2"/>
    </row>
    <row r="158" spans="1:11" s="1" customFormat="1" ht="15.75" thickBot="1">
      <c r="A158" s="12" t="s">
        <v>5</v>
      </c>
      <c r="B158" s="34">
        <f>SUM(D157+F157+H157)</f>
        <v>3555.98</v>
      </c>
      <c r="C158" s="33"/>
      <c r="D158" s="19"/>
      <c r="E158" s="20"/>
      <c r="F158" s="28"/>
      <c r="G158" s="24"/>
      <c r="H158" s="32"/>
      <c r="I158" s="3"/>
    </row>
    <row r="159" spans="1:11" ht="15.75" thickBot="1">
      <c r="J159" s="1"/>
      <c r="K159" s="40"/>
    </row>
    <row r="160" spans="1:11" ht="20.25" thickBot="1">
      <c r="A160" s="35" t="s">
        <v>8</v>
      </c>
      <c r="B160" s="36">
        <f>SUM(B11,B21,B30,B36,B42,B48,B60,B89,B95,B108,B121,B131,B145,B158)</f>
        <v>49556.580000000009</v>
      </c>
      <c r="J160" s="1"/>
      <c r="K160" s="40"/>
    </row>
    <row r="161" spans="10:11">
      <c r="J161" s="1"/>
      <c r="K161" s="41"/>
    </row>
    <row r="162" spans="10:11">
      <c r="J162" s="1"/>
      <c r="K162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opLeftCell="A13" workbookViewId="0">
      <selection activeCell="H24" sqref="H24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 t="s">
        <v>292</v>
      </c>
      <c r="B2" s="8" t="s">
        <v>293</v>
      </c>
      <c r="C2" s="8" t="s">
        <v>20</v>
      </c>
      <c r="D2" s="14">
        <f>129.14</f>
        <v>129.13999999999999</v>
      </c>
      <c r="E2" s="15" t="s">
        <v>16</v>
      </c>
      <c r="F2" s="25"/>
      <c r="G2" s="21"/>
      <c r="H2" s="29"/>
      <c r="I2" s="5"/>
    </row>
    <row r="3" spans="1:9" s="1" customFormat="1">
      <c r="A3" s="10"/>
      <c r="B3" s="37" t="s">
        <v>17</v>
      </c>
      <c r="C3" s="9"/>
      <c r="D3" s="16">
        <f>72.69</f>
        <v>72.69</v>
      </c>
      <c r="E3" s="17" t="s">
        <v>14</v>
      </c>
      <c r="F3" s="26"/>
      <c r="G3" s="22"/>
      <c r="H3" s="30">
        <f>624.05</f>
        <v>624.04999999999995</v>
      </c>
      <c r="I3" s="6" t="s">
        <v>81</v>
      </c>
    </row>
    <row r="4" spans="1:9" s="1" customFormat="1">
      <c r="A4" s="10"/>
      <c r="B4" s="37"/>
      <c r="C4" s="9"/>
      <c r="D4" s="16">
        <f>25.19</f>
        <v>25.19</v>
      </c>
      <c r="E4" s="17" t="s">
        <v>29</v>
      </c>
      <c r="F4" s="26"/>
      <c r="G4" s="22"/>
      <c r="H4" s="30"/>
      <c r="I4" s="6"/>
    </row>
    <row r="5" spans="1:9" s="1" customFormat="1">
      <c r="A5" s="10"/>
      <c r="B5" s="37"/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77</v>
      </c>
      <c r="D6" s="16"/>
      <c r="E6" s="17"/>
      <c r="F6" s="26"/>
      <c r="G6" s="22"/>
      <c r="H6" s="30">
        <f>569.58</f>
        <v>569.58000000000004</v>
      </c>
      <c r="I6" s="6" t="s">
        <v>323</v>
      </c>
    </row>
    <row r="7" spans="1:9" s="1" customFormat="1">
      <c r="A7" s="10"/>
      <c r="B7" s="37"/>
      <c r="C7" s="9"/>
      <c r="D7" s="16"/>
      <c r="E7" s="17"/>
      <c r="F7" s="26"/>
      <c r="G7" s="22"/>
      <c r="H7" s="30"/>
      <c r="I7" s="6"/>
    </row>
    <row r="8" spans="1:9" s="1" customFormat="1">
      <c r="A8" s="11" t="s">
        <v>4</v>
      </c>
      <c r="B8" s="10"/>
      <c r="C8" s="10"/>
      <c r="D8" s="18">
        <f>SUM(D2:D7)</f>
        <v>227.01999999999998</v>
      </c>
      <c r="E8" s="6"/>
      <c r="F8" s="27">
        <f>SUM(F2:F7)</f>
        <v>0</v>
      </c>
      <c r="G8" s="23"/>
      <c r="H8" s="31">
        <f>SUM(H2:H7)</f>
        <v>1193.6300000000001</v>
      </c>
      <c r="I8" s="2"/>
    </row>
    <row r="9" spans="1:9" s="1" customFormat="1" ht="15.75" thickBot="1">
      <c r="A9" s="12" t="s">
        <v>5</v>
      </c>
      <c r="B9" s="34">
        <f>SUM(D8+F8+H8)</f>
        <v>1420.65</v>
      </c>
      <c r="C9" s="33"/>
      <c r="D9" s="19"/>
      <c r="E9" s="20"/>
      <c r="F9" s="28"/>
      <c r="G9" s="24"/>
      <c r="H9" s="32"/>
      <c r="I9" s="3"/>
    </row>
    <row r="10" spans="1:9" s="1" customFormat="1">
      <c r="A10" s="43" t="s">
        <v>286</v>
      </c>
      <c r="B10" s="8" t="s">
        <v>55</v>
      </c>
      <c r="C10" s="8" t="s">
        <v>39</v>
      </c>
      <c r="D10" s="14">
        <f>131.7</f>
        <v>131.69999999999999</v>
      </c>
      <c r="E10" s="15" t="s">
        <v>16</v>
      </c>
      <c r="F10" s="25">
        <f>48</f>
        <v>48</v>
      </c>
      <c r="G10" s="21" t="s">
        <v>32</v>
      </c>
      <c r="H10" s="29">
        <f>833.68</f>
        <v>833.68</v>
      </c>
      <c r="I10" s="5" t="s">
        <v>67</v>
      </c>
    </row>
    <row r="11" spans="1:9" s="1" customFormat="1">
      <c r="A11" s="10"/>
      <c r="B11" s="37" t="s">
        <v>38</v>
      </c>
      <c r="C11" s="9"/>
      <c r="D11" s="16">
        <f>9.5</f>
        <v>9.5</v>
      </c>
      <c r="E11" s="17" t="s">
        <v>14</v>
      </c>
      <c r="F11" s="26"/>
      <c r="G11" s="22"/>
      <c r="H11" s="30">
        <f>259.95-259.95+259.95-259.95+259.95</f>
        <v>259.95</v>
      </c>
      <c r="I11" s="6" t="s">
        <v>45</v>
      </c>
    </row>
    <row r="12" spans="1:9" s="1" customFormat="1">
      <c r="A12" s="10"/>
      <c r="B12" s="37"/>
      <c r="C12" s="9"/>
      <c r="D12" s="16"/>
      <c r="E12" s="17"/>
      <c r="F12" s="26"/>
      <c r="G12" s="22"/>
      <c r="H12" s="30">
        <f>90.39</f>
        <v>90.39</v>
      </c>
      <c r="I12" s="6" t="s">
        <v>15</v>
      </c>
    </row>
    <row r="13" spans="1:9" s="1" customFormat="1">
      <c r="A13" s="10"/>
      <c r="B13" s="37"/>
      <c r="C13" s="9"/>
      <c r="D13" s="16"/>
      <c r="E13" s="17"/>
      <c r="F13" s="26"/>
      <c r="G13" s="22"/>
      <c r="H13" s="30"/>
      <c r="I13" s="6"/>
    </row>
    <row r="14" spans="1:9" s="1" customFormat="1">
      <c r="A14" s="10"/>
      <c r="B14" s="37"/>
      <c r="C14" s="9" t="s">
        <v>277</v>
      </c>
      <c r="D14" s="16"/>
      <c r="E14" s="17"/>
      <c r="F14" s="26">
        <f>7.2</f>
        <v>7.2</v>
      </c>
      <c r="G14" s="22" t="s">
        <v>42</v>
      </c>
      <c r="H14" s="30">
        <f>833.68</f>
        <v>833.68</v>
      </c>
      <c r="I14" s="6" t="s">
        <v>67</v>
      </c>
    </row>
    <row r="15" spans="1:9" s="1" customFormat="1">
      <c r="A15" s="10"/>
      <c r="B15" s="37"/>
      <c r="C15" s="9"/>
      <c r="D15" s="16"/>
      <c r="E15" s="17"/>
      <c r="F15" s="26"/>
      <c r="G15" s="22"/>
      <c r="H15" s="30">
        <f>259.95-259.95+259.95-259.95+259.95</f>
        <v>259.95</v>
      </c>
      <c r="I15" s="6" t="s">
        <v>45</v>
      </c>
    </row>
    <row r="16" spans="1:9" s="1" customFormat="1">
      <c r="A16" s="10"/>
      <c r="B16" s="37"/>
      <c r="C16" s="9"/>
      <c r="D16" s="16"/>
      <c r="E16" s="17"/>
      <c r="F16" s="26"/>
      <c r="G16" s="22"/>
      <c r="H16" s="30"/>
      <c r="I16" s="6"/>
    </row>
    <row r="17" spans="1:9" s="1" customFormat="1">
      <c r="A17" s="10"/>
      <c r="B17" s="37"/>
      <c r="C17" s="9" t="s">
        <v>57</v>
      </c>
      <c r="D17" s="16">
        <f>106.63</f>
        <v>106.63</v>
      </c>
      <c r="E17" s="17" t="s">
        <v>16</v>
      </c>
      <c r="F17" s="26"/>
      <c r="G17" s="22"/>
      <c r="H17" s="30">
        <f>833.68</f>
        <v>833.68</v>
      </c>
      <c r="I17" s="6" t="s">
        <v>67</v>
      </c>
    </row>
    <row r="18" spans="1:9" s="1" customFormat="1">
      <c r="A18" s="10"/>
      <c r="B18" s="37"/>
      <c r="C18" s="9"/>
      <c r="D18" s="16">
        <f>127.82</f>
        <v>127.82</v>
      </c>
      <c r="E18" s="17" t="s">
        <v>14</v>
      </c>
      <c r="F18" s="26"/>
      <c r="G18" s="22"/>
      <c r="H18" s="30">
        <v>259.95</v>
      </c>
      <c r="I18" s="6" t="s">
        <v>45</v>
      </c>
    </row>
    <row r="19" spans="1:9" s="1" customFormat="1">
      <c r="A19" s="10"/>
      <c r="B19" s="37"/>
      <c r="C19" s="9"/>
      <c r="D19" s="16">
        <f>77.99</f>
        <v>77.989999999999995</v>
      </c>
      <c r="E19" s="17" t="s">
        <v>29</v>
      </c>
      <c r="F19" s="26"/>
      <c r="G19" s="22"/>
      <c r="H19" s="30">
        <f>57.36</f>
        <v>57.36</v>
      </c>
      <c r="I19" s="6" t="s">
        <v>15</v>
      </c>
    </row>
    <row r="20" spans="1:9" s="1" customFormat="1">
      <c r="A20" s="10"/>
      <c r="B20" s="37"/>
      <c r="C20" s="9"/>
      <c r="D20" s="16"/>
      <c r="E20" s="17"/>
      <c r="F20" s="26"/>
      <c r="G20" s="22"/>
      <c r="H20" s="30"/>
      <c r="I20" s="6"/>
    </row>
    <row r="21" spans="1:9" s="1" customFormat="1">
      <c r="A21" s="11" t="s">
        <v>4</v>
      </c>
      <c r="B21" s="10"/>
      <c r="C21" s="10"/>
      <c r="D21" s="18">
        <f>SUM(D10:D20)</f>
        <v>453.64</v>
      </c>
      <c r="E21" s="6"/>
      <c r="F21" s="27">
        <f>SUM(F10:F20)</f>
        <v>55.2</v>
      </c>
      <c r="G21" s="23"/>
      <c r="H21" s="31">
        <f>SUM(H10:H20)</f>
        <v>3428.6399999999994</v>
      </c>
      <c r="I21" s="2"/>
    </row>
    <row r="22" spans="1:9" s="1" customFormat="1" ht="15.75" thickBot="1">
      <c r="A22" s="12" t="s">
        <v>5</v>
      </c>
      <c r="B22" s="34">
        <f>SUM(D21+F21+H21)</f>
        <v>3937.4799999999996</v>
      </c>
      <c r="C22" s="33"/>
      <c r="D22" s="19"/>
      <c r="E22" s="20"/>
      <c r="F22" s="28"/>
      <c r="G22" s="24"/>
      <c r="H22" s="32"/>
      <c r="I22" s="3"/>
    </row>
    <row r="23" spans="1:9" s="1" customFormat="1">
      <c r="A23" s="43" t="s">
        <v>282</v>
      </c>
      <c r="B23" s="8" t="s">
        <v>283</v>
      </c>
      <c r="C23" s="8" t="s">
        <v>70</v>
      </c>
      <c r="D23" s="14">
        <f>505.42</f>
        <v>505.42</v>
      </c>
      <c r="E23" s="15" t="s">
        <v>16</v>
      </c>
      <c r="F23" s="25"/>
      <c r="G23" s="21"/>
      <c r="H23" s="29">
        <f>1556.85-1556.85+1696.85+116+1884.49+85.98</f>
        <v>3783.32</v>
      </c>
      <c r="I23" s="5" t="s">
        <v>67</v>
      </c>
    </row>
    <row r="24" spans="1:9" s="1" customFormat="1">
      <c r="A24" s="10"/>
      <c r="B24" s="37" t="s">
        <v>17</v>
      </c>
      <c r="C24" s="9"/>
      <c r="D24" s="16">
        <f>217.16</f>
        <v>217.16</v>
      </c>
      <c r="E24" s="17" t="s">
        <v>14</v>
      </c>
      <c r="F24" s="26"/>
      <c r="G24" s="22"/>
      <c r="H24" s="30"/>
      <c r="I24" s="6" t="s">
        <v>45</v>
      </c>
    </row>
    <row r="25" spans="1:9" s="1" customFormat="1">
      <c r="A25" s="10"/>
      <c r="B25" s="37"/>
      <c r="C25" s="9"/>
      <c r="D25" s="16"/>
      <c r="E25" s="17"/>
      <c r="F25" s="26"/>
      <c r="G25" s="22"/>
      <c r="H25" s="30">
        <f>470.55</f>
        <v>470.55</v>
      </c>
      <c r="I25" s="6" t="s">
        <v>15</v>
      </c>
    </row>
    <row r="26" spans="1:9" s="1" customFormat="1">
      <c r="A26" s="10"/>
      <c r="B26" s="37"/>
      <c r="C26" s="9"/>
      <c r="D26" s="16"/>
      <c r="E26" s="17"/>
      <c r="F26" s="26"/>
      <c r="G26" s="22"/>
      <c r="H26" s="30"/>
      <c r="I26" s="6"/>
    </row>
    <row r="27" spans="1:9" s="1" customFormat="1">
      <c r="A27" s="10"/>
      <c r="B27" s="37"/>
      <c r="C27" s="9" t="s">
        <v>20</v>
      </c>
      <c r="D27" s="16"/>
      <c r="E27" s="17"/>
      <c r="F27" s="26"/>
      <c r="G27" s="22"/>
      <c r="H27" s="30">
        <f>865.73+634.26+112.45+251+40</f>
        <v>1903.44</v>
      </c>
      <c r="I27" s="6" t="s">
        <v>67</v>
      </c>
    </row>
    <row r="28" spans="1:9" s="1" customFormat="1">
      <c r="A28" s="10"/>
      <c r="B28" s="37"/>
      <c r="C28" s="9"/>
      <c r="D28" s="16">
        <f>106.8</f>
        <v>106.8</v>
      </c>
      <c r="E28" s="17" t="s">
        <v>14</v>
      </c>
      <c r="F28" s="26"/>
      <c r="G28" s="22"/>
      <c r="H28" s="30">
        <f>405.63</f>
        <v>405.63</v>
      </c>
      <c r="I28" s="6" t="s">
        <v>295</v>
      </c>
    </row>
    <row r="29" spans="1:9" s="1" customFormat="1">
      <c r="A29" s="10"/>
      <c r="B29" s="37"/>
      <c r="C29" s="9"/>
      <c r="D29" s="16"/>
      <c r="E29" s="17"/>
      <c r="F29" s="26"/>
      <c r="G29" s="22"/>
      <c r="H29" s="30"/>
      <c r="I29" s="6"/>
    </row>
    <row r="30" spans="1:9" s="1" customFormat="1">
      <c r="A30" s="10"/>
      <c r="B30" s="37"/>
      <c r="C30" s="9" t="s">
        <v>77</v>
      </c>
      <c r="D30" s="16">
        <f>536.23+48.85</f>
        <v>585.08000000000004</v>
      </c>
      <c r="E30" s="17" t="s">
        <v>16</v>
      </c>
      <c r="F30" s="26">
        <f>241.21</f>
        <v>241.21</v>
      </c>
      <c r="G30" s="22" t="s">
        <v>351</v>
      </c>
      <c r="H30" s="30">
        <f>419.31</f>
        <v>419.31</v>
      </c>
      <c r="I30" s="6" t="s">
        <v>67</v>
      </c>
    </row>
    <row r="31" spans="1:9" s="1" customFormat="1">
      <c r="A31" s="10"/>
      <c r="B31" s="37"/>
      <c r="C31" s="9"/>
      <c r="D31" s="16">
        <f>48.54</f>
        <v>48.54</v>
      </c>
      <c r="E31" s="17" t="s">
        <v>14</v>
      </c>
      <c r="F31" s="26">
        <f>50.94</f>
        <v>50.94</v>
      </c>
      <c r="G31" s="22" t="s">
        <v>42</v>
      </c>
      <c r="H31" s="30">
        <f>1036.17</f>
        <v>1036.17</v>
      </c>
      <c r="I31" s="6" t="s">
        <v>352</v>
      </c>
    </row>
    <row r="32" spans="1:9" s="1" customFormat="1">
      <c r="A32" s="10"/>
      <c r="B32" s="37"/>
      <c r="C32" s="9"/>
      <c r="D32" s="16">
        <f>26.41</f>
        <v>26.41</v>
      </c>
      <c r="E32" s="17" t="s">
        <v>29</v>
      </c>
      <c r="F32" s="26">
        <f>11.16</f>
        <v>11.16</v>
      </c>
      <c r="G32" s="22" t="s">
        <v>43</v>
      </c>
      <c r="H32" s="30"/>
      <c r="I32" s="6"/>
    </row>
    <row r="33" spans="1:9" s="1" customFormat="1">
      <c r="A33" s="10"/>
      <c r="B33" s="37"/>
      <c r="C33" s="9"/>
      <c r="D33" s="16"/>
      <c r="E33" s="17"/>
      <c r="F33" s="26"/>
      <c r="G33" s="22"/>
      <c r="H33" s="30"/>
      <c r="I33" s="6"/>
    </row>
    <row r="34" spans="1:9" s="1" customFormat="1">
      <c r="A34" s="11" t="s">
        <v>4</v>
      </c>
      <c r="B34" s="10"/>
      <c r="C34" s="10"/>
      <c r="D34" s="18">
        <f>SUM(D23:D33)</f>
        <v>1489.41</v>
      </c>
      <c r="E34" s="6"/>
      <c r="F34" s="27">
        <f>SUM(F23:F24)</f>
        <v>0</v>
      </c>
      <c r="G34" s="23"/>
      <c r="H34" s="31">
        <f>SUM(H23:H33)</f>
        <v>8018.42</v>
      </c>
      <c r="I34" s="2"/>
    </row>
    <row r="35" spans="1:9" s="1" customFormat="1" ht="15.75" thickBot="1">
      <c r="A35" s="12" t="s">
        <v>5</v>
      </c>
      <c r="B35" s="34">
        <f>SUM(D34+F34+H34)</f>
        <v>9507.83</v>
      </c>
      <c r="C35" s="33"/>
      <c r="D35" s="19"/>
      <c r="E35" s="20"/>
      <c r="F35" s="28"/>
      <c r="G35" s="24"/>
      <c r="H35" s="32"/>
      <c r="I35" s="3"/>
    </row>
    <row r="36" spans="1:9" s="1" customFormat="1">
      <c r="A36" s="43" t="s">
        <v>284</v>
      </c>
      <c r="B36" s="8" t="s">
        <v>34</v>
      </c>
      <c r="C36" s="8" t="s">
        <v>20</v>
      </c>
      <c r="D36" s="14"/>
      <c r="E36" s="15"/>
      <c r="F36" s="25"/>
      <c r="G36" s="21"/>
      <c r="H36" s="29">
        <f>865.73+634.26</f>
        <v>1499.99</v>
      </c>
      <c r="I36" s="5" t="s">
        <v>67</v>
      </c>
    </row>
    <row r="37" spans="1:9" s="1" customFormat="1">
      <c r="A37" s="10"/>
      <c r="B37" s="37" t="s">
        <v>89</v>
      </c>
      <c r="C37" s="9"/>
      <c r="D37" s="16"/>
      <c r="E37" s="17"/>
      <c r="F37" s="26"/>
      <c r="G37" s="22"/>
      <c r="H37" s="30">
        <f>928.72-928.72</f>
        <v>0</v>
      </c>
      <c r="I37" s="6" t="s">
        <v>296</v>
      </c>
    </row>
    <row r="38" spans="1:9" s="1" customFormat="1">
      <c r="A38" s="10"/>
      <c r="B38" s="37" t="s">
        <v>208</v>
      </c>
      <c r="C38" s="9"/>
      <c r="D38" s="16"/>
      <c r="E38" s="17"/>
      <c r="F38" s="26"/>
      <c r="G38" s="22"/>
      <c r="H38" s="30"/>
      <c r="I38" s="6"/>
    </row>
    <row r="39" spans="1:9" s="1" customFormat="1">
      <c r="A39" s="10" t="s">
        <v>285</v>
      </c>
      <c r="B39" s="37"/>
      <c r="C39" s="9" t="s">
        <v>231</v>
      </c>
      <c r="D39" s="16"/>
      <c r="E39" s="17"/>
      <c r="F39" s="26"/>
      <c r="G39" s="22"/>
      <c r="H39" s="30">
        <f>622.87</f>
        <v>622.87</v>
      </c>
      <c r="I39" s="6" t="s">
        <v>67</v>
      </c>
    </row>
    <row r="40" spans="1:9" s="1" customFormat="1">
      <c r="A40" s="10"/>
      <c r="B40" s="37"/>
      <c r="C40" s="9"/>
      <c r="D40" s="16"/>
      <c r="E40" s="17"/>
      <c r="F40" s="26"/>
      <c r="G40" s="22"/>
      <c r="H40" s="30">
        <f>602-602</f>
        <v>0</v>
      </c>
      <c r="I40" s="6" t="s">
        <v>296</v>
      </c>
    </row>
    <row r="41" spans="1:9" s="1" customFormat="1">
      <c r="A41" s="10"/>
      <c r="B41" s="37"/>
      <c r="C41" s="9"/>
      <c r="D41" s="16"/>
      <c r="E41" s="17"/>
      <c r="F41" s="26"/>
      <c r="G41" s="22"/>
      <c r="H41" s="30"/>
      <c r="I41" s="6"/>
    </row>
    <row r="42" spans="1:9" s="1" customFormat="1">
      <c r="A42" s="11" t="s">
        <v>4</v>
      </c>
      <c r="B42" s="10"/>
      <c r="C42" s="10"/>
      <c r="D42" s="18">
        <f>SUM(D36:D41)</f>
        <v>0</v>
      </c>
      <c r="E42" s="6"/>
      <c r="F42" s="27">
        <f>SUM(F36:F41)</f>
        <v>0</v>
      </c>
      <c r="G42" s="23"/>
      <c r="H42" s="31">
        <f>SUM(H36:H41)</f>
        <v>2122.86</v>
      </c>
      <c r="I42" s="2"/>
    </row>
    <row r="43" spans="1:9" s="1" customFormat="1" ht="15.75" thickBot="1">
      <c r="A43" s="12" t="s">
        <v>5</v>
      </c>
      <c r="B43" s="34">
        <f>SUM(D42+F42+H42)</f>
        <v>2122.86</v>
      </c>
      <c r="C43" s="33"/>
      <c r="D43" s="19"/>
      <c r="E43" s="20"/>
      <c r="F43" s="28"/>
      <c r="G43" s="24"/>
      <c r="H43" s="32"/>
      <c r="I43" s="3"/>
    </row>
    <row r="44" spans="1:9" s="1" customFormat="1">
      <c r="A44" s="43" t="s">
        <v>287</v>
      </c>
      <c r="B44" s="8" t="s">
        <v>55</v>
      </c>
      <c r="C44" s="8" t="s">
        <v>11</v>
      </c>
      <c r="D44" s="14">
        <f>8.98</f>
        <v>8.98</v>
      </c>
      <c r="E44" s="15" t="s">
        <v>16</v>
      </c>
      <c r="F44" s="25"/>
      <c r="G44" s="21"/>
      <c r="H44" s="29">
        <f>262.7</f>
        <v>262.7</v>
      </c>
      <c r="I44" s="5" t="s">
        <v>67</v>
      </c>
    </row>
    <row r="45" spans="1:9" s="1" customFormat="1">
      <c r="A45" s="10"/>
      <c r="B45" s="37" t="s">
        <v>199</v>
      </c>
      <c r="C45" s="9"/>
      <c r="D45" s="16">
        <f>39.02</f>
        <v>39.020000000000003</v>
      </c>
      <c r="E45" s="17" t="s">
        <v>14</v>
      </c>
      <c r="F45" s="26"/>
      <c r="G45" s="22"/>
      <c r="H45" s="30">
        <f>141.34</f>
        <v>141.34</v>
      </c>
      <c r="I45" s="6" t="s">
        <v>45</v>
      </c>
    </row>
    <row r="46" spans="1:9" s="1" customFormat="1">
      <c r="A46" s="10"/>
      <c r="B46" s="37"/>
      <c r="C46" s="9"/>
      <c r="D46" s="16"/>
      <c r="E46" s="17"/>
      <c r="F46" s="26"/>
      <c r="G46" s="22"/>
      <c r="H46" s="30">
        <f>94.81</f>
        <v>94.81</v>
      </c>
      <c r="I46" s="6" t="s">
        <v>15</v>
      </c>
    </row>
    <row r="47" spans="1:9" s="1" customFormat="1">
      <c r="A47" s="10"/>
      <c r="B47" s="37"/>
      <c r="C47" s="9"/>
      <c r="D47" s="16"/>
      <c r="E47" s="17"/>
      <c r="F47" s="26"/>
      <c r="G47" s="22"/>
      <c r="H47" s="30"/>
      <c r="I47" s="6"/>
    </row>
    <row r="48" spans="1:9" s="1" customFormat="1">
      <c r="A48" s="10" t="s">
        <v>289</v>
      </c>
      <c r="B48" s="37"/>
      <c r="C48" s="9" t="s">
        <v>12</v>
      </c>
      <c r="D48" s="16">
        <f>119.2</f>
        <v>119.2</v>
      </c>
      <c r="E48" s="17" t="s">
        <v>16</v>
      </c>
      <c r="F48" s="26"/>
      <c r="G48" s="22"/>
      <c r="H48" s="30">
        <f>216.93</f>
        <v>216.93</v>
      </c>
      <c r="I48" s="6" t="s">
        <v>67</v>
      </c>
    </row>
    <row r="49" spans="1:9" s="1" customFormat="1">
      <c r="A49" s="10"/>
      <c r="B49" s="37"/>
      <c r="C49" s="9"/>
      <c r="D49" s="16">
        <f>125.64</f>
        <v>125.64</v>
      </c>
      <c r="E49" s="17" t="s">
        <v>14</v>
      </c>
      <c r="F49" s="26"/>
      <c r="G49" s="22"/>
      <c r="H49" s="30">
        <f>282.68</f>
        <v>282.68</v>
      </c>
      <c r="I49" s="6" t="s">
        <v>45</v>
      </c>
    </row>
    <row r="50" spans="1:9" s="1" customFormat="1">
      <c r="A50" s="10"/>
      <c r="B50" s="37"/>
      <c r="C50" s="9"/>
      <c r="D50" s="16"/>
      <c r="E50" s="17"/>
      <c r="F50" s="26"/>
      <c r="G50" s="22"/>
      <c r="H50" s="30">
        <v>274.05</v>
      </c>
      <c r="I50" s="6" t="s">
        <v>15</v>
      </c>
    </row>
    <row r="51" spans="1:9" s="1" customFormat="1">
      <c r="A51" s="10"/>
      <c r="B51" s="37"/>
      <c r="C51" s="9"/>
      <c r="D51" s="16"/>
      <c r="E51" s="17"/>
      <c r="F51" s="26"/>
      <c r="G51" s="22"/>
      <c r="H51" s="30"/>
      <c r="I51" s="6"/>
    </row>
    <row r="52" spans="1:9" s="1" customFormat="1">
      <c r="A52" s="11" t="s">
        <v>4</v>
      </c>
      <c r="B52" s="10"/>
      <c r="C52" s="10"/>
      <c r="D52" s="18">
        <f>SUM(D44:D51)</f>
        <v>292.83999999999997</v>
      </c>
      <c r="E52" s="6"/>
      <c r="F52" s="27">
        <f>SUM(F44:F51)</f>
        <v>0</v>
      </c>
      <c r="G52" s="23"/>
      <c r="H52" s="31">
        <f>SUM(H44:H51)</f>
        <v>1272.51</v>
      </c>
      <c r="I52" s="2"/>
    </row>
    <row r="53" spans="1:9" s="1" customFormat="1" ht="15.75" thickBot="1">
      <c r="A53" s="12" t="s">
        <v>5</v>
      </c>
      <c r="B53" s="34">
        <f>SUM(D52+F52+H52)</f>
        <v>1565.35</v>
      </c>
      <c r="C53" s="33"/>
      <c r="D53" s="19"/>
      <c r="E53" s="20"/>
      <c r="F53" s="28"/>
      <c r="G53" s="24"/>
      <c r="H53" s="32"/>
      <c r="I53" s="3"/>
    </row>
    <row r="54" spans="1:9" s="1" customFormat="1">
      <c r="A54" s="43" t="s">
        <v>294</v>
      </c>
      <c r="B54" s="8" t="s">
        <v>55</v>
      </c>
      <c r="C54" s="8" t="s">
        <v>20</v>
      </c>
      <c r="D54" s="14">
        <f>14.96</f>
        <v>14.96</v>
      </c>
      <c r="E54" s="15" t="s">
        <v>16</v>
      </c>
      <c r="F54" s="25">
        <f>7.8</f>
        <v>7.8</v>
      </c>
      <c r="G54" s="21" t="s">
        <v>50</v>
      </c>
      <c r="H54" s="29">
        <f>1793.12</f>
        <v>1793.12</v>
      </c>
      <c r="I54" s="5" t="s">
        <v>67</v>
      </c>
    </row>
    <row r="55" spans="1:9" s="1" customFormat="1">
      <c r="A55" s="10"/>
      <c r="B55" s="37" t="s">
        <v>17</v>
      </c>
      <c r="C55" s="9"/>
      <c r="D55" s="16"/>
      <c r="E55" s="17"/>
      <c r="F55" s="26">
        <f>5.85</f>
        <v>5.85</v>
      </c>
      <c r="G55" s="22" t="s">
        <v>43</v>
      </c>
      <c r="H55" s="30">
        <f>113.68</f>
        <v>113.68</v>
      </c>
      <c r="I55" s="6" t="s">
        <v>45</v>
      </c>
    </row>
    <row r="56" spans="1:9" s="1" customFormat="1">
      <c r="A56" s="10"/>
      <c r="B56" s="37"/>
      <c r="C56" s="9"/>
      <c r="D56" s="16"/>
      <c r="E56" s="17"/>
      <c r="F56" s="26"/>
      <c r="G56" s="22"/>
      <c r="H56" s="30">
        <f>70.6</f>
        <v>70.599999999999994</v>
      </c>
      <c r="I56" s="6" t="s">
        <v>15</v>
      </c>
    </row>
    <row r="57" spans="1:9" s="1" customFormat="1">
      <c r="A57" s="10"/>
      <c r="B57" s="37"/>
      <c r="C57" s="9"/>
      <c r="D57" s="16"/>
      <c r="E57" s="17"/>
      <c r="F57" s="26"/>
      <c r="G57" s="22"/>
      <c r="H57" s="30"/>
      <c r="I57" s="6"/>
    </row>
    <row r="58" spans="1:9" s="1" customFormat="1">
      <c r="A58" s="10"/>
      <c r="B58" s="37"/>
      <c r="C58" s="9" t="s">
        <v>77</v>
      </c>
      <c r="D58" s="16">
        <f>1.72</f>
        <v>1.72</v>
      </c>
      <c r="E58" s="17" t="s">
        <v>16</v>
      </c>
      <c r="F58" s="26">
        <f>32.99</f>
        <v>32.99</v>
      </c>
      <c r="G58" s="22" t="s">
        <v>42</v>
      </c>
      <c r="H58" s="30"/>
      <c r="I58" s="6"/>
    </row>
    <row r="59" spans="1:9" s="1" customFormat="1">
      <c r="A59" s="10"/>
      <c r="B59" s="37"/>
      <c r="C59" s="9"/>
      <c r="D59" s="16">
        <f>59.8</f>
        <v>59.8</v>
      </c>
      <c r="E59" s="17" t="s">
        <v>14</v>
      </c>
      <c r="F59" s="26"/>
      <c r="G59" s="22"/>
      <c r="H59" s="30">
        <f>135.94</f>
        <v>135.94</v>
      </c>
      <c r="I59" s="6" t="s">
        <v>45</v>
      </c>
    </row>
    <row r="60" spans="1:9" s="1" customFormat="1">
      <c r="A60" s="10"/>
      <c r="B60" s="37"/>
      <c r="C60" s="9"/>
      <c r="D60" s="16"/>
      <c r="E60" s="17"/>
      <c r="F60" s="26"/>
      <c r="G60" s="22"/>
      <c r="H60" s="30">
        <f>217.85</f>
        <v>217.85</v>
      </c>
      <c r="I60" s="6" t="s">
        <v>353</v>
      </c>
    </row>
    <row r="61" spans="1:9" s="1" customFormat="1">
      <c r="A61" s="10"/>
      <c r="B61" s="37"/>
      <c r="C61" s="9"/>
      <c r="D61" s="16"/>
      <c r="E61" s="17"/>
      <c r="F61" s="26"/>
      <c r="G61" s="22"/>
      <c r="H61" s="30"/>
      <c r="I61" s="6"/>
    </row>
    <row r="62" spans="1:9" s="1" customFormat="1">
      <c r="A62" s="11" t="s">
        <v>4</v>
      </c>
      <c r="B62" s="10"/>
      <c r="C62" s="10"/>
      <c r="D62" s="18">
        <f>SUM(D54:D61)</f>
        <v>76.47999999999999</v>
      </c>
      <c r="E62" s="6"/>
      <c r="F62" s="27">
        <f>SUM(F54:F61)</f>
        <v>46.64</v>
      </c>
      <c r="G62" s="23"/>
      <c r="H62" s="31">
        <f>SUM(H54:H61)</f>
        <v>2331.1899999999996</v>
      </c>
      <c r="I62" s="2"/>
    </row>
    <row r="63" spans="1:9" s="1" customFormat="1" ht="15.75" thickBot="1">
      <c r="A63" s="12" t="s">
        <v>5</v>
      </c>
      <c r="B63" s="34">
        <f>SUM(D62+F62+H62)</f>
        <v>2454.3099999999995</v>
      </c>
      <c r="C63" s="33"/>
      <c r="D63" s="19"/>
      <c r="E63" s="20"/>
      <c r="F63" s="28"/>
      <c r="G63" s="24"/>
      <c r="H63" s="32"/>
      <c r="I63" s="3"/>
    </row>
    <row r="64" spans="1:9" s="1" customFormat="1">
      <c r="A64" s="43" t="s">
        <v>297</v>
      </c>
      <c r="B64" s="8" t="s">
        <v>55</v>
      </c>
      <c r="C64" s="8" t="s">
        <v>57</v>
      </c>
      <c r="D64" s="14">
        <f>111.97</f>
        <v>111.97</v>
      </c>
      <c r="E64" s="15" t="s">
        <v>16</v>
      </c>
      <c r="F64" s="25">
        <v>24</v>
      </c>
      <c r="G64" s="21" t="s">
        <v>32</v>
      </c>
      <c r="H64" s="29">
        <f>1165.31-1165.31+1165.31+1024-1024+100+100-100</f>
        <v>1265.31</v>
      </c>
      <c r="I64" s="5" t="s">
        <v>67</v>
      </c>
    </row>
    <row r="65" spans="1:11" s="1" customFormat="1">
      <c r="A65" s="10"/>
      <c r="B65" s="37" t="s">
        <v>291</v>
      </c>
      <c r="C65" s="9"/>
      <c r="D65" s="16">
        <f>6.9</f>
        <v>6.9</v>
      </c>
      <c r="E65" s="17" t="s">
        <v>14</v>
      </c>
      <c r="F65" s="26"/>
      <c r="G65" s="22"/>
      <c r="H65" s="30">
        <f>339.48+509.22-339.48</f>
        <v>509.22</v>
      </c>
      <c r="I65" s="6" t="s">
        <v>45</v>
      </c>
    </row>
    <row r="66" spans="1:11" s="1" customFormat="1">
      <c r="A66" s="10"/>
      <c r="B66" s="37"/>
      <c r="C66" s="9"/>
      <c r="D66" s="16">
        <f>20.56</f>
        <v>20.56</v>
      </c>
      <c r="E66" s="17" t="s">
        <v>29</v>
      </c>
      <c r="F66" s="26"/>
      <c r="G66" s="22"/>
      <c r="H66" s="30">
        <f>430.29</f>
        <v>430.29</v>
      </c>
      <c r="I66" s="6" t="s">
        <v>15</v>
      </c>
    </row>
    <row r="67" spans="1:11" s="1" customFormat="1">
      <c r="A67" s="10"/>
      <c r="B67" s="37"/>
      <c r="C67" s="9"/>
      <c r="D67" s="16"/>
      <c r="E67" s="17"/>
      <c r="F67" s="26"/>
      <c r="G67" s="22"/>
      <c r="H67" s="30"/>
      <c r="I67" s="6"/>
    </row>
    <row r="68" spans="1:11" s="1" customFormat="1">
      <c r="A68" s="10"/>
      <c r="B68" s="37"/>
      <c r="C68" s="9" t="s">
        <v>49</v>
      </c>
      <c r="D68" s="16">
        <f>15.24</f>
        <v>15.24</v>
      </c>
      <c r="E68" s="17" t="s">
        <v>16</v>
      </c>
      <c r="F68" s="26">
        <f>111.95</f>
        <v>111.95</v>
      </c>
      <c r="G68" s="22" t="s">
        <v>42</v>
      </c>
      <c r="H68" s="30">
        <f>1165.31-1165.31+1165.31+100+100-100</f>
        <v>1265.31</v>
      </c>
      <c r="I68" s="6" t="s">
        <v>67</v>
      </c>
    </row>
    <row r="69" spans="1:11" s="1" customFormat="1">
      <c r="A69" s="10"/>
      <c r="B69" s="37"/>
      <c r="C69" s="9"/>
      <c r="D69" s="16">
        <f>11.84</f>
        <v>11.84</v>
      </c>
      <c r="E69" s="17" t="s">
        <v>14</v>
      </c>
      <c r="F69" s="26">
        <f>10.4</f>
        <v>10.4</v>
      </c>
      <c r="G69" s="22" t="s">
        <v>50</v>
      </c>
      <c r="H69" s="30">
        <f>339.48+509.22-339.48</f>
        <v>509.22</v>
      </c>
      <c r="I69" s="6" t="s">
        <v>45</v>
      </c>
    </row>
    <row r="70" spans="1:11" s="1" customFormat="1">
      <c r="A70" s="10"/>
      <c r="B70" s="37"/>
      <c r="C70" s="9"/>
      <c r="D70" s="16">
        <f>20.99</f>
        <v>20.99</v>
      </c>
      <c r="E70" s="17" t="s">
        <v>29</v>
      </c>
      <c r="F70" s="26">
        <f>76</f>
        <v>76</v>
      </c>
      <c r="G70" s="22" t="s">
        <v>43</v>
      </c>
      <c r="H70" s="30">
        <f>403.82</f>
        <v>403.82</v>
      </c>
      <c r="I70" s="6" t="s">
        <v>15</v>
      </c>
    </row>
    <row r="71" spans="1:11" s="1" customFormat="1">
      <c r="A71" s="10"/>
      <c r="B71" s="37"/>
      <c r="C71" s="9"/>
      <c r="D71" s="16"/>
      <c r="E71" s="17"/>
      <c r="F71" s="26"/>
      <c r="G71" s="22"/>
      <c r="H71" s="30"/>
      <c r="I71" s="6"/>
    </row>
    <row r="72" spans="1:11" s="1" customFormat="1">
      <c r="A72" s="10"/>
      <c r="B72" s="37"/>
      <c r="C72" s="9" t="s">
        <v>277</v>
      </c>
      <c r="D72" s="16"/>
      <c r="E72" s="17"/>
      <c r="F72" s="26"/>
      <c r="G72" s="22"/>
      <c r="H72" s="30">
        <f>1165.31-1165.31+1165.31</f>
        <v>1165.31</v>
      </c>
      <c r="I72" s="6" t="s">
        <v>67</v>
      </c>
    </row>
    <row r="73" spans="1:11" s="1" customFormat="1">
      <c r="A73" s="10"/>
      <c r="B73" s="37"/>
      <c r="C73" s="9"/>
      <c r="D73" s="16"/>
      <c r="E73" s="17"/>
      <c r="F73" s="26"/>
      <c r="G73" s="22"/>
      <c r="H73" s="30">
        <f>339.48-339.48</f>
        <v>0</v>
      </c>
      <c r="I73" s="6" t="s">
        <v>298</v>
      </c>
    </row>
    <row r="74" spans="1:11" s="1" customFormat="1">
      <c r="A74" s="10"/>
      <c r="B74" s="37"/>
      <c r="C74" s="9"/>
      <c r="D74" s="16"/>
      <c r="E74" s="17"/>
      <c r="F74" s="26"/>
      <c r="G74" s="22"/>
      <c r="H74" s="30"/>
      <c r="I74" s="6"/>
    </row>
    <row r="75" spans="1:11" s="1" customFormat="1">
      <c r="A75" s="11" t="s">
        <v>4</v>
      </c>
      <c r="B75" s="10"/>
      <c r="C75" s="10"/>
      <c r="D75" s="18">
        <f>SUM(D64:D74)</f>
        <v>187.50000000000003</v>
      </c>
      <c r="E75" s="6"/>
      <c r="F75" s="27">
        <f>SUM(F64:F74)</f>
        <v>222.35</v>
      </c>
      <c r="G75" s="23"/>
      <c r="H75" s="31">
        <f>SUM(H64:H74)</f>
        <v>5548.48</v>
      </c>
      <c r="I75" s="2"/>
    </row>
    <row r="76" spans="1:11" s="1" customFormat="1" ht="15.75" thickBot="1">
      <c r="A76" s="12" t="s">
        <v>5</v>
      </c>
      <c r="B76" s="34">
        <f>SUM(D75+F75+H75)</f>
        <v>5958.33</v>
      </c>
      <c r="C76" s="33"/>
      <c r="D76" s="19"/>
      <c r="E76" s="20"/>
      <c r="F76" s="28"/>
      <c r="G76" s="24"/>
      <c r="H76" s="32"/>
      <c r="I76" s="3"/>
    </row>
    <row r="77" spans="1:11" ht="15.75" thickBot="1">
      <c r="J77" s="1"/>
      <c r="K77" s="40"/>
    </row>
    <row r="78" spans="1:11" ht="20.25" thickBot="1">
      <c r="A78" s="35" t="s">
        <v>8</v>
      </c>
      <c r="B78" s="36">
        <f>SUM(B9,B22,B35,B43,B53,B63,B76)</f>
        <v>26966.809999999998</v>
      </c>
      <c r="J78" s="1"/>
      <c r="K78" s="40"/>
    </row>
    <row r="79" spans="1:11">
      <c r="J79" s="1"/>
      <c r="K79" s="41"/>
    </row>
    <row r="80" spans="1:11">
      <c r="J80" s="1"/>
      <c r="K80" s="40"/>
    </row>
  </sheetData>
  <mergeCells count="3"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8"/>
  <sheetViews>
    <sheetView topLeftCell="A67" workbookViewId="0">
      <selection activeCell="H89" sqref="H89"/>
    </sheetView>
  </sheetViews>
  <sheetFormatPr defaultRowHeight="15"/>
  <cols>
    <col min="1" max="1" width="17.7109375" customWidth="1"/>
    <col min="2" max="2" width="29.140625" customWidth="1"/>
    <col min="3" max="3" width="19.140625" customWidth="1"/>
    <col min="4" max="4" width="18.28515625" customWidth="1"/>
    <col min="5" max="5" width="26.42578125" customWidth="1"/>
    <col min="6" max="6" width="15.7109375" customWidth="1"/>
    <col min="7" max="7" width="30.140625" customWidth="1"/>
    <col min="8" max="8" width="19.28515625" customWidth="1"/>
    <col min="9" max="9" width="33.28515625" customWidth="1"/>
    <col min="10" max="10" width="14.42578125" bestFit="1" customWidth="1"/>
    <col min="11" max="11" width="9.7109375" bestFit="1" customWidth="1"/>
  </cols>
  <sheetData>
    <row r="1" spans="1:9" s="1" customFormat="1" ht="15.75" thickBot="1">
      <c r="A1" s="7" t="s">
        <v>2</v>
      </c>
      <c r="B1" s="7" t="s">
        <v>0</v>
      </c>
      <c r="C1" s="7" t="s">
        <v>1</v>
      </c>
      <c r="D1" s="54" t="s">
        <v>7</v>
      </c>
      <c r="E1" s="55"/>
      <c r="F1" s="56" t="s">
        <v>6</v>
      </c>
      <c r="G1" s="57"/>
      <c r="H1" s="56" t="s">
        <v>3</v>
      </c>
      <c r="I1" s="57"/>
    </row>
    <row r="2" spans="1:9" s="1" customFormat="1">
      <c r="A2" s="43"/>
      <c r="B2" s="8" t="s">
        <v>55</v>
      </c>
      <c r="C2" s="8" t="s">
        <v>76</v>
      </c>
      <c r="D2" s="14">
        <f>164.6</f>
        <v>164.6</v>
      </c>
      <c r="E2" s="15" t="s">
        <v>101</v>
      </c>
      <c r="F2" s="25"/>
      <c r="G2" s="21"/>
      <c r="H2" s="29"/>
      <c r="I2" s="5"/>
    </row>
    <row r="3" spans="1:9" s="1" customFormat="1">
      <c r="A3" s="10"/>
      <c r="B3" s="37" t="s">
        <v>99</v>
      </c>
      <c r="C3" s="9"/>
      <c r="D3" s="16"/>
      <c r="E3" s="17"/>
      <c r="F3" s="26"/>
      <c r="G3" s="22"/>
      <c r="H3" s="30"/>
      <c r="I3" s="6"/>
    </row>
    <row r="4" spans="1:9" s="1" customFormat="1">
      <c r="A4" s="10"/>
      <c r="B4" s="37" t="s">
        <v>208</v>
      </c>
      <c r="C4" s="9" t="s">
        <v>57</v>
      </c>
      <c r="D4" s="16">
        <f>189</f>
        <v>189</v>
      </c>
      <c r="E4" s="17" t="s">
        <v>101</v>
      </c>
      <c r="F4" s="26"/>
      <c r="G4" s="22"/>
      <c r="H4" s="30"/>
      <c r="I4" s="6"/>
    </row>
    <row r="5" spans="1:9" s="1" customFormat="1">
      <c r="A5" s="10"/>
      <c r="B5" s="37"/>
      <c r="C5" s="9"/>
      <c r="D5" s="16"/>
      <c r="E5" s="17"/>
      <c r="F5" s="26"/>
      <c r="G5" s="22"/>
      <c r="H5" s="30"/>
      <c r="I5" s="6"/>
    </row>
    <row r="6" spans="1:9" s="1" customFormat="1">
      <c r="A6" s="10"/>
      <c r="B6" s="37"/>
      <c r="C6" s="9" t="s">
        <v>39</v>
      </c>
      <c r="D6" s="16">
        <v>164.6</v>
      </c>
      <c r="E6" s="17" t="s">
        <v>101</v>
      </c>
      <c r="F6" s="26"/>
      <c r="G6" s="22"/>
      <c r="H6" s="30"/>
      <c r="I6" s="6"/>
    </row>
    <row r="7" spans="1:9" s="1" customFormat="1">
      <c r="A7" s="10"/>
      <c r="B7" s="37"/>
      <c r="C7" s="9"/>
      <c r="D7" s="16"/>
      <c r="E7" s="17"/>
      <c r="F7" s="26"/>
      <c r="G7" s="22"/>
      <c r="H7" s="30"/>
      <c r="I7" s="6"/>
    </row>
    <row r="8" spans="1:9" s="1" customFormat="1">
      <c r="A8" s="11" t="s">
        <v>4</v>
      </c>
      <c r="B8" s="10"/>
      <c r="C8" s="10"/>
      <c r="D8" s="18">
        <f>SUM(D2:D7)</f>
        <v>518.20000000000005</v>
      </c>
      <c r="E8" s="6"/>
      <c r="F8" s="27">
        <f>SUM(F2:F3)</f>
        <v>0</v>
      </c>
      <c r="G8" s="23"/>
      <c r="H8" s="31">
        <f>SUM(H2:H7)</f>
        <v>0</v>
      </c>
      <c r="I8" s="2"/>
    </row>
    <row r="9" spans="1:9" s="1" customFormat="1" ht="15.75" thickBot="1">
      <c r="A9" s="12" t="s">
        <v>5</v>
      </c>
      <c r="B9" s="34">
        <f>SUM(D8+F8+H8)</f>
        <v>518.20000000000005</v>
      </c>
      <c r="C9" s="33"/>
      <c r="D9" s="19"/>
      <c r="E9" s="20"/>
      <c r="F9" s="28"/>
      <c r="G9" s="24"/>
      <c r="H9" s="32"/>
      <c r="I9" s="3"/>
    </row>
    <row r="10" spans="1:9" s="1" customFormat="1">
      <c r="A10" s="43">
        <v>41884</v>
      </c>
      <c r="B10" s="8" t="s">
        <v>34</v>
      </c>
      <c r="C10" s="8" t="s">
        <v>39</v>
      </c>
      <c r="D10" s="14">
        <v>2.5</v>
      </c>
      <c r="E10" s="15" t="s">
        <v>16</v>
      </c>
      <c r="F10" s="25">
        <v>37.6</v>
      </c>
      <c r="G10" s="21" t="s">
        <v>42</v>
      </c>
      <c r="H10" s="29"/>
      <c r="I10" s="5"/>
    </row>
    <row r="11" spans="1:9" s="1" customFormat="1">
      <c r="A11" s="10"/>
      <c r="B11" s="37" t="s">
        <v>27</v>
      </c>
      <c r="C11" s="9"/>
      <c r="D11" s="16"/>
      <c r="E11" s="17"/>
      <c r="F11" s="26">
        <v>6.2</v>
      </c>
      <c r="G11" s="22" t="s">
        <v>50</v>
      </c>
      <c r="H11" s="30"/>
      <c r="I11" s="6"/>
    </row>
    <row r="12" spans="1:9" s="1" customFormat="1">
      <c r="A12" s="10"/>
      <c r="B12" s="37"/>
      <c r="C12" s="9"/>
      <c r="D12" s="16"/>
      <c r="E12" s="17"/>
      <c r="F12" s="26"/>
      <c r="G12" s="22"/>
      <c r="H12" s="30"/>
      <c r="I12" s="6"/>
    </row>
    <row r="13" spans="1:9" s="1" customFormat="1">
      <c r="A13" s="11" t="s">
        <v>4</v>
      </c>
      <c r="B13" s="10"/>
      <c r="C13" s="10"/>
      <c r="D13" s="18">
        <f>SUM(D10:D11)</f>
        <v>2.5</v>
      </c>
      <c r="E13" s="6"/>
      <c r="F13" s="27">
        <f>SUM(F10:F11)</f>
        <v>43.800000000000004</v>
      </c>
      <c r="G13" s="23"/>
      <c r="H13" s="31">
        <f>SUM(H10:H12)</f>
        <v>0</v>
      </c>
      <c r="I13" s="2"/>
    </row>
    <row r="14" spans="1:9" s="1" customFormat="1" ht="15.75" thickBot="1">
      <c r="A14" s="12" t="s">
        <v>5</v>
      </c>
      <c r="B14" s="34">
        <f>SUM(D13+F13+H13)</f>
        <v>46.300000000000004</v>
      </c>
      <c r="C14" s="33"/>
      <c r="D14" s="19"/>
      <c r="E14" s="20"/>
      <c r="F14" s="28"/>
      <c r="G14" s="24"/>
      <c r="H14" s="32"/>
      <c r="I14" s="3"/>
    </row>
    <row r="15" spans="1:9" s="1" customFormat="1">
      <c r="A15" s="43" t="s">
        <v>303</v>
      </c>
      <c r="B15" s="8" t="s">
        <v>79</v>
      </c>
      <c r="C15" s="8" t="s">
        <v>76</v>
      </c>
      <c r="D15" s="14"/>
      <c r="E15" s="15"/>
      <c r="F15" s="25">
        <f>16.75</f>
        <v>16.75</v>
      </c>
      <c r="G15" s="21" t="s">
        <v>42</v>
      </c>
      <c r="H15" s="29">
        <f>935.44+100</f>
        <v>1035.44</v>
      </c>
      <c r="I15" s="5" t="s">
        <v>67</v>
      </c>
    </row>
    <row r="16" spans="1:9" s="1" customFormat="1">
      <c r="A16" s="10"/>
      <c r="B16" s="37" t="s">
        <v>150</v>
      </c>
      <c r="C16" s="9"/>
      <c r="D16" s="16"/>
      <c r="E16" s="17"/>
      <c r="F16" s="26">
        <v>5</v>
      </c>
      <c r="G16" s="22" t="s">
        <v>50</v>
      </c>
      <c r="H16" s="30">
        <f>241.96</f>
        <v>241.96</v>
      </c>
      <c r="I16" s="6" t="s">
        <v>45</v>
      </c>
    </row>
    <row r="17" spans="1:9" s="1" customFormat="1">
      <c r="A17" s="10"/>
      <c r="B17" s="37"/>
      <c r="C17" s="9"/>
      <c r="D17" s="16"/>
      <c r="E17" s="17"/>
      <c r="F17" s="26">
        <v>88</v>
      </c>
      <c r="G17" s="22" t="s">
        <v>43</v>
      </c>
      <c r="H17" s="30">
        <f>41.94</f>
        <v>41.94</v>
      </c>
      <c r="I17" s="6" t="s">
        <v>15</v>
      </c>
    </row>
    <row r="18" spans="1:9" s="1" customFormat="1">
      <c r="A18" s="10"/>
      <c r="B18" s="37"/>
      <c r="C18" s="9"/>
      <c r="D18" s="16"/>
      <c r="E18" s="17"/>
      <c r="F18" s="26"/>
      <c r="G18" s="22"/>
      <c r="H18" s="30"/>
      <c r="I18" s="6"/>
    </row>
    <row r="19" spans="1:9" s="1" customFormat="1">
      <c r="A19" s="10"/>
      <c r="B19" s="37"/>
      <c r="C19" s="9" t="s">
        <v>9</v>
      </c>
      <c r="D19" s="16">
        <f>43.7+26.71</f>
        <v>70.41</v>
      </c>
      <c r="E19" s="17" t="s">
        <v>16</v>
      </c>
      <c r="F19" s="26">
        <f>12</f>
        <v>12</v>
      </c>
      <c r="G19" s="22" t="s">
        <v>32</v>
      </c>
      <c r="H19" s="30">
        <f>935.44+100</f>
        <v>1035.44</v>
      </c>
      <c r="I19" s="6" t="s">
        <v>67</v>
      </c>
    </row>
    <row r="20" spans="1:9" s="1" customFormat="1">
      <c r="A20" s="10"/>
      <c r="B20" s="37"/>
      <c r="C20" s="9"/>
      <c r="D20" s="16">
        <f>53.63</f>
        <v>53.63</v>
      </c>
      <c r="E20" s="17" t="s">
        <v>14</v>
      </c>
      <c r="F20" s="26"/>
      <c r="G20" s="22"/>
      <c r="H20" s="30">
        <f>241.96</f>
        <v>241.96</v>
      </c>
      <c r="I20" s="6" t="s">
        <v>45</v>
      </c>
    </row>
    <row r="21" spans="1:9" s="1" customFormat="1">
      <c r="A21" s="10"/>
      <c r="B21" s="37"/>
      <c r="C21" s="9"/>
      <c r="D21" s="16"/>
      <c r="E21" s="17"/>
      <c r="F21" s="26"/>
      <c r="G21" s="22"/>
      <c r="H21" s="30">
        <v>231.55</v>
      </c>
      <c r="I21" s="6" t="s">
        <v>15</v>
      </c>
    </row>
    <row r="22" spans="1:9" s="1" customFormat="1">
      <c r="A22" s="10"/>
      <c r="B22" s="37"/>
      <c r="C22" s="9"/>
      <c r="D22" s="16"/>
      <c r="E22" s="17"/>
      <c r="F22" s="26"/>
      <c r="G22" s="22"/>
      <c r="H22" s="30"/>
      <c r="I22" s="6"/>
    </row>
    <row r="23" spans="1:9" s="1" customFormat="1">
      <c r="A23" s="11" t="s">
        <v>4</v>
      </c>
      <c r="B23" s="10"/>
      <c r="C23" s="10"/>
      <c r="D23" s="18">
        <f>SUM(D15:D16)</f>
        <v>0</v>
      </c>
      <c r="E23" s="6"/>
      <c r="F23" s="27">
        <f>SUM(F15:F22)</f>
        <v>121.75</v>
      </c>
      <c r="G23" s="23"/>
      <c r="H23" s="31">
        <f>SUM(H15:H22)</f>
        <v>2828.2900000000004</v>
      </c>
      <c r="I23" s="2"/>
    </row>
    <row r="24" spans="1:9" s="1" customFormat="1" ht="15.75" thickBot="1">
      <c r="A24" s="12" t="s">
        <v>5</v>
      </c>
      <c r="B24" s="34">
        <f>SUM(D23+F23+H23)</f>
        <v>2950.0400000000004</v>
      </c>
      <c r="C24" s="33"/>
      <c r="D24" s="19"/>
      <c r="E24" s="20"/>
      <c r="F24" s="28"/>
      <c r="G24" s="24"/>
      <c r="H24" s="32"/>
      <c r="I24" s="3"/>
    </row>
    <row r="25" spans="1:9" s="1" customFormat="1">
      <c r="A25" s="43" t="s">
        <v>306</v>
      </c>
      <c r="B25" s="8" t="s">
        <v>307</v>
      </c>
      <c r="C25" s="8" t="s">
        <v>231</v>
      </c>
      <c r="D25" s="14">
        <f>33.3</f>
        <v>33.299999999999997</v>
      </c>
      <c r="E25" s="15" t="s">
        <v>16</v>
      </c>
      <c r="F25" s="25"/>
      <c r="G25" s="21"/>
      <c r="H25" s="29">
        <f>727.81</f>
        <v>727.81</v>
      </c>
      <c r="I25" s="5" t="s">
        <v>67</v>
      </c>
    </row>
    <row r="26" spans="1:9" s="1" customFormat="1">
      <c r="A26" s="10"/>
      <c r="B26" s="37" t="s">
        <v>19</v>
      </c>
      <c r="C26" s="9"/>
      <c r="D26" s="16">
        <f>130.44</f>
        <v>130.44</v>
      </c>
      <c r="E26" s="17" t="s">
        <v>14</v>
      </c>
      <c r="F26" s="26"/>
      <c r="G26" s="22"/>
      <c r="H26" s="30">
        <f>549.4+67.11+69.54</f>
        <v>686.05</v>
      </c>
      <c r="I26" s="6" t="s">
        <v>319</v>
      </c>
    </row>
    <row r="27" spans="1:9" s="1" customFormat="1">
      <c r="A27" s="10"/>
      <c r="B27" s="37"/>
      <c r="C27" s="9"/>
      <c r="D27" s="16"/>
      <c r="E27" s="17"/>
      <c r="F27" s="26"/>
      <c r="G27" s="22"/>
      <c r="H27" s="30"/>
      <c r="I27" s="6"/>
    </row>
    <row r="28" spans="1:9" s="1" customFormat="1">
      <c r="A28" s="10"/>
      <c r="B28" s="37"/>
      <c r="C28" s="9" t="s">
        <v>77</v>
      </c>
      <c r="D28" s="16">
        <f>86.31</f>
        <v>86.31</v>
      </c>
      <c r="E28" s="17" t="s">
        <v>16</v>
      </c>
      <c r="F28" s="26"/>
      <c r="G28" s="22"/>
      <c r="H28" s="30"/>
      <c r="I28" s="6"/>
    </row>
    <row r="29" spans="1:9" s="1" customFormat="1">
      <c r="A29" s="10"/>
      <c r="B29" s="37"/>
      <c r="C29" s="9"/>
      <c r="D29" s="16"/>
      <c r="E29" s="17"/>
      <c r="F29" s="26"/>
      <c r="G29" s="22"/>
      <c r="H29" s="30"/>
      <c r="I29" s="6"/>
    </row>
    <row r="30" spans="1:9" s="1" customFormat="1">
      <c r="A30" s="11" t="s">
        <v>4</v>
      </c>
      <c r="B30" s="10"/>
      <c r="C30" s="10"/>
      <c r="D30" s="18">
        <f>SUM(D25:D26)</f>
        <v>163.74</v>
      </c>
      <c r="E30" s="6"/>
      <c r="F30" s="27">
        <f>SUM(F25:F26)</f>
        <v>0</v>
      </c>
      <c r="G30" s="23"/>
      <c r="H30" s="31">
        <f>SUM(H25:H29)</f>
        <v>1413.86</v>
      </c>
      <c r="I30" s="2"/>
    </row>
    <row r="31" spans="1:9" s="1" customFormat="1" ht="15.75" thickBot="1">
      <c r="A31" s="12" t="s">
        <v>5</v>
      </c>
      <c r="B31" s="34">
        <f>SUM(D30+F30+H30)</f>
        <v>1577.6</v>
      </c>
      <c r="C31" s="33"/>
      <c r="D31" s="19"/>
      <c r="E31" s="20"/>
      <c r="F31" s="28"/>
      <c r="G31" s="24"/>
      <c r="H31" s="32"/>
      <c r="I31" s="3"/>
    </row>
    <row r="32" spans="1:9" s="1" customFormat="1">
      <c r="A32" s="43" t="s">
        <v>311</v>
      </c>
      <c r="B32" s="8" t="s">
        <v>149</v>
      </c>
      <c r="C32" s="8" t="s">
        <v>57</v>
      </c>
      <c r="D32" s="14">
        <f>1178.71</f>
        <v>1178.71</v>
      </c>
      <c r="E32" s="15" t="s">
        <v>16</v>
      </c>
      <c r="F32" s="25">
        <f>13.5</f>
        <v>13.5</v>
      </c>
      <c r="G32" s="21" t="s">
        <v>31</v>
      </c>
      <c r="H32" s="29">
        <f>86+86</f>
        <v>172</v>
      </c>
      <c r="I32" s="5" t="s">
        <v>32</v>
      </c>
    </row>
    <row r="33" spans="1:9" s="1" customFormat="1">
      <c r="A33" s="10"/>
      <c r="B33" s="37" t="s">
        <v>27</v>
      </c>
      <c r="C33" s="9"/>
      <c r="D33" s="16">
        <v>148.30000000000001</v>
      </c>
      <c r="E33" s="17" t="s">
        <v>14</v>
      </c>
      <c r="F33" s="26"/>
      <c r="G33" s="22"/>
      <c r="H33" s="30">
        <f>121+131</f>
        <v>252</v>
      </c>
      <c r="I33" s="6" t="s">
        <v>324</v>
      </c>
    </row>
    <row r="34" spans="1:9" s="1" customFormat="1">
      <c r="A34" s="10"/>
      <c r="B34" s="37" t="s">
        <v>312</v>
      </c>
      <c r="C34" s="9"/>
      <c r="D34" s="16"/>
      <c r="E34" s="17"/>
      <c r="F34" s="26"/>
      <c r="G34" s="22"/>
      <c r="H34" s="30">
        <f>25.1</f>
        <v>25.1</v>
      </c>
      <c r="I34" s="6" t="s">
        <v>15</v>
      </c>
    </row>
    <row r="35" spans="1:9" s="1" customFormat="1">
      <c r="A35" s="10"/>
      <c r="B35" s="37"/>
      <c r="C35" s="9"/>
      <c r="D35" s="16"/>
      <c r="E35" s="17"/>
      <c r="F35" s="26"/>
      <c r="G35" s="22"/>
      <c r="H35" s="30"/>
      <c r="I35" s="6"/>
    </row>
    <row r="36" spans="1:9" s="1" customFormat="1">
      <c r="A36" s="10"/>
      <c r="B36" s="37"/>
      <c r="C36" s="9" t="s">
        <v>158</v>
      </c>
      <c r="D36" s="16"/>
      <c r="E36" s="17"/>
      <c r="F36" s="26"/>
      <c r="G36" s="22"/>
      <c r="H36" s="30">
        <f>86+86+86+86</f>
        <v>344</v>
      </c>
      <c r="I36" s="6" t="s">
        <v>325</v>
      </c>
    </row>
    <row r="37" spans="1:9" s="1" customFormat="1">
      <c r="A37" s="10"/>
      <c r="B37" s="37"/>
      <c r="C37" s="9"/>
      <c r="D37" s="16"/>
      <c r="E37" s="17"/>
      <c r="F37" s="26"/>
      <c r="G37" s="22"/>
      <c r="H37" s="30"/>
      <c r="I37" s="6"/>
    </row>
    <row r="38" spans="1:9" s="1" customFormat="1">
      <c r="A38" s="10"/>
      <c r="B38" s="37"/>
      <c r="C38" s="9" t="s">
        <v>49</v>
      </c>
      <c r="D38" s="16">
        <v>119</v>
      </c>
      <c r="E38" s="17" t="s">
        <v>16</v>
      </c>
      <c r="F38" s="26"/>
      <c r="G38" s="22"/>
      <c r="H38" s="30"/>
      <c r="I38" s="6"/>
    </row>
    <row r="39" spans="1:9" s="1" customFormat="1">
      <c r="A39" s="10"/>
      <c r="B39" s="37"/>
      <c r="C39" s="9"/>
      <c r="D39" s="16"/>
      <c r="E39" s="17"/>
      <c r="F39" s="26"/>
      <c r="G39" s="22"/>
      <c r="H39" s="30"/>
      <c r="I39" s="6"/>
    </row>
    <row r="40" spans="1:9" s="1" customFormat="1">
      <c r="A40" s="11" t="s">
        <v>4</v>
      </c>
      <c r="B40" s="10"/>
      <c r="C40" s="10"/>
      <c r="D40" s="18">
        <f>SUM(D32:D39)</f>
        <v>1446.01</v>
      </c>
      <c r="E40" s="6"/>
      <c r="F40" s="27">
        <f>SUM(F32:F39)</f>
        <v>13.5</v>
      </c>
      <c r="G40" s="23"/>
      <c r="H40" s="31">
        <f>SUM(H32:H39)</f>
        <v>793.1</v>
      </c>
      <c r="I40" s="2"/>
    </row>
    <row r="41" spans="1:9" s="1" customFormat="1" ht="15.75" thickBot="1">
      <c r="A41" s="12" t="s">
        <v>5</v>
      </c>
      <c r="B41" s="34">
        <f>SUM(D40+F40+H40)</f>
        <v>2252.61</v>
      </c>
      <c r="C41" s="33"/>
      <c r="D41" s="19"/>
      <c r="E41" s="20"/>
      <c r="F41" s="28"/>
      <c r="G41" s="24"/>
      <c r="H41" s="32"/>
      <c r="I41" s="3"/>
    </row>
    <row r="42" spans="1:9" s="1" customFormat="1">
      <c r="A42" s="43" t="s">
        <v>308</v>
      </c>
      <c r="B42" s="8" t="s">
        <v>55</v>
      </c>
      <c r="C42" s="8" t="s">
        <v>231</v>
      </c>
      <c r="D42" s="14">
        <f>85.56</f>
        <v>85.56</v>
      </c>
      <c r="E42" s="15" t="s">
        <v>16</v>
      </c>
      <c r="F42" s="25"/>
      <c r="G42" s="21"/>
      <c r="H42" s="29">
        <f>1067.82</f>
        <v>1067.82</v>
      </c>
      <c r="I42" s="5" t="s">
        <v>67</v>
      </c>
    </row>
    <row r="43" spans="1:9" s="1" customFormat="1">
      <c r="A43" s="10"/>
      <c r="B43" s="37" t="s">
        <v>212</v>
      </c>
      <c r="C43" s="9"/>
      <c r="D43" s="16">
        <f>41.57</f>
        <v>41.57</v>
      </c>
      <c r="E43" s="17" t="s">
        <v>14</v>
      </c>
      <c r="F43" s="26"/>
      <c r="G43" s="22"/>
      <c r="H43" s="30">
        <f>315+53.93+69.92+70.45-67.11</f>
        <v>442.19</v>
      </c>
      <c r="I43" s="6" t="s">
        <v>319</v>
      </c>
    </row>
    <row r="44" spans="1:9" s="1" customFormat="1">
      <c r="A44" s="10"/>
      <c r="B44" s="37"/>
      <c r="C44" s="9"/>
      <c r="D44" s="16"/>
      <c r="E44" s="17"/>
      <c r="F44" s="26"/>
      <c r="G44" s="22"/>
      <c r="H44" s="30"/>
      <c r="I44" s="6"/>
    </row>
    <row r="45" spans="1:9" s="1" customFormat="1">
      <c r="A45" s="10"/>
      <c r="B45" s="37"/>
      <c r="C45" s="9" t="s">
        <v>77</v>
      </c>
      <c r="D45" s="16">
        <f>12.82+47.09</f>
        <v>59.910000000000004</v>
      </c>
      <c r="E45" s="17" t="s">
        <v>16</v>
      </c>
      <c r="F45" s="26">
        <f>32.68</f>
        <v>32.68</v>
      </c>
      <c r="G45" s="22" t="s">
        <v>191</v>
      </c>
      <c r="H45" s="30">
        <f>1415.12</f>
        <v>1415.12</v>
      </c>
      <c r="I45" s="6" t="s">
        <v>67</v>
      </c>
    </row>
    <row r="46" spans="1:9" s="1" customFormat="1">
      <c r="A46" s="10"/>
      <c r="B46" s="37"/>
      <c r="C46" s="9"/>
      <c r="D46" s="16">
        <f>120.03+18.25</f>
        <v>138.28</v>
      </c>
      <c r="E46" s="17" t="s">
        <v>14</v>
      </c>
      <c r="F46" s="26"/>
      <c r="G46" s="22"/>
      <c r="H46" s="30">
        <f>314.85</f>
        <v>314.85000000000002</v>
      </c>
      <c r="I46" s="6" t="s">
        <v>45</v>
      </c>
    </row>
    <row r="47" spans="1:9" s="1" customFormat="1">
      <c r="A47" s="10"/>
      <c r="B47" s="37"/>
      <c r="C47" s="9"/>
      <c r="D47" s="16">
        <v>13.51</v>
      </c>
      <c r="E47" s="17" t="s">
        <v>29</v>
      </c>
      <c r="F47" s="26"/>
      <c r="G47" s="22"/>
      <c r="H47" s="30"/>
      <c r="I47" s="6"/>
    </row>
    <row r="48" spans="1:9" s="1" customFormat="1">
      <c r="A48" s="10"/>
      <c r="B48" s="37"/>
      <c r="C48" s="9"/>
      <c r="D48" s="16"/>
      <c r="E48" s="17"/>
      <c r="F48" s="26"/>
      <c r="G48" s="22"/>
      <c r="H48" s="30"/>
      <c r="I48" s="6"/>
    </row>
    <row r="49" spans="1:9" s="1" customFormat="1">
      <c r="A49" s="11" t="s">
        <v>4</v>
      </c>
      <c r="B49" s="10"/>
      <c r="C49" s="10"/>
      <c r="D49" s="18">
        <f>SUM(D42:D48)</f>
        <v>338.83</v>
      </c>
      <c r="E49" s="6"/>
      <c r="F49" s="27">
        <f>SUM(F42:F43)</f>
        <v>0</v>
      </c>
      <c r="G49" s="23"/>
      <c r="H49" s="31">
        <f>SUM(H42:H48)</f>
        <v>3239.98</v>
      </c>
      <c r="I49" s="2"/>
    </row>
    <row r="50" spans="1:9" s="1" customFormat="1" ht="15.75" thickBot="1">
      <c r="A50" s="12" t="s">
        <v>5</v>
      </c>
      <c r="B50" s="34">
        <f>SUM(D49+F49+H49)</f>
        <v>3578.81</v>
      </c>
      <c r="C50" s="33"/>
      <c r="D50" s="19"/>
      <c r="E50" s="20"/>
      <c r="F50" s="28"/>
      <c r="G50" s="24"/>
      <c r="H50" s="32"/>
      <c r="I50" s="3"/>
    </row>
    <row r="51" spans="1:9" s="1" customFormat="1">
      <c r="A51" s="43">
        <v>41894</v>
      </c>
      <c r="B51" s="8" t="s">
        <v>55</v>
      </c>
      <c r="C51" s="8" t="s">
        <v>277</v>
      </c>
      <c r="D51" s="14">
        <f>3</f>
        <v>3</v>
      </c>
      <c r="E51" s="15" t="s">
        <v>16</v>
      </c>
      <c r="F51" s="25">
        <v>26.62</v>
      </c>
      <c r="G51" s="21" t="s">
        <v>42</v>
      </c>
      <c r="H51" s="29">
        <f>263.64</f>
        <v>263.64</v>
      </c>
      <c r="I51" s="5" t="s">
        <v>67</v>
      </c>
    </row>
    <row r="52" spans="1:9" s="1" customFormat="1">
      <c r="A52" s="10"/>
      <c r="B52" s="37" t="s">
        <v>316</v>
      </c>
      <c r="C52" s="9"/>
      <c r="D52" s="16"/>
      <c r="E52" s="17"/>
      <c r="F52" s="26">
        <v>19</v>
      </c>
      <c r="G52" s="22" t="s">
        <v>43</v>
      </c>
      <c r="H52" s="30"/>
      <c r="I52" s="6"/>
    </row>
    <row r="53" spans="1:9" s="1" customFormat="1">
      <c r="A53" s="10"/>
      <c r="B53" s="37"/>
      <c r="C53" s="9"/>
      <c r="D53" s="16"/>
      <c r="E53" s="17"/>
      <c r="F53" s="26"/>
      <c r="G53" s="22"/>
      <c r="H53" s="30"/>
      <c r="I53" s="6"/>
    </row>
    <row r="54" spans="1:9" s="1" customFormat="1">
      <c r="A54" s="10"/>
      <c r="B54" s="37"/>
      <c r="C54" s="9" t="s">
        <v>76</v>
      </c>
      <c r="D54" s="16">
        <f>70.4</f>
        <v>70.400000000000006</v>
      </c>
      <c r="E54" s="17" t="s">
        <v>16</v>
      </c>
      <c r="F54" s="26">
        <v>16.75</v>
      </c>
      <c r="G54" s="22" t="s">
        <v>42</v>
      </c>
      <c r="H54" s="30">
        <f>263.64</f>
        <v>263.64</v>
      </c>
      <c r="I54" s="6" t="s">
        <v>67</v>
      </c>
    </row>
    <row r="55" spans="1:9" s="1" customFormat="1">
      <c r="A55" s="10"/>
      <c r="B55" s="37"/>
      <c r="C55" s="9"/>
      <c r="D55" s="16"/>
      <c r="E55" s="17"/>
      <c r="F55" s="26">
        <v>5.8</v>
      </c>
      <c r="G55" s="22" t="s">
        <v>50</v>
      </c>
      <c r="H55" s="30"/>
      <c r="I55" s="6"/>
    </row>
    <row r="56" spans="1:9" s="1" customFormat="1">
      <c r="A56" s="10"/>
      <c r="B56" s="37"/>
      <c r="C56" s="9"/>
      <c r="D56" s="16"/>
      <c r="E56" s="17"/>
      <c r="F56" s="26">
        <v>19</v>
      </c>
      <c r="G56" s="22" t="s">
        <v>43</v>
      </c>
      <c r="H56" s="30"/>
      <c r="I56" s="6"/>
    </row>
    <row r="57" spans="1:9" s="1" customFormat="1">
      <c r="A57" s="10"/>
      <c r="B57" s="37"/>
      <c r="C57" s="9"/>
      <c r="D57" s="16"/>
      <c r="E57" s="17"/>
      <c r="F57" s="26"/>
      <c r="G57" s="22"/>
      <c r="H57" s="30"/>
      <c r="I57" s="6"/>
    </row>
    <row r="58" spans="1:9" s="1" customFormat="1">
      <c r="A58" s="10"/>
      <c r="B58" s="37"/>
      <c r="C58" s="9" t="s">
        <v>49</v>
      </c>
      <c r="D58" s="16"/>
      <c r="E58" s="17"/>
      <c r="F58" s="26"/>
      <c r="G58" s="22"/>
      <c r="H58" s="30">
        <f>263.64</f>
        <v>263.64</v>
      </c>
      <c r="I58" s="6" t="s">
        <v>67</v>
      </c>
    </row>
    <row r="59" spans="1:9" s="1" customFormat="1">
      <c r="A59" s="10"/>
      <c r="B59" s="37"/>
      <c r="C59" s="9"/>
      <c r="D59" s="16"/>
      <c r="E59" s="17"/>
      <c r="F59" s="26"/>
      <c r="G59" s="22"/>
      <c r="H59" s="30"/>
      <c r="I59" s="6"/>
    </row>
    <row r="60" spans="1:9" s="1" customFormat="1">
      <c r="A60" s="11" t="s">
        <v>4</v>
      </c>
      <c r="B60" s="10"/>
      <c r="C60" s="10"/>
      <c r="D60" s="18">
        <f>SUM(D51:D59)</f>
        <v>73.400000000000006</v>
      </c>
      <c r="E60" s="6"/>
      <c r="F60" s="27">
        <f>SUM(F51:F59)</f>
        <v>87.17</v>
      </c>
      <c r="G60" s="23"/>
      <c r="H60" s="31">
        <f>SUM(H51:H59)</f>
        <v>790.92</v>
      </c>
      <c r="I60" s="2"/>
    </row>
    <row r="61" spans="1:9" s="1" customFormat="1" ht="15.75" thickBot="1">
      <c r="A61" s="12" t="s">
        <v>5</v>
      </c>
      <c r="B61" s="34">
        <f>SUM(D60+F60+H60)</f>
        <v>951.49</v>
      </c>
      <c r="C61" s="33"/>
      <c r="D61" s="19"/>
      <c r="E61" s="20"/>
      <c r="F61" s="28"/>
      <c r="G61" s="24"/>
      <c r="H61" s="32"/>
      <c r="I61" s="3"/>
    </row>
    <row r="62" spans="1:9" s="1" customFormat="1">
      <c r="A62" s="43" t="s">
        <v>309</v>
      </c>
      <c r="B62" s="8" t="s">
        <v>55</v>
      </c>
      <c r="C62" s="8" t="s">
        <v>39</v>
      </c>
      <c r="D62" s="14">
        <f>53.85+460.98</f>
        <v>514.83000000000004</v>
      </c>
      <c r="E62" s="15" t="s">
        <v>16</v>
      </c>
      <c r="F62" s="25">
        <f>35.72</f>
        <v>35.72</v>
      </c>
      <c r="G62" s="21" t="s">
        <v>42</v>
      </c>
      <c r="H62" s="29">
        <f>1059.16+153.94+38.7+38.96</f>
        <v>1290.7600000000002</v>
      </c>
      <c r="I62" s="5" t="s">
        <v>67</v>
      </c>
    </row>
    <row r="63" spans="1:9" s="1" customFormat="1">
      <c r="A63" s="10"/>
      <c r="B63" s="37" t="s">
        <v>17</v>
      </c>
      <c r="C63" s="9"/>
      <c r="D63" s="16">
        <v>10.65</v>
      </c>
      <c r="E63" s="17" t="s">
        <v>29</v>
      </c>
      <c r="F63" s="26">
        <v>1.9</v>
      </c>
      <c r="G63" s="22" t="s">
        <v>50</v>
      </c>
      <c r="H63" s="30">
        <f>532.04+137.32</f>
        <v>669.3599999999999</v>
      </c>
      <c r="I63" s="6" t="s">
        <v>45</v>
      </c>
    </row>
    <row r="64" spans="1:9" s="1" customFormat="1">
      <c r="A64" s="10"/>
      <c r="B64" s="37"/>
      <c r="C64" s="9"/>
      <c r="D64" s="16"/>
      <c r="E64" s="17"/>
      <c r="F64" s="26">
        <v>69</v>
      </c>
      <c r="G64" s="22" t="s">
        <v>43</v>
      </c>
      <c r="H64" s="30"/>
      <c r="I64" s="6"/>
    </row>
    <row r="65" spans="1:9" s="1" customFormat="1">
      <c r="A65" s="10"/>
      <c r="B65" s="37"/>
      <c r="C65" s="9"/>
      <c r="D65" s="16"/>
      <c r="E65" s="17"/>
      <c r="F65" s="26"/>
      <c r="G65" s="22"/>
      <c r="H65" s="30"/>
      <c r="I65" s="6"/>
    </row>
    <row r="66" spans="1:9" s="1" customFormat="1">
      <c r="A66" s="10"/>
      <c r="B66" s="37"/>
      <c r="C66" s="9" t="s">
        <v>77</v>
      </c>
      <c r="D66" s="16">
        <f>28.54</f>
        <v>28.54</v>
      </c>
      <c r="E66" s="17" t="s">
        <v>16</v>
      </c>
      <c r="F66" s="26">
        <f>79.71</f>
        <v>79.709999999999994</v>
      </c>
      <c r="G66" s="22" t="s">
        <v>351</v>
      </c>
      <c r="H66" s="30">
        <f>192.64+192.64</f>
        <v>385.28</v>
      </c>
      <c r="I66" s="6" t="s">
        <v>67</v>
      </c>
    </row>
    <row r="67" spans="1:9" s="1" customFormat="1">
      <c r="A67" s="10"/>
      <c r="B67" s="37"/>
      <c r="C67" s="9"/>
      <c r="D67" s="16"/>
      <c r="E67" s="17"/>
      <c r="F67" s="26">
        <f>33.99</f>
        <v>33.99</v>
      </c>
      <c r="G67" s="22" t="s">
        <v>43</v>
      </c>
      <c r="H67" s="30">
        <v>129.72</v>
      </c>
      <c r="I67" s="6" t="s">
        <v>310</v>
      </c>
    </row>
    <row r="68" spans="1:9" s="1" customFormat="1">
      <c r="A68" s="10"/>
      <c r="B68" s="37"/>
      <c r="C68" s="9"/>
      <c r="D68" s="16"/>
      <c r="E68" s="17"/>
      <c r="F68" s="26"/>
      <c r="G68" s="22"/>
      <c r="H68" s="30"/>
      <c r="I68" s="6"/>
    </row>
    <row r="69" spans="1:9" s="1" customFormat="1">
      <c r="A69" s="11" t="s">
        <v>4</v>
      </c>
      <c r="B69" s="10"/>
      <c r="C69" s="10"/>
      <c r="D69" s="18">
        <f>SUM(D62:D68)</f>
        <v>554.02</v>
      </c>
      <c r="E69" s="6"/>
      <c r="F69" s="27">
        <f>SUM(F62:F68)</f>
        <v>220.32</v>
      </c>
      <c r="G69" s="23"/>
      <c r="H69" s="31">
        <f>SUM(H62:H68)</f>
        <v>2475.12</v>
      </c>
      <c r="I69" s="2"/>
    </row>
    <row r="70" spans="1:9" s="1" customFormat="1" ht="15.75" thickBot="1">
      <c r="A70" s="12" t="s">
        <v>5</v>
      </c>
      <c r="B70" s="34">
        <f>SUM(D69+F69+H69)</f>
        <v>3249.46</v>
      </c>
      <c r="C70" s="33"/>
      <c r="D70" s="19"/>
      <c r="E70" s="20"/>
      <c r="F70" s="28"/>
      <c r="G70" s="24"/>
      <c r="H70" s="32"/>
      <c r="I70" s="3"/>
    </row>
    <row r="71" spans="1:9" s="1" customFormat="1">
      <c r="A71" s="43" t="s">
        <v>305</v>
      </c>
      <c r="B71" s="8" t="s">
        <v>79</v>
      </c>
      <c r="C71" s="8" t="s">
        <v>20</v>
      </c>
      <c r="D71" s="14">
        <f>43.5</f>
        <v>43.5</v>
      </c>
      <c r="E71" s="15" t="s">
        <v>16</v>
      </c>
      <c r="F71" s="25">
        <v>3.9</v>
      </c>
      <c r="G71" s="21" t="s">
        <v>50</v>
      </c>
      <c r="H71" s="29">
        <f>240.35</f>
        <v>240.35</v>
      </c>
      <c r="I71" s="5" t="s">
        <v>67</v>
      </c>
    </row>
    <row r="72" spans="1:9" s="1" customFormat="1">
      <c r="A72" s="10"/>
      <c r="B72" s="37" t="s">
        <v>27</v>
      </c>
      <c r="C72" s="9"/>
      <c r="D72" s="16">
        <f>40</f>
        <v>40</v>
      </c>
      <c r="E72" s="17" t="s">
        <v>14</v>
      </c>
      <c r="F72" s="26"/>
      <c r="G72" s="22"/>
      <c r="H72" s="30">
        <f>196+196-196</f>
        <v>196</v>
      </c>
      <c r="I72" s="6" t="s">
        <v>45</v>
      </c>
    </row>
    <row r="73" spans="1:9" s="1" customFormat="1">
      <c r="A73" s="10"/>
      <c r="B73" s="37"/>
      <c r="C73" s="9"/>
      <c r="D73" s="16"/>
      <c r="E73" s="17"/>
      <c r="F73" s="26"/>
      <c r="G73" s="22"/>
      <c r="H73" s="30">
        <f>8</f>
        <v>8</v>
      </c>
      <c r="I73" s="6" t="s">
        <v>15</v>
      </c>
    </row>
    <row r="74" spans="1:9" s="1" customFormat="1">
      <c r="A74" s="10"/>
      <c r="B74" s="37"/>
      <c r="C74" s="9"/>
      <c r="D74" s="16"/>
      <c r="E74" s="17"/>
      <c r="F74" s="26"/>
      <c r="G74" s="22"/>
      <c r="H74" s="30"/>
      <c r="I74" s="6"/>
    </row>
    <row r="75" spans="1:9" s="1" customFormat="1">
      <c r="A75" s="10"/>
      <c r="B75" s="37"/>
      <c r="C75" s="9" t="s">
        <v>76</v>
      </c>
      <c r="D75" s="16">
        <v>99</v>
      </c>
      <c r="E75" s="17" t="s">
        <v>16</v>
      </c>
      <c r="F75" s="26"/>
      <c r="G75" s="22"/>
      <c r="H75" s="30"/>
      <c r="I75" s="6"/>
    </row>
    <row r="76" spans="1:9" s="1" customFormat="1">
      <c r="A76" s="10"/>
      <c r="B76" s="37"/>
      <c r="C76" s="9"/>
      <c r="D76" s="16"/>
      <c r="E76" s="17"/>
      <c r="F76" s="26"/>
      <c r="G76" s="22"/>
      <c r="H76" s="30"/>
      <c r="I76" s="6"/>
    </row>
    <row r="77" spans="1:9" s="1" customFormat="1">
      <c r="A77" s="11" t="s">
        <v>4</v>
      </c>
      <c r="B77" s="10"/>
      <c r="C77" s="10"/>
      <c r="D77" s="18">
        <f>SUM(D71:D76)</f>
        <v>182.5</v>
      </c>
      <c r="E77" s="6"/>
      <c r="F77" s="27">
        <f>SUM(F71:F76)</f>
        <v>3.9</v>
      </c>
      <c r="G77" s="23"/>
      <c r="H77" s="31">
        <f>SUM(H71:H76)</f>
        <v>444.35</v>
      </c>
      <c r="I77" s="2"/>
    </row>
    <row r="78" spans="1:9" s="1" customFormat="1" ht="15.75" thickBot="1">
      <c r="A78" s="12" t="s">
        <v>5</v>
      </c>
      <c r="B78" s="34">
        <f>SUM(D77+F77+H77)</f>
        <v>630.75</v>
      </c>
      <c r="C78" s="33"/>
      <c r="D78" s="19"/>
      <c r="E78" s="20"/>
      <c r="F78" s="28"/>
      <c r="G78" s="24"/>
      <c r="H78" s="32"/>
      <c r="I78" s="3"/>
    </row>
    <row r="79" spans="1:9" s="1" customFormat="1">
      <c r="A79" s="43">
        <v>41898</v>
      </c>
      <c r="B79" s="8" t="s">
        <v>55</v>
      </c>
      <c r="C79" s="8" t="s">
        <v>231</v>
      </c>
      <c r="D79" s="14">
        <v>30.44</v>
      </c>
      <c r="E79" s="15" t="s">
        <v>14</v>
      </c>
      <c r="F79" s="25"/>
      <c r="G79" s="21"/>
      <c r="H79" s="29"/>
      <c r="I79" s="5"/>
    </row>
    <row r="80" spans="1:9" s="1" customFormat="1">
      <c r="A80" s="10"/>
      <c r="B80" s="37" t="s">
        <v>106</v>
      </c>
      <c r="C80" s="9"/>
      <c r="D80" s="16">
        <v>0.92</v>
      </c>
      <c r="E80" s="17" t="s">
        <v>29</v>
      </c>
      <c r="F80" s="26"/>
      <c r="G80" s="22"/>
      <c r="H80" s="30"/>
      <c r="I80" s="6"/>
    </row>
    <row r="81" spans="1:9" s="1" customFormat="1">
      <c r="A81" s="10"/>
      <c r="B81" s="37"/>
      <c r="C81" s="9"/>
      <c r="D81" s="16"/>
      <c r="E81" s="17"/>
      <c r="F81" s="26"/>
      <c r="G81" s="22"/>
      <c r="H81" s="30"/>
      <c r="I81" s="6"/>
    </row>
    <row r="82" spans="1:9" s="1" customFormat="1">
      <c r="A82" s="11" t="s">
        <v>4</v>
      </c>
      <c r="B82" s="10"/>
      <c r="C82" s="10"/>
      <c r="D82" s="18">
        <f>SUM(D79:D80)</f>
        <v>31.360000000000003</v>
      </c>
      <c r="E82" s="6"/>
      <c r="F82" s="27">
        <f>SUM(F79:F80)</f>
        <v>0</v>
      </c>
      <c r="G82" s="23"/>
      <c r="H82" s="31">
        <f>SUM(H79:H81)</f>
        <v>0</v>
      </c>
      <c r="I82" s="2"/>
    </row>
    <row r="83" spans="1:9" s="1" customFormat="1" ht="15.75" thickBot="1">
      <c r="A83" s="12" t="s">
        <v>5</v>
      </c>
      <c r="B83" s="34">
        <f>SUM(D82+F82+H82)</f>
        <v>31.360000000000003</v>
      </c>
      <c r="C83" s="33"/>
      <c r="D83" s="19"/>
      <c r="E83" s="20"/>
      <c r="F83" s="28"/>
      <c r="G83" s="24"/>
      <c r="H83" s="32"/>
      <c r="I83" s="3"/>
    </row>
    <row r="84" spans="1:9" s="1" customFormat="1">
      <c r="A84" s="43" t="s">
        <v>318</v>
      </c>
      <c r="B84" s="8" t="s">
        <v>55</v>
      </c>
      <c r="C84" s="8" t="s">
        <v>11</v>
      </c>
      <c r="D84" s="14">
        <f>43.85</f>
        <v>43.85</v>
      </c>
      <c r="E84" s="15" t="s">
        <v>14</v>
      </c>
      <c r="F84" s="25"/>
      <c r="G84" s="21"/>
      <c r="H84" s="29">
        <f>758.6</f>
        <v>758.6</v>
      </c>
      <c r="I84" s="5" t="s">
        <v>67</v>
      </c>
    </row>
    <row r="85" spans="1:9" s="1" customFormat="1">
      <c r="A85" s="10"/>
      <c r="B85" s="37" t="s">
        <v>94</v>
      </c>
      <c r="C85" s="9"/>
      <c r="D85" s="16">
        <f>130.5+7.59</f>
        <v>138.09</v>
      </c>
      <c r="E85" s="17" t="s">
        <v>29</v>
      </c>
      <c r="F85" s="26"/>
      <c r="G85" s="22"/>
      <c r="H85" s="30">
        <f>342.23</f>
        <v>342.23</v>
      </c>
      <c r="I85" s="6" t="s">
        <v>45</v>
      </c>
    </row>
    <row r="86" spans="1:9" s="1" customFormat="1">
      <c r="A86" s="10"/>
      <c r="B86" s="37"/>
      <c r="C86" s="9"/>
      <c r="D86" s="16"/>
      <c r="E86" s="17"/>
      <c r="F86" s="26"/>
      <c r="G86" s="22"/>
      <c r="H86" s="30">
        <f>112.67</f>
        <v>112.67</v>
      </c>
      <c r="I86" s="6" t="s">
        <v>15</v>
      </c>
    </row>
    <row r="87" spans="1:9" s="1" customFormat="1">
      <c r="A87" s="10"/>
      <c r="B87" s="37"/>
      <c r="C87" s="9"/>
      <c r="D87" s="16"/>
      <c r="E87" s="17"/>
      <c r="F87" s="26"/>
      <c r="G87" s="22"/>
      <c r="H87" s="30"/>
      <c r="I87" s="6"/>
    </row>
    <row r="88" spans="1:9" s="1" customFormat="1">
      <c r="A88" s="10"/>
      <c r="B88" s="37"/>
      <c r="C88" s="9" t="s">
        <v>12</v>
      </c>
      <c r="D88" s="16">
        <f>19.98</f>
        <v>19.98</v>
      </c>
      <c r="E88" s="17" t="s">
        <v>16</v>
      </c>
      <c r="F88" s="26"/>
      <c r="G88" s="22"/>
      <c r="H88" s="30">
        <f>758.6</f>
        <v>758.6</v>
      </c>
      <c r="I88" s="6" t="s">
        <v>67</v>
      </c>
    </row>
    <row r="89" spans="1:9" s="1" customFormat="1">
      <c r="A89" s="10"/>
      <c r="B89" s="37"/>
      <c r="C89" s="9"/>
      <c r="D89" s="16">
        <f>72.97</f>
        <v>72.97</v>
      </c>
      <c r="E89" s="17" t="s">
        <v>14</v>
      </c>
      <c r="F89" s="26"/>
      <c r="G89" s="22"/>
      <c r="H89" s="30">
        <f>342.23+361.1-342.23+361.9-342.23</f>
        <v>380.77</v>
      </c>
      <c r="I89" s="6" t="s">
        <v>45</v>
      </c>
    </row>
    <row r="90" spans="1:9" s="1" customFormat="1">
      <c r="A90" s="10"/>
      <c r="B90" s="37"/>
      <c r="C90" s="9"/>
      <c r="D90" s="16">
        <f>10.41+5.83</f>
        <v>16.240000000000002</v>
      </c>
      <c r="E90" s="17" t="s">
        <v>29</v>
      </c>
      <c r="F90" s="26"/>
      <c r="G90" s="22"/>
      <c r="H90" s="30">
        <f>171.2</f>
        <v>171.2</v>
      </c>
      <c r="I90" s="6" t="s">
        <v>15</v>
      </c>
    </row>
    <row r="91" spans="1:9" s="1" customFormat="1">
      <c r="A91" s="10"/>
      <c r="B91" s="37"/>
      <c r="C91" s="9"/>
      <c r="D91" s="16"/>
      <c r="E91" s="17"/>
      <c r="F91" s="26"/>
      <c r="G91" s="22"/>
      <c r="H91" s="30"/>
      <c r="I91" s="6"/>
    </row>
    <row r="92" spans="1:9" s="1" customFormat="1">
      <c r="A92" s="11" t="s">
        <v>4</v>
      </c>
      <c r="B92" s="10"/>
      <c r="C92" s="10"/>
      <c r="D92" s="18">
        <f>SUM(D84:D91)</f>
        <v>291.13</v>
      </c>
      <c r="E92" s="6"/>
      <c r="F92" s="27">
        <f>SUM(F84:F85)</f>
        <v>0</v>
      </c>
      <c r="G92" s="23"/>
      <c r="H92" s="31">
        <f>SUM(H84:H91)</f>
        <v>2524.0699999999997</v>
      </c>
      <c r="I92" s="2"/>
    </row>
    <row r="93" spans="1:9" s="1" customFormat="1" ht="15.75" thickBot="1">
      <c r="A93" s="12" t="s">
        <v>5</v>
      </c>
      <c r="B93" s="34">
        <f>SUM(D92+F92+H92)</f>
        <v>2815.2</v>
      </c>
      <c r="C93" s="33"/>
      <c r="D93" s="19"/>
      <c r="E93" s="20"/>
      <c r="F93" s="28"/>
      <c r="G93" s="24"/>
      <c r="H93" s="32"/>
      <c r="I93" s="3"/>
    </row>
    <row r="94" spans="1:9" s="1" customFormat="1">
      <c r="A94" s="43" t="s">
        <v>301</v>
      </c>
      <c r="B94" s="8" t="s">
        <v>55</v>
      </c>
      <c r="C94" s="8" t="s">
        <v>76</v>
      </c>
      <c r="D94" s="14">
        <f>68.84</f>
        <v>68.84</v>
      </c>
      <c r="E94" s="15" t="s">
        <v>16</v>
      </c>
      <c r="F94" s="25">
        <f>16.75</f>
        <v>16.75</v>
      </c>
      <c r="G94" s="21" t="s">
        <v>42</v>
      </c>
      <c r="H94" s="29">
        <f>403.35+276+45-276</f>
        <v>448.35</v>
      </c>
      <c r="I94" s="5" t="s">
        <v>67</v>
      </c>
    </row>
    <row r="95" spans="1:9" s="1" customFormat="1">
      <c r="A95" s="10"/>
      <c r="B95" s="37" t="s">
        <v>302</v>
      </c>
      <c r="C95" s="9"/>
      <c r="D95" s="16"/>
      <c r="E95" s="17"/>
      <c r="F95" s="26">
        <f>4.6</f>
        <v>4.5999999999999996</v>
      </c>
      <c r="G95" s="22" t="s">
        <v>50</v>
      </c>
      <c r="H95" s="30">
        <f>123.87+250.01-123.87</f>
        <v>250.01</v>
      </c>
      <c r="I95" s="6" t="s">
        <v>45</v>
      </c>
    </row>
    <row r="96" spans="1:9" s="1" customFormat="1">
      <c r="A96" s="10"/>
      <c r="B96" s="37"/>
      <c r="C96" s="9"/>
      <c r="D96" s="16"/>
      <c r="E96" s="17"/>
      <c r="F96" s="26">
        <f>67</f>
        <v>67</v>
      </c>
      <c r="G96" s="22" t="s">
        <v>43</v>
      </c>
      <c r="H96" s="30">
        <f>11.85</f>
        <v>11.85</v>
      </c>
      <c r="I96" s="6" t="s">
        <v>15</v>
      </c>
    </row>
    <row r="97" spans="1:9" s="1" customFormat="1">
      <c r="A97" s="10"/>
      <c r="B97" s="37"/>
      <c r="C97" s="9"/>
      <c r="D97" s="16"/>
      <c r="E97" s="17"/>
      <c r="F97" s="26"/>
      <c r="G97" s="22"/>
      <c r="H97" s="30"/>
      <c r="I97" s="6"/>
    </row>
    <row r="98" spans="1:9" s="1" customFormat="1">
      <c r="A98" s="10"/>
      <c r="B98" s="37"/>
      <c r="C98" s="9" t="s">
        <v>20</v>
      </c>
      <c r="D98" s="16">
        <v>273.56</v>
      </c>
      <c r="E98" s="17" t="s">
        <v>14</v>
      </c>
      <c r="F98" s="26"/>
      <c r="G98" s="22"/>
      <c r="H98" s="30"/>
      <c r="I98" s="6"/>
    </row>
    <row r="99" spans="1:9" s="1" customFormat="1">
      <c r="A99" s="10"/>
      <c r="B99" s="37"/>
      <c r="C99" s="9"/>
      <c r="D99" s="16"/>
      <c r="E99" s="17"/>
      <c r="F99" s="26"/>
      <c r="G99" s="22"/>
      <c r="H99" s="30"/>
      <c r="I99" s="6"/>
    </row>
    <row r="100" spans="1:9" s="1" customFormat="1">
      <c r="A100" s="11" t="s">
        <v>4</v>
      </c>
      <c r="B100" s="10"/>
      <c r="C100" s="10"/>
      <c r="D100" s="18">
        <f>SUM(D94:D99)</f>
        <v>342.4</v>
      </c>
      <c r="E100" s="6"/>
      <c r="F100" s="27">
        <f>SUM(F94:F99)</f>
        <v>88.35</v>
      </c>
      <c r="G100" s="23"/>
      <c r="H100" s="31">
        <f>SUM(H94:H99)</f>
        <v>710.21</v>
      </c>
      <c r="I100" s="2"/>
    </row>
    <row r="101" spans="1:9" s="1" customFormat="1" ht="15.75" thickBot="1">
      <c r="A101" s="12" t="s">
        <v>5</v>
      </c>
      <c r="B101" s="34">
        <f>SUM(D100+F100+H100)</f>
        <v>1140.96</v>
      </c>
      <c r="C101" s="33"/>
      <c r="D101" s="19"/>
      <c r="E101" s="20"/>
      <c r="F101" s="28"/>
      <c r="G101" s="24"/>
      <c r="H101" s="32"/>
      <c r="I101" s="3"/>
    </row>
    <row r="102" spans="1:9" s="1" customFormat="1">
      <c r="A102" s="43" t="s">
        <v>313</v>
      </c>
      <c r="B102" s="8" t="s">
        <v>178</v>
      </c>
      <c r="C102" s="8" t="s">
        <v>57</v>
      </c>
      <c r="D102" s="14">
        <f>13.8+193.77+3.18</f>
        <v>210.75000000000003</v>
      </c>
      <c r="E102" s="15" t="s">
        <v>16</v>
      </c>
      <c r="F102" s="25">
        <f>24</f>
        <v>24</v>
      </c>
      <c r="G102" s="21" t="s">
        <v>32</v>
      </c>
      <c r="H102" s="29">
        <f>541.44+547.77</f>
        <v>1089.21</v>
      </c>
      <c r="I102" s="5" t="s">
        <v>67</v>
      </c>
    </row>
    <row r="103" spans="1:9" s="1" customFormat="1">
      <c r="A103" s="10"/>
      <c r="B103" s="37" t="s">
        <v>150</v>
      </c>
      <c r="C103" s="9"/>
      <c r="D103" s="16">
        <f>17.5+62.84+48.38</f>
        <v>128.72</v>
      </c>
      <c r="E103" s="17" t="s">
        <v>14</v>
      </c>
      <c r="F103" s="26"/>
      <c r="G103" s="22"/>
      <c r="H103" s="30">
        <f>195.74+417.8+417.8+64-417.8</f>
        <v>677.54</v>
      </c>
      <c r="I103" s="6" t="s">
        <v>319</v>
      </c>
    </row>
    <row r="104" spans="1:9" s="1" customFormat="1">
      <c r="A104" s="10"/>
      <c r="B104" s="37" t="s">
        <v>291</v>
      </c>
      <c r="C104" s="9"/>
      <c r="D104" s="16">
        <f>21.35+10</f>
        <v>31.35</v>
      </c>
      <c r="E104" s="17" t="s">
        <v>29</v>
      </c>
      <c r="F104" s="26"/>
      <c r="G104" s="22"/>
      <c r="H104" s="30">
        <f>551.26+78.48</f>
        <v>629.74</v>
      </c>
      <c r="I104" s="6" t="s">
        <v>314</v>
      </c>
    </row>
    <row r="105" spans="1:9" s="1" customFormat="1">
      <c r="A105" s="10"/>
      <c r="B105" s="37"/>
      <c r="C105" s="9"/>
      <c r="D105" s="16"/>
      <c r="E105" s="17"/>
      <c r="F105" s="26"/>
      <c r="G105" s="22"/>
      <c r="H105" s="30"/>
      <c r="I105" s="6"/>
    </row>
    <row r="106" spans="1:9" s="1" customFormat="1">
      <c r="A106" s="10"/>
      <c r="B106" s="37"/>
      <c r="C106" s="9" t="s">
        <v>49</v>
      </c>
      <c r="D106" s="16">
        <f>59.55+7.66</f>
        <v>67.209999999999994</v>
      </c>
      <c r="E106" s="17"/>
      <c r="F106" s="26">
        <v>101.83</v>
      </c>
      <c r="G106" s="22" t="s">
        <v>42</v>
      </c>
      <c r="H106" s="30">
        <f>541.44+547.77</f>
        <v>1089.21</v>
      </c>
      <c r="I106" s="6" t="s">
        <v>67</v>
      </c>
    </row>
    <row r="107" spans="1:9" s="1" customFormat="1">
      <c r="A107" s="10"/>
      <c r="B107" s="37"/>
      <c r="C107" s="9"/>
      <c r="D107" s="16">
        <f>7.2</f>
        <v>7.2</v>
      </c>
      <c r="E107" s="17" t="s">
        <v>14</v>
      </c>
      <c r="F107" s="26">
        <v>10.4</v>
      </c>
      <c r="G107" s="22" t="s">
        <v>50</v>
      </c>
      <c r="H107" s="30">
        <f>180.21+417.8</f>
        <v>598.01</v>
      </c>
      <c r="I107" s="6"/>
    </row>
    <row r="108" spans="1:9" s="1" customFormat="1">
      <c r="A108" s="10"/>
      <c r="B108" s="37"/>
      <c r="C108" s="9"/>
      <c r="D108" s="16">
        <f>21.68</f>
        <v>21.68</v>
      </c>
      <c r="E108" s="17" t="s">
        <v>29</v>
      </c>
      <c r="F108" s="26">
        <v>146</v>
      </c>
      <c r="G108" s="22" t="s">
        <v>43</v>
      </c>
      <c r="H108" s="30">
        <f>73.36+81.77</f>
        <v>155.13</v>
      </c>
      <c r="I108" s="6" t="s">
        <v>15</v>
      </c>
    </row>
    <row r="109" spans="1:9" s="1" customFormat="1">
      <c r="A109" s="10"/>
      <c r="B109" s="37"/>
      <c r="C109" s="9"/>
      <c r="D109" s="16"/>
      <c r="E109" s="17"/>
      <c r="F109" s="26"/>
      <c r="G109" s="22"/>
      <c r="H109" s="30"/>
      <c r="I109" s="6"/>
    </row>
    <row r="110" spans="1:9" s="1" customFormat="1">
      <c r="A110" s="10"/>
      <c r="B110" s="37"/>
      <c r="C110" s="9" t="s">
        <v>277</v>
      </c>
      <c r="D110" s="16">
        <f>14.8+44.61+31.28</f>
        <v>90.69</v>
      </c>
      <c r="E110" s="17" t="s">
        <v>16</v>
      </c>
      <c r="F110" s="26">
        <v>26.62</v>
      </c>
      <c r="G110" s="22" t="s">
        <v>42</v>
      </c>
      <c r="H110" s="30">
        <f>541.44+547.77</f>
        <v>1089.21</v>
      </c>
      <c r="I110" s="6" t="s">
        <v>67</v>
      </c>
    </row>
    <row r="111" spans="1:9" s="1" customFormat="1">
      <c r="A111" s="10"/>
      <c r="B111" s="37"/>
      <c r="C111" s="9"/>
      <c r="D111" s="16"/>
      <c r="E111" s="17"/>
      <c r="F111" s="26"/>
      <c r="G111" s="22"/>
      <c r="H111" s="30">
        <f>180.21+417.8</f>
        <v>598.01</v>
      </c>
      <c r="I111" s="6" t="s">
        <v>45</v>
      </c>
    </row>
    <row r="112" spans="1:9" s="1" customFormat="1">
      <c r="A112" s="10"/>
      <c r="B112" s="37"/>
      <c r="C112" s="9"/>
      <c r="D112" s="16">
        <f>21.68+143.04</f>
        <v>164.72</v>
      </c>
      <c r="E112" s="17" t="s">
        <v>29</v>
      </c>
      <c r="F112" s="26"/>
      <c r="G112" s="22"/>
      <c r="H112" s="30">
        <f>27.81+103.47</f>
        <v>131.28</v>
      </c>
      <c r="I112" s="6" t="s">
        <v>15</v>
      </c>
    </row>
    <row r="113" spans="1:9" s="1" customFormat="1">
      <c r="A113" s="10"/>
      <c r="B113" s="37"/>
      <c r="C113" s="9"/>
      <c r="D113" s="16"/>
      <c r="E113" s="17"/>
      <c r="F113" s="26"/>
      <c r="G113" s="22"/>
      <c r="H113" s="30"/>
      <c r="I113" s="6"/>
    </row>
    <row r="114" spans="1:9" s="1" customFormat="1">
      <c r="A114" s="11" t="s">
        <v>4</v>
      </c>
      <c r="B114" s="10"/>
      <c r="C114" s="10"/>
      <c r="D114" s="18">
        <f>SUM(D102:D113)</f>
        <v>722.32</v>
      </c>
      <c r="E114" s="6"/>
      <c r="F114" s="27">
        <f>SUM(F102:F113)</f>
        <v>308.85000000000002</v>
      </c>
      <c r="G114" s="23"/>
      <c r="H114" s="31">
        <f>SUM(H102:H113)</f>
        <v>6057.34</v>
      </c>
      <c r="I114" s="2"/>
    </row>
    <row r="115" spans="1:9" s="1" customFormat="1" ht="15.75" thickBot="1">
      <c r="A115" s="12" t="s">
        <v>5</v>
      </c>
      <c r="B115" s="34">
        <f>SUM(D114+F114+H114)</f>
        <v>7088.51</v>
      </c>
      <c r="C115" s="33"/>
      <c r="D115" s="19"/>
      <c r="E115" s="20"/>
      <c r="F115" s="28"/>
      <c r="G115" s="24"/>
      <c r="H115" s="32"/>
      <c r="I115" s="3"/>
    </row>
    <row r="116" spans="1:9" s="1" customFormat="1">
      <c r="A116" s="43" t="s">
        <v>317</v>
      </c>
      <c r="B116" s="8" t="s">
        <v>79</v>
      </c>
      <c r="C116" s="8" t="s">
        <v>10</v>
      </c>
      <c r="D116" s="14">
        <f>4.9+537.21</f>
        <v>542.11</v>
      </c>
      <c r="E116" s="15" t="s">
        <v>16</v>
      </c>
      <c r="F116" s="25"/>
      <c r="G116" s="21"/>
      <c r="H116" s="29">
        <f>4238.82</f>
        <v>4238.82</v>
      </c>
      <c r="I116" s="5" t="s">
        <v>67</v>
      </c>
    </row>
    <row r="117" spans="1:9" s="1" customFormat="1">
      <c r="A117" s="10"/>
      <c r="B117" s="37" t="s">
        <v>92</v>
      </c>
      <c r="C117" s="9"/>
      <c r="D117" s="16">
        <f>110</f>
        <v>110</v>
      </c>
      <c r="E117" s="17" t="s">
        <v>14</v>
      </c>
      <c r="F117" s="26"/>
      <c r="G117" s="22"/>
      <c r="H117" s="30">
        <f>1597.95</f>
        <v>1597.95</v>
      </c>
      <c r="I117" s="6" t="s">
        <v>45</v>
      </c>
    </row>
    <row r="118" spans="1:9" s="1" customFormat="1">
      <c r="A118" s="10"/>
      <c r="B118" s="37"/>
      <c r="C118" s="9"/>
      <c r="D118" s="16"/>
      <c r="E118" s="17"/>
      <c r="F118" s="26"/>
      <c r="G118" s="22"/>
      <c r="H118" s="30"/>
      <c r="I118" s="6"/>
    </row>
    <row r="119" spans="1:9" s="1" customFormat="1">
      <c r="A119" s="10"/>
      <c r="B119" s="37"/>
      <c r="C119" s="9" t="s">
        <v>12</v>
      </c>
      <c r="D119" s="16">
        <f>96.01</f>
        <v>96.01</v>
      </c>
      <c r="E119" s="17" t="s">
        <v>16</v>
      </c>
      <c r="F119" s="26"/>
      <c r="G119" s="22"/>
      <c r="H119" s="30"/>
      <c r="I119" s="6"/>
    </row>
    <row r="120" spans="1:9" s="1" customFormat="1">
      <c r="A120" s="10"/>
      <c r="B120" s="37"/>
      <c r="C120" s="9"/>
      <c r="D120" s="16">
        <f>12.33</f>
        <v>12.33</v>
      </c>
      <c r="E120" s="17" t="s">
        <v>14</v>
      </c>
      <c r="F120" s="26"/>
      <c r="G120" s="22"/>
      <c r="H120" s="30"/>
      <c r="I120" s="6"/>
    </row>
    <row r="121" spans="1:9" s="1" customFormat="1">
      <c r="A121" s="10"/>
      <c r="B121" s="37"/>
      <c r="C121" s="9"/>
      <c r="D121" s="16"/>
      <c r="E121" s="17"/>
      <c r="F121" s="26"/>
      <c r="G121" s="22"/>
      <c r="H121" s="30"/>
      <c r="I121" s="6"/>
    </row>
    <row r="122" spans="1:9" s="1" customFormat="1">
      <c r="A122" s="10"/>
      <c r="B122" s="37"/>
      <c r="C122" s="9" t="s">
        <v>135</v>
      </c>
      <c r="D122" s="16"/>
      <c r="E122" s="17"/>
      <c r="F122" s="26">
        <v>5.78</v>
      </c>
      <c r="G122" s="22" t="s">
        <v>42</v>
      </c>
      <c r="H122" s="30">
        <f>4238.82</f>
        <v>4238.82</v>
      </c>
      <c r="I122" s="6" t="s">
        <v>67</v>
      </c>
    </row>
    <row r="123" spans="1:9" s="1" customFormat="1">
      <c r="A123" s="10"/>
      <c r="B123" s="37"/>
      <c r="C123" s="9"/>
      <c r="D123" s="16"/>
      <c r="E123" s="17"/>
      <c r="F123" s="26">
        <v>45</v>
      </c>
      <c r="G123" s="22" t="s">
        <v>43</v>
      </c>
      <c r="H123" s="30">
        <f>1597.95</f>
        <v>1597.95</v>
      </c>
      <c r="I123" s="6" t="s">
        <v>45</v>
      </c>
    </row>
    <row r="124" spans="1:9" s="1" customFormat="1">
      <c r="A124" s="10"/>
      <c r="B124" s="37"/>
      <c r="C124" s="9"/>
      <c r="D124" s="16"/>
      <c r="E124" s="17"/>
      <c r="F124" s="26"/>
      <c r="G124" s="22"/>
      <c r="H124" s="30">
        <f>2090+2090+209+209-2090-2090</f>
        <v>418</v>
      </c>
      <c r="I124" s="6" t="s">
        <v>429</v>
      </c>
    </row>
    <row r="125" spans="1:9" s="1" customFormat="1">
      <c r="A125" s="10"/>
      <c r="B125" s="37"/>
      <c r="C125" s="9"/>
      <c r="D125" s="16"/>
      <c r="E125" s="17"/>
      <c r="F125" s="26"/>
      <c r="G125" s="22"/>
      <c r="H125" s="30"/>
      <c r="I125" s="6"/>
    </row>
    <row r="126" spans="1:9" s="1" customFormat="1">
      <c r="A126" s="10"/>
      <c r="B126" s="37"/>
      <c r="C126" s="9" t="s">
        <v>9</v>
      </c>
      <c r="D126" s="16">
        <f>27.8+646.7</f>
        <v>674.5</v>
      </c>
      <c r="E126" s="17" t="s">
        <v>16</v>
      </c>
      <c r="F126" s="26"/>
      <c r="G126" s="22"/>
      <c r="H126" s="30">
        <f>4238.82</f>
        <v>4238.82</v>
      </c>
      <c r="I126" s="6" t="s">
        <v>67</v>
      </c>
    </row>
    <row r="127" spans="1:9" s="1" customFormat="1">
      <c r="A127" s="10"/>
      <c r="B127" s="37"/>
      <c r="C127" s="9"/>
      <c r="D127" s="16">
        <f>211.2+78.13</f>
        <v>289.33</v>
      </c>
      <c r="E127" s="17" t="s">
        <v>14</v>
      </c>
      <c r="F127" s="26"/>
      <c r="G127" s="22"/>
      <c r="H127" s="30">
        <f>1389.06+1406-1389.06</f>
        <v>1406</v>
      </c>
      <c r="I127" s="6" t="s">
        <v>45</v>
      </c>
    </row>
    <row r="128" spans="1:9" s="1" customFormat="1" ht="30">
      <c r="A128" s="10"/>
      <c r="B128" s="37"/>
      <c r="C128" s="9"/>
      <c r="D128" s="16"/>
      <c r="E128" s="17"/>
      <c r="F128" s="26"/>
      <c r="G128" s="22"/>
      <c r="H128" s="30">
        <v>1052</v>
      </c>
      <c r="I128" s="6" t="s">
        <v>341</v>
      </c>
    </row>
    <row r="129" spans="1:9" s="1" customFormat="1">
      <c r="A129" s="10"/>
      <c r="B129" s="37"/>
      <c r="C129" s="9"/>
      <c r="D129" s="16"/>
      <c r="E129" s="17"/>
      <c r="F129" s="26"/>
      <c r="G129" s="22"/>
      <c r="H129" s="30"/>
      <c r="I129" s="6"/>
    </row>
    <row r="130" spans="1:9" s="1" customFormat="1">
      <c r="A130" s="11" t="s">
        <v>4</v>
      </c>
      <c r="B130" s="10"/>
      <c r="C130" s="10"/>
      <c r="D130" s="18">
        <f>SUM(D116:D129)</f>
        <v>1724.28</v>
      </c>
      <c r="E130" s="6"/>
      <c r="F130" s="27">
        <f>SUM(F116:F117)</f>
        <v>0</v>
      </c>
      <c r="G130" s="23"/>
      <c r="H130" s="31">
        <f>SUM(H116:H129)</f>
        <v>18788.36</v>
      </c>
      <c r="I130" s="2"/>
    </row>
    <row r="131" spans="1:9" s="1" customFormat="1" ht="15.75" thickBot="1">
      <c r="A131" s="12" t="s">
        <v>5</v>
      </c>
      <c r="B131" s="34">
        <f>SUM(D130+F130+H130)</f>
        <v>20512.64</v>
      </c>
      <c r="C131" s="33"/>
      <c r="D131" s="19"/>
      <c r="E131" s="20"/>
      <c r="F131" s="28"/>
      <c r="G131" s="24"/>
      <c r="H131" s="32"/>
      <c r="I131" s="3"/>
    </row>
    <row r="132" spans="1:9" s="1" customFormat="1">
      <c r="A132" s="43" t="s">
        <v>317</v>
      </c>
      <c r="B132" s="8" t="s">
        <v>34</v>
      </c>
      <c r="C132" s="8" t="s">
        <v>20</v>
      </c>
      <c r="D132" s="14">
        <f>11.78+33.53</f>
        <v>45.31</v>
      </c>
      <c r="E132" s="15" t="s">
        <v>16</v>
      </c>
      <c r="F132" s="25">
        <v>3.9</v>
      </c>
      <c r="G132" s="21" t="s">
        <v>50</v>
      </c>
      <c r="H132" s="29">
        <f>1404.73</f>
        <v>1404.73</v>
      </c>
      <c r="I132" s="29" t="s">
        <v>67</v>
      </c>
    </row>
    <row r="133" spans="1:9" s="1" customFormat="1">
      <c r="A133" s="10"/>
      <c r="B133" s="37" t="s">
        <v>19</v>
      </c>
      <c r="C133" s="9"/>
      <c r="D133" s="16">
        <f>69.75</f>
        <v>69.75</v>
      </c>
      <c r="E133" s="17" t="s">
        <v>14</v>
      </c>
      <c r="F133" s="26">
        <v>0.85</v>
      </c>
      <c r="G133" s="22" t="s">
        <v>43</v>
      </c>
      <c r="H133" s="30">
        <v>511.14</v>
      </c>
      <c r="I133" s="6" t="s">
        <v>45</v>
      </c>
    </row>
    <row r="134" spans="1:9" s="1" customFormat="1">
      <c r="A134" s="10"/>
      <c r="B134" s="37"/>
      <c r="C134" s="9"/>
      <c r="D134" s="16">
        <v>11.05</v>
      </c>
      <c r="E134" s="17" t="s">
        <v>29</v>
      </c>
      <c r="F134" s="26"/>
      <c r="G134" s="22"/>
      <c r="H134" s="30"/>
      <c r="I134" s="6"/>
    </row>
    <row r="135" spans="1:9" s="1" customFormat="1">
      <c r="A135" s="10"/>
      <c r="B135" s="37"/>
      <c r="C135" s="9"/>
      <c r="D135" s="16"/>
      <c r="E135" s="17"/>
      <c r="F135" s="26"/>
      <c r="G135" s="22"/>
      <c r="H135" s="30"/>
      <c r="I135" s="6"/>
    </row>
    <row r="136" spans="1:9" s="1" customFormat="1">
      <c r="A136" s="10"/>
      <c r="B136" s="37"/>
      <c r="C136" s="9" t="s">
        <v>231</v>
      </c>
      <c r="D136" s="16">
        <f>3.74+4.63+19.95</f>
        <v>28.32</v>
      </c>
      <c r="E136" s="17" t="s">
        <v>16</v>
      </c>
      <c r="F136" s="26"/>
      <c r="G136" s="22"/>
      <c r="H136" s="30">
        <f>126.15+429.51+429.08</f>
        <v>984.74</v>
      </c>
      <c r="I136" s="6" t="s">
        <v>67</v>
      </c>
    </row>
    <row r="137" spans="1:9" s="1" customFormat="1">
      <c r="A137" s="10"/>
      <c r="B137" s="37"/>
      <c r="C137" s="9"/>
      <c r="D137" s="16">
        <f>50.91</f>
        <v>50.91</v>
      </c>
      <c r="E137" s="17" t="s">
        <v>14</v>
      </c>
      <c r="F137" s="26"/>
      <c r="G137" s="22"/>
      <c r="H137" s="30">
        <f>608.34</f>
        <v>608.34</v>
      </c>
      <c r="I137" s="6" t="s">
        <v>81</v>
      </c>
    </row>
    <row r="138" spans="1:9" s="1" customFormat="1">
      <c r="A138" s="10"/>
      <c r="B138" s="37"/>
      <c r="C138" s="9"/>
      <c r="D138" s="16"/>
      <c r="E138" s="17"/>
      <c r="F138" s="26"/>
      <c r="G138" s="22"/>
      <c r="H138" s="30"/>
      <c r="I138" s="6"/>
    </row>
    <row r="139" spans="1:9" s="1" customFormat="1">
      <c r="A139" s="10" t="s">
        <v>339</v>
      </c>
      <c r="B139" s="37"/>
      <c r="C139" s="9" t="s">
        <v>77</v>
      </c>
      <c r="D139" s="16">
        <f>4.76+13.62</f>
        <v>18.38</v>
      </c>
      <c r="E139" s="17" t="s">
        <v>16</v>
      </c>
      <c r="F139" s="26">
        <f>51.45</f>
        <v>51.45</v>
      </c>
      <c r="G139" s="22" t="s">
        <v>43</v>
      </c>
      <c r="H139" s="30">
        <f>551.93</f>
        <v>551.92999999999995</v>
      </c>
      <c r="I139" s="6" t="s">
        <v>67</v>
      </c>
    </row>
    <row r="140" spans="1:9" s="1" customFormat="1">
      <c r="A140" s="10"/>
      <c r="B140" s="37"/>
      <c r="C140" s="9"/>
      <c r="D140" s="16">
        <f>141.23+14.69</f>
        <v>155.91999999999999</v>
      </c>
      <c r="E140" s="17" t="s">
        <v>14</v>
      </c>
      <c r="F140" s="26"/>
      <c r="G140" s="22"/>
      <c r="H140" s="30">
        <f>121.09</f>
        <v>121.09</v>
      </c>
      <c r="I140" s="6" t="s">
        <v>81</v>
      </c>
    </row>
    <row r="141" spans="1:9" s="1" customFormat="1">
      <c r="A141" s="10"/>
      <c r="B141" s="37"/>
      <c r="C141" s="9"/>
      <c r="D141" s="16">
        <f>62.96</f>
        <v>62.96</v>
      </c>
      <c r="E141" s="17" t="s">
        <v>421</v>
      </c>
      <c r="F141" s="26"/>
      <c r="G141" s="22"/>
      <c r="H141" s="30"/>
      <c r="I141" s="6"/>
    </row>
    <row r="142" spans="1:9" s="1" customFormat="1">
      <c r="A142" s="10"/>
      <c r="B142" s="37"/>
      <c r="C142" s="9"/>
      <c r="D142" s="16"/>
      <c r="E142" s="17"/>
      <c r="F142" s="26"/>
      <c r="G142" s="22"/>
      <c r="H142" s="30"/>
      <c r="I142" s="6"/>
    </row>
    <row r="143" spans="1:9" s="1" customFormat="1">
      <c r="A143" s="11" t="s">
        <v>4</v>
      </c>
      <c r="B143" s="10"/>
      <c r="C143" s="10"/>
      <c r="D143" s="18">
        <f>SUM(D132:D142)</f>
        <v>442.59999999999997</v>
      </c>
      <c r="E143" s="6"/>
      <c r="F143" s="27">
        <f>SUM(F132:F142)</f>
        <v>56.2</v>
      </c>
      <c r="G143" s="23"/>
      <c r="H143" s="31">
        <f>SUM(H132:H142)</f>
        <v>4181.9699999999993</v>
      </c>
      <c r="I143" s="2"/>
    </row>
    <row r="144" spans="1:9" s="1" customFormat="1" ht="15.75" thickBot="1">
      <c r="A144" s="12" t="s">
        <v>5</v>
      </c>
      <c r="B144" s="34">
        <f>SUM(D143+F143+H143)</f>
        <v>4680.7699999999995</v>
      </c>
      <c r="C144" s="33"/>
      <c r="D144" s="19"/>
      <c r="E144" s="20"/>
      <c r="F144" s="28"/>
      <c r="G144" s="24"/>
      <c r="H144" s="32"/>
      <c r="I144" s="3"/>
    </row>
    <row r="145" spans="1:11" s="1" customFormat="1">
      <c r="A145" s="43" t="s">
        <v>315</v>
      </c>
      <c r="B145" s="8" t="s">
        <v>304</v>
      </c>
      <c r="C145" s="8" t="s">
        <v>231</v>
      </c>
      <c r="D145" s="14">
        <f>357.18</f>
        <v>357.18</v>
      </c>
      <c r="E145" s="15" t="s">
        <v>16</v>
      </c>
      <c r="F145" s="25"/>
      <c r="G145" s="21"/>
      <c r="H145" s="29">
        <f>165+619.92+645.98</f>
        <v>1430.9</v>
      </c>
      <c r="I145" s="5" t="s">
        <v>67</v>
      </c>
    </row>
    <row r="146" spans="1:11" s="1" customFormat="1">
      <c r="A146" s="10"/>
      <c r="B146" s="37" t="s">
        <v>19</v>
      </c>
      <c r="C146" s="9"/>
      <c r="D146" s="16">
        <f>114.22</f>
        <v>114.22</v>
      </c>
      <c r="E146" s="17" t="s">
        <v>14</v>
      </c>
      <c r="F146" s="26"/>
      <c r="G146" s="22"/>
      <c r="H146" s="30">
        <f>888.39</f>
        <v>888.39</v>
      </c>
      <c r="I146" s="6" t="s">
        <v>45</v>
      </c>
    </row>
    <row r="147" spans="1:11" s="1" customFormat="1">
      <c r="A147" s="10"/>
      <c r="B147" s="37"/>
      <c r="C147" s="9"/>
      <c r="D147" s="16">
        <f>18.03+17.64</f>
        <v>35.67</v>
      </c>
      <c r="E147" s="17" t="s">
        <v>29</v>
      </c>
      <c r="F147" s="26"/>
      <c r="G147" s="22"/>
      <c r="H147" s="30"/>
      <c r="I147" s="6"/>
    </row>
    <row r="148" spans="1:11" s="1" customFormat="1">
      <c r="A148" s="10"/>
      <c r="B148" s="37"/>
      <c r="C148" s="9"/>
      <c r="D148" s="16"/>
      <c r="E148" s="17"/>
      <c r="F148" s="26"/>
      <c r="G148" s="22"/>
      <c r="H148" s="30"/>
      <c r="I148" s="6"/>
    </row>
    <row r="149" spans="1:11" s="1" customFormat="1">
      <c r="A149" s="10" t="s">
        <v>340</v>
      </c>
      <c r="B149" s="37"/>
      <c r="C149" s="9" t="s">
        <v>77</v>
      </c>
      <c r="D149" s="16">
        <f>2.05</f>
        <v>2.0499999999999998</v>
      </c>
      <c r="E149" s="17" t="s">
        <v>16</v>
      </c>
      <c r="F149" s="26"/>
      <c r="G149" s="22"/>
      <c r="H149" s="30">
        <f>645.92</f>
        <v>645.91999999999996</v>
      </c>
      <c r="I149" s="6" t="s">
        <v>67</v>
      </c>
    </row>
    <row r="150" spans="1:11" s="1" customFormat="1">
      <c r="A150" s="10"/>
      <c r="B150" s="37"/>
      <c r="C150" s="9"/>
      <c r="D150" s="16">
        <f>27.06</f>
        <v>27.06</v>
      </c>
      <c r="E150" s="17" t="s">
        <v>14</v>
      </c>
      <c r="F150" s="26"/>
      <c r="G150" s="22"/>
      <c r="H150" s="30">
        <f>249.82</f>
        <v>249.82</v>
      </c>
      <c r="I150" s="6" t="s">
        <v>45</v>
      </c>
    </row>
    <row r="151" spans="1:11" s="1" customFormat="1">
      <c r="A151" s="10"/>
      <c r="B151" s="37"/>
      <c r="C151" s="9"/>
      <c r="D151" s="16"/>
      <c r="E151" s="17"/>
      <c r="F151" s="26"/>
      <c r="G151" s="22"/>
      <c r="H151" s="30">
        <v>173.6</v>
      </c>
      <c r="I151" s="6" t="s">
        <v>81</v>
      </c>
    </row>
    <row r="152" spans="1:11" s="1" customFormat="1">
      <c r="A152" s="10"/>
      <c r="B152" s="37"/>
      <c r="C152" s="9"/>
      <c r="D152" s="16"/>
      <c r="E152" s="17"/>
      <c r="F152" s="26"/>
      <c r="G152" s="22"/>
      <c r="H152" s="30"/>
      <c r="I152" s="6"/>
    </row>
    <row r="153" spans="1:11" s="1" customFormat="1">
      <c r="A153" s="11" t="s">
        <v>4</v>
      </c>
      <c r="B153" s="10"/>
      <c r="C153" s="10"/>
      <c r="D153" s="18">
        <f>SUM(D145:D146)</f>
        <v>471.4</v>
      </c>
      <c r="E153" s="6"/>
      <c r="F153" s="27">
        <f>SUM(F145:F146)</f>
        <v>0</v>
      </c>
      <c r="G153" s="23"/>
      <c r="H153" s="31">
        <f>SUM(H145:H152)</f>
        <v>3388.63</v>
      </c>
      <c r="I153" s="2"/>
    </row>
    <row r="154" spans="1:11" s="1" customFormat="1" ht="15.75" thickBot="1">
      <c r="A154" s="12" t="s">
        <v>5</v>
      </c>
      <c r="B154" s="34">
        <f>SUM(D153+F153+H153)</f>
        <v>3860.03</v>
      </c>
      <c r="C154" s="33"/>
      <c r="D154" s="19"/>
      <c r="E154" s="20"/>
      <c r="F154" s="28"/>
      <c r="G154" s="24"/>
      <c r="H154" s="32"/>
      <c r="I154" s="3"/>
    </row>
    <row r="155" spans="1:11" ht="15.75" thickBot="1">
      <c r="J155" s="1"/>
      <c r="K155" s="40"/>
    </row>
    <row r="156" spans="1:11" ht="20.25" thickBot="1">
      <c r="A156" s="35" t="s">
        <v>8</v>
      </c>
      <c r="B156" s="36">
        <f>SUM(B154,B144,B131,B115,B101,B93,B83,B78,B70,B61,B50,B41,B31,B24,B14,B9)</f>
        <v>55884.729999999989</v>
      </c>
      <c r="J156" s="1"/>
      <c r="K156" s="40"/>
    </row>
    <row r="157" spans="1:11">
      <c r="J157" s="1"/>
      <c r="K157" s="41"/>
    </row>
    <row r="158" spans="1:11">
      <c r="J158" s="1"/>
      <c r="K158" s="40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GENNAIO!Print_Area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2015-06-10T09:10:08Z</dcterms:modified>
</cp:coreProperties>
</file>