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400" windowHeight="7965" firstSheet="9" activeTab="14"/>
  </bookViews>
  <sheets>
    <sheet name="GENNAIO" sheetId="1" r:id="rId1"/>
    <sheet name="FEBBRAIO" sheetId="2" r:id="rId2"/>
    <sheet name="MARZO" sheetId="3" r:id="rId3"/>
    <sheet name="Totale 1Q" sheetId="4" r:id="rId4"/>
    <sheet name="Dettagli Costi Cell 1Q" sheetId="5" r:id="rId5"/>
    <sheet name="APRILE" sheetId="6" r:id="rId6"/>
    <sheet name="MAGGIO" sheetId="7" r:id="rId7"/>
    <sheet name="GIUGNO" sheetId="8" r:id="rId8"/>
    <sheet name="Dettagli Costi Cell 2Q" sheetId="10" r:id="rId9"/>
    <sheet name="LUGLIO" sheetId="9" r:id="rId10"/>
    <sheet name="AGOSTO" sheetId="11" r:id="rId11"/>
    <sheet name="SETTEMBRE" sheetId="12" r:id="rId12"/>
    <sheet name="Dettagli Costi Cell 3Q" sheetId="13" r:id="rId13"/>
    <sheet name="OTTOBRE" sheetId="14" r:id="rId14"/>
    <sheet name="NOVEMBRE" sheetId="15" r:id="rId15"/>
    <sheet name="DICEMBRE" sheetId="17" r:id="rId16"/>
    <sheet name="Dettagli Costi Cell 4Q" sheetId="16" r:id="rId17"/>
  </sheets>
  <calcPr calcId="125725"/>
</workbook>
</file>

<file path=xl/calcChain.xml><?xml version="1.0" encoding="utf-8"?>
<calcChain xmlns="http://schemas.openxmlformats.org/spreadsheetml/2006/main">
  <c r="B43" i="15"/>
  <c r="B99" i="17"/>
  <c r="B98"/>
  <c r="B97"/>
  <c r="B99" i="15"/>
  <c r="B98"/>
  <c r="B97"/>
  <c r="B100" s="1"/>
  <c r="C21" i="17"/>
  <c r="B21"/>
  <c r="C37"/>
  <c r="C16"/>
  <c r="B16"/>
  <c r="C12"/>
  <c r="B12"/>
  <c r="B37"/>
  <c r="C41"/>
  <c r="B41"/>
  <c r="C35"/>
  <c r="B35"/>
  <c r="B41" i="12"/>
  <c r="B43" i="17"/>
  <c r="C2"/>
  <c r="B2"/>
  <c r="B29"/>
  <c r="B26"/>
  <c r="C42"/>
  <c r="B42"/>
  <c r="B9"/>
  <c r="C41" i="15"/>
  <c r="B41"/>
  <c r="B40"/>
  <c r="C40"/>
  <c r="B37"/>
  <c r="C39" i="17"/>
  <c r="C39" i="15"/>
  <c r="B39"/>
  <c r="B25" i="17"/>
  <c r="C33"/>
  <c r="D33"/>
  <c r="B33"/>
  <c r="B100"/>
  <c r="D45"/>
  <c r="D43"/>
  <c r="D42"/>
  <c r="D41"/>
  <c r="D40"/>
  <c r="D39"/>
  <c r="D37"/>
  <c r="D35"/>
  <c r="D34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3"/>
  <c r="D2"/>
  <c r="C2" i="15"/>
  <c r="B2"/>
  <c r="C35"/>
  <c r="B35"/>
  <c r="B42"/>
  <c r="C21"/>
  <c r="B21"/>
  <c r="C16"/>
  <c r="B16"/>
  <c r="C42"/>
  <c r="C12"/>
  <c r="B12"/>
  <c r="B29"/>
  <c r="C26"/>
  <c r="B26"/>
  <c r="C31"/>
  <c r="B31"/>
  <c r="B19"/>
  <c r="D19"/>
  <c r="D20"/>
  <c r="C40" i="14"/>
  <c r="B40"/>
  <c r="C39"/>
  <c r="B39"/>
  <c r="C34"/>
  <c r="B34"/>
  <c r="B9"/>
  <c r="C38"/>
  <c r="B38"/>
  <c r="C36"/>
  <c r="B36"/>
  <c r="D45" i="15"/>
  <c r="D43"/>
  <c r="D42"/>
  <c r="D41"/>
  <c r="D40"/>
  <c r="D39"/>
  <c r="D37"/>
  <c r="D35"/>
  <c r="D34"/>
  <c r="D33"/>
  <c r="D32"/>
  <c r="D31"/>
  <c r="D30"/>
  <c r="D29"/>
  <c r="D28"/>
  <c r="D27"/>
  <c r="D26"/>
  <c r="D25"/>
  <c r="D24"/>
  <c r="D23"/>
  <c r="D22"/>
  <c r="D21"/>
  <c r="D18"/>
  <c r="D17"/>
  <c r="D16"/>
  <c r="D15"/>
  <c r="D14"/>
  <c r="D13"/>
  <c r="D12"/>
  <c r="D11"/>
  <c r="D10"/>
  <c r="D9"/>
  <c r="D8"/>
  <c r="D7"/>
  <c r="D6"/>
  <c r="D5"/>
  <c r="D3"/>
  <c r="D2"/>
  <c r="B2" i="14"/>
  <c r="B28"/>
  <c r="C16"/>
  <c r="B16"/>
  <c r="B41"/>
  <c r="C41"/>
  <c r="C12"/>
  <c r="B12"/>
  <c r="B25"/>
  <c r="B30"/>
  <c r="G37" i="12"/>
  <c r="C37"/>
  <c r="C19"/>
  <c r="B19"/>
  <c r="C20" i="11"/>
  <c r="B20"/>
  <c r="C35" i="12"/>
  <c r="B35"/>
  <c r="B32" i="14"/>
  <c r="B96"/>
  <c r="B98"/>
  <c r="B97"/>
  <c r="D44"/>
  <c r="D42"/>
  <c r="D41"/>
  <c r="D40"/>
  <c r="D38"/>
  <c r="D36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3"/>
  <c r="D41" i="12"/>
  <c r="C39"/>
  <c r="B39"/>
  <c r="D39"/>
  <c r="B37"/>
  <c r="C33"/>
  <c r="D33"/>
  <c r="B33"/>
  <c r="C2"/>
  <c r="B2"/>
  <c r="D2"/>
  <c r="C15"/>
  <c r="B15"/>
  <c r="B27"/>
  <c r="C29"/>
  <c r="B29"/>
  <c r="D29"/>
  <c r="C40"/>
  <c r="B40"/>
  <c r="C11"/>
  <c r="B11"/>
  <c r="D6"/>
  <c r="C40" i="11"/>
  <c r="D40"/>
  <c r="B40"/>
  <c r="B24" i="12"/>
  <c r="C2" i="11"/>
  <c r="D2"/>
  <c r="B2"/>
  <c r="C34"/>
  <c r="B34"/>
  <c r="C12"/>
  <c r="B12"/>
  <c r="B28"/>
  <c r="C30"/>
  <c r="B30"/>
  <c r="B25"/>
  <c r="G38" i="9"/>
  <c r="D7"/>
  <c r="D7" i="8"/>
  <c r="B108" i="9"/>
  <c r="B107"/>
  <c r="B98" i="12"/>
  <c r="B97"/>
  <c r="D43"/>
  <c r="D38"/>
  <c r="D37"/>
  <c r="D35"/>
  <c r="D32"/>
  <c r="D31"/>
  <c r="D30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5"/>
  <c r="D3"/>
  <c r="D40"/>
  <c r="C39" i="9"/>
  <c r="B39"/>
  <c r="C7" i="11"/>
  <c r="B7"/>
  <c r="C36" i="9"/>
  <c r="B36"/>
  <c r="C41" i="11"/>
  <c r="B41"/>
  <c r="B98"/>
  <c r="B97"/>
  <c r="D44"/>
  <c r="D42"/>
  <c r="D41"/>
  <c r="D39"/>
  <c r="D38"/>
  <c r="D36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3"/>
  <c r="B96"/>
  <c r="B30" i="9"/>
  <c r="C2"/>
  <c r="B2"/>
  <c r="C16"/>
  <c r="B16"/>
  <c r="C34"/>
  <c r="B34"/>
  <c r="C40"/>
  <c r="B40"/>
  <c r="C12"/>
  <c r="B12"/>
  <c r="B106"/>
  <c r="B109"/>
  <c r="C41"/>
  <c r="D41"/>
  <c r="B41"/>
  <c r="C32"/>
  <c r="B32"/>
  <c r="D32"/>
  <c r="C38"/>
  <c r="B38"/>
  <c r="B25"/>
  <c r="C40" i="8"/>
  <c r="B40"/>
  <c r="B28" i="9"/>
  <c r="G42" i="8"/>
  <c r="D44" i="9"/>
  <c r="D42"/>
  <c r="D40"/>
  <c r="D39"/>
  <c r="D38"/>
  <c r="D36"/>
  <c r="D34"/>
  <c r="D33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1"/>
  <c r="D10"/>
  <c r="D9"/>
  <c r="D8"/>
  <c r="D6"/>
  <c r="D5"/>
  <c r="D3"/>
  <c r="D2"/>
  <c r="D15" i="8"/>
  <c r="D17"/>
  <c r="G38"/>
  <c r="D33"/>
  <c r="D26"/>
  <c r="D27"/>
  <c r="D11"/>
  <c r="B39"/>
  <c r="C42"/>
  <c r="B42"/>
  <c r="C39"/>
  <c r="D39"/>
  <c r="C2"/>
  <c r="D2"/>
  <c r="B2"/>
  <c r="C36"/>
  <c r="B36"/>
  <c r="D36"/>
  <c r="C20"/>
  <c r="B20"/>
  <c r="C12"/>
  <c r="B12"/>
  <c r="B106"/>
  <c r="B109"/>
  <c r="D14"/>
  <c r="B13"/>
  <c r="D13"/>
  <c r="D12"/>
  <c r="C38"/>
  <c r="D38"/>
  <c r="B38"/>
  <c r="C41"/>
  <c r="B41"/>
  <c r="D41"/>
  <c r="B28"/>
  <c r="C30"/>
  <c r="B30"/>
  <c r="G40" i="7"/>
  <c r="B40"/>
  <c r="B25" i="8"/>
  <c r="D25"/>
  <c r="C38" i="7"/>
  <c r="B38"/>
  <c r="D24"/>
  <c r="D25"/>
  <c r="D16"/>
  <c r="D14"/>
  <c r="D15"/>
  <c r="C33"/>
  <c r="B33"/>
  <c r="C32" i="8"/>
  <c r="B32"/>
  <c r="B108"/>
  <c r="B107"/>
  <c r="D44"/>
  <c r="D42"/>
  <c r="D40"/>
  <c r="D34"/>
  <c r="D31"/>
  <c r="D30"/>
  <c r="D29"/>
  <c r="D28"/>
  <c r="D24"/>
  <c r="D23"/>
  <c r="D22"/>
  <c r="D21"/>
  <c r="D20"/>
  <c r="D19"/>
  <c r="D18"/>
  <c r="D10"/>
  <c r="D16"/>
  <c r="D9"/>
  <c r="D8"/>
  <c r="D6"/>
  <c r="D5"/>
  <c r="D3"/>
  <c r="C2" i="7"/>
  <c r="B2"/>
  <c r="B27"/>
  <c r="D27"/>
  <c r="C36"/>
  <c r="B36"/>
  <c r="C31"/>
  <c r="B31"/>
  <c r="C35"/>
  <c r="B35"/>
  <c r="C39"/>
  <c r="B39"/>
  <c r="C28"/>
  <c r="B28"/>
  <c r="C12"/>
  <c r="B12"/>
  <c r="B90"/>
  <c r="D37"/>
  <c r="D40"/>
  <c r="B92"/>
  <c r="B91"/>
  <c r="D42"/>
  <c r="D30"/>
  <c r="D29"/>
  <c r="D26"/>
  <c r="D23"/>
  <c r="D22"/>
  <c r="D21"/>
  <c r="D20"/>
  <c r="D19"/>
  <c r="D18"/>
  <c r="D17"/>
  <c r="D13"/>
  <c r="D11"/>
  <c r="D10"/>
  <c r="D9"/>
  <c r="D8"/>
  <c r="D7"/>
  <c r="D6"/>
  <c r="D5"/>
  <c r="D3"/>
  <c r="D34" i="4"/>
  <c r="D35"/>
  <c r="D36"/>
  <c r="D37"/>
  <c r="D38"/>
  <c r="C34"/>
  <c r="C35"/>
  <c r="C36"/>
  <c r="C37"/>
  <c r="C38"/>
  <c r="B34"/>
  <c r="B35"/>
  <c r="B36"/>
  <c r="B37"/>
  <c r="B38"/>
  <c r="C33"/>
  <c r="D33"/>
  <c r="B33"/>
  <c r="C31"/>
  <c r="D31"/>
  <c r="B3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5"/>
  <c r="D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5"/>
  <c r="C3"/>
  <c r="B3"/>
  <c r="D3"/>
  <c r="C2"/>
  <c r="D2"/>
  <c r="B2"/>
  <c r="D40"/>
  <c r="C17" i="6"/>
  <c r="B17"/>
  <c r="C33"/>
  <c r="B33"/>
  <c r="B37"/>
  <c r="C2"/>
  <c r="B2"/>
  <c r="D2"/>
  <c r="C10"/>
  <c r="B10"/>
  <c r="C35"/>
  <c r="B35"/>
  <c r="D35"/>
  <c r="C28"/>
  <c r="C34"/>
  <c r="B34"/>
  <c r="C26"/>
  <c r="D26"/>
  <c r="B26"/>
  <c r="C32"/>
  <c r="B32"/>
  <c r="B28"/>
  <c r="D28"/>
  <c r="C36"/>
  <c r="B36"/>
  <c r="B23"/>
  <c r="C6"/>
  <c r="D6"/>
  <c r="B6"/>
  <c r="B25"/>
  <c r="C12"/>
  <c r="B12"/>
  <c r="D12"/>
  <c r="B93"/>
  <c r="B92"/>
  <c r="D39"/>
  <c r="D37"/>
  <c r="D36"/>
  <c r="D34"/>
  <c r="D33"/>
  <c r="D32"/>
  <c r="D30"/>
  <c r="D27"/>
  <c r="D25"/>
  <c r="D24"/>
  <c r="D23"/>
  <c r="D21"/>
  <c r="D20"/>
  <c r="D19"/>
  <c r="D18"/>
  <c r="D17"/>
  <c r="D16"/>
  <c r="D15"/>
  <c r="D14"/>
  <c r="D22"/>
  <c r="D13"/>
  <c r="D11"/>
  <c r="D10"/>
  <c r="D9"/>
  <c r="D8"/>
  <c r="D7"/>
  <c r="D5"/>
  <c r="D3"/>
  <c r="B91"/>
  <c r="C2" i="3"/>
  <c r="B2"/>
  <c r="C38"/>
  <c r="B38"/>
  <c r="C36"/>
  <c r="B36"/>
  <c r="B29"/>
  <c r="C29"/>
  <c r="B31"/>
  <c r="C31"/>
  <c r="C18"/>
  <c r="B18"/>
  <c r="C6"/>
  <c r="B6"/>
  <c r="C12"/>
  <c r="B12"/>
  <c r="C37"/>
  <c r="B37"/>
  <c r="C34"/>
  <c r="B34"/>
  <c r="C33"/>
  <c r="B33"/>
  <c r="C35"/>
  <c r="D35"/>
  <c r="B35"/>
  <c r="B24"/>
  <c r="C26"/>
  <c r="D26"/>
  <c r="B26"/>
  <c r="B92"/>
  <c r="D2"/>
  <c r="D3"/>
  <c r="B93"/>
  <c r="B94"/>
  <c r="D40"/>
  <c r="D38"/>
  <c r="D37"/>
  <c r="D36"/>
  <c r="D34"/>
  <c r="D33"/>
  <c r="D31"/>
  <c r="D29"/>
  <c r="D28"/>
  <c r="D27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C2" i="2"/>
  <c r="B2"/>
  <c r="C35"/>
  <c r="B35"/>
  <c r="C34"/>
  <c r="B34"/>
  <c r="C10"/>
  <c r="B10"/>
  <c r="B38"/>
  <c r="D38" i="1"/>
  <c r="C33" i="2"/>
  <c r="B33"/>
  <c r="C36"/>
  <c r="B36"/>
  <c r="C6"/>
  <c r="B6"/>
  <c r="C37"/>
  <c r="B37"/>
  <c r="C23"/>
  <c r="B23"/>
  <c r="C14"/>
  <c r="D14"/>
  <c r="B14"/>
  <c r="C29"/>
  <c r="B29"/>
  <c r="B94"/>
  <c r="B93"/>
  <c r="D40"/>
  <c r="D38"/>
  <c r="D37"/>
  <c r="D36"/>
  <c r="D35"/>
  <c r="D34"/>
  <c r="D33"/>
  <c r="C31"/>
  <c r="B31"/>
  <c r="D31"/>
  <c r="D28"/>
  <c r="D27"/>
  <c r="D26"/>
  <c r="D25"/>
  <c r="D24"/>
  <c r="D23"/>
  <c r="D22"/>
  <c r="D21"/>
  <c r="D20"/>
  <c r="D19"/>
  <c r="D18"/>
  <c r="D17"/>
  <c r="D16"/>
  <c r="D15"/>
  <c r="D13"/>
  <c r="D12"/>
  <c r="D11"/>
  <c r="D10"/>
  <c r="D9"/>
  <c r="D8"/>
  <c r="D7"/>
  <c r="D6"/>
  <c r="D5"/>
  <c r="D3"/>
  <c r="B92"/>
  <c r="C18" i="1"/>
  <c r="B18"/>
  <c r="C36"/>
  <c r="B36"/>
  <c r="B92"/>
  <c r="C2"/>
  <c r="B2"/>
  <c r="D29" i="2"/>
  <c r="D2"/>
  <c r="C31" i="1"/>
  <c r="B31"/>
  <c r="C14"/>
  <c r="B14"/>
  <c r="C33"/>
  <c r="B33"/>
  <c r="C6"/>
  <c r="B6"/>
  <c r="C10"/>
  <c r="B10"/>
  <c r="C35"/>
  <c r="B35"/>
  <c r="C37"/>
  <c r="B37"/>
  <c r="C29"/>
  <c r="B29"/>
  <c r="C26"/>
  <c r="B26"/>
  <c r="D12"/>
  <c r="C12"/>
  <c r="B12"/>
  <c r="B24"/>
  <c r="C23"/>
  <c r="B23"/>
  <c r="B94"/>
  <c r="D40"/>
  <c r="D37"/>
  <c r="D36"/>
  <c r="D35"/>
  <c r="D34"/>
  <c r="B93"/>
  <c r="D33"/>
  <c r="D31"/>
  <c r="D29"/>
  <c r="D28"/>
  <c r="D27"/>
  <c r="D26"/>
  <c r="D25"/>
  <c r="D24"/>
  <c r="D23"/>
  <c r="D22"/>
  <c r="D21"/>
  <c r="D20"/>
  <c r="D19"/>
  <c r="D18"/>
  <c r="D17"/>
  <c r="D16"/>
  <c r="D15"/>
  <c r="D14"/>
  <c r="D13"/>
  <c r="D11"/>
  <c r="D10"/>
  <c r="D9"/>
  <c r="D8"/>
  <c r="D7"/>
  <c r="D6"/>
  <c r="D5"/>
  <c r="D3"/>
  <c r="B95"/>
  <c r="D2"/>
  <c r="B95" i="3"/>
  <c r="B95" i="2"/>
  <c r="B94" i="6"/>
  <c r="D32" i="8"/>
  <c r="D33" i="7"/>
  <c r="D28"/>
  <c r="D39"/>
  <c r="D12"/>
  <c r="D31"/>
  <c r="D35"/>
  <c r="D36"/>
  <c r="D2"/>
  <c r="D38"/>
  <c r="B93"/>
  <c r="D12" i="9"/>
  <c r="B99" i="11"/>
  <c r="D2" i="14"/>
  <c r="B96" i="12"/>
  <c r="B99"/>
  <c r="B99" i="14"/>
  <c r="D39"/>
</calcChain>
</file>

<file path=xl/sharedStrings.xml><?xml version="1.0" encoding="utf-8"?>
<sst xmlns="http://schemas.openxmlformats.org/spreadsheetml/2006/main" count="2978" uniqueCount="893">
  <si>
    <t>DIREZIONE GENERALE</t>
  </si>
  <si>
    <t>TOT. NOTA SPESE</t>
  </si>
  <si>
    <t>Pagamento C/C aziendale</t>
  </si>
  <si>
    <t>Rimborso dovuto</t>
  </si>
  <si>
    <t>FT già in ACCESS</t>
  </si>
  <si>
    <t>Dettagli FT già in ACCESS</t>
  </si>
  <si>
    <t xml:space="preserve">Costo cellulare              </t>
  </si>
  <si>
    <t>Vincenzetti David 349/4403823</t>
  </si>
  <si>
    <t>Bedeschi Valeriano 335/7636888</t>
  </si>
  <si>
    <t>OPERATIVI</t>
  </si>
  <si>
    <t>Nota spese  C/C aziendale</t>
  </si>
  <si>
    <t>Nota spese  Tot. Dovuto</t>
  </si>
  <si>
    <t>Dettagli</t>
  </si>
  <si>
    <t xml:space="preserve">Costo cellulare                 </t>
  </si>
  <si>
    <t>Busatto Fabio 335/6089762</t>
  </si>
  <si>
    <t>Catino Marco 366/5676136</t>
  </si>
  <si>
    <t>Chiodini Massimo 335/7710861</t>
  </si>
  <si>
    <t>Cino Giovanni 347/6082465</t>
  </si>
  <si>
    <t>Cornelli Fabrizio 366/6539755</t>
  </si>
  <si>
    <t>de Giovanni Fulvio 366/6335128</t>
  </si>
  <si>
    <t>Di Pasquale Andrea 349/3505788</t>
  </si>
  <si>
    <t>Furlan Walter 366/9237125</t>
  </si>
  <si>
    <t>Giubertoni Diego 366/9022609</t>
  </si>
  <si>
    <t>Iannelli Stefania 335/6675105</t>
  </si>
  <si>
    <t>Landi Guido 366/6285429</t>
  </si>
  <si>
    <t>Marcon Eros 348/6512411</t>
  </si>
  <si>
    <t>Mazzeo Antonio 331/1863741</t>
  </si>
  <si>
    <t>Milan Daniele 334/6221194</t>
  </si>
  <si>
    <t>Molteni Daniele 331/6237813</t>
  </si>
  <si>
    <t>Muschitiello Bruno 335/1732130</t>
  </si>
  <si>
    <t>Oliva Matteo 338/6955204</t>
  </si>
  <si>
    <t>Ornaghi Alberto 348/0115642</t>
  </si>
  <si>
    <t>Pelliccione Alberto 348/6512408</t>
  </si>
  <si>
    <t xml:space="preserve">Rodriguez Sergio +34608662179 </t>
  </si>
  <si>
    <t>Romeo Mauro 347/6079478</t>
  </si>
  <si>
    <t>Scarafile Alessandro 338/6906194</t>
  </si>
  <si>
    <t>Speziale Ivan 366/9003900</t>
  </si>
  <si>
    <t>Valleri Marco 348/8261691</t>
  </si>
  <si>
    <t>Woon Serge +65 912/73063</t>
  </si>
  <si>
    <t>AMMINISTRAZIONE</t>
  </si>
  <si>
    <t>Russo Giancarlo 328/8139385</t>
  </si>
  <si>
    <t>COMMERCIALI</t>
  </si>
  <si>
    <t>Bettini Marco 348/8291450</t>
  </si>
  <si>
    <t>Luppi Massimiliano 366/6539760</t>
  </si>
  <si>
    <t>Maanna Mostapha 335/1725432</t>
  </si>
  <si>
    <t>Maglietta Daniel +65 912/73560</t>
  </si>
  <si>
    <t>Shehata Emad 335/7939078</t>
  </si>
  <si>
    <t>Velasco Alex 301/332/5654</t>
  </si>
  <si>
    <t>EXTRA</t>
  </si>
  <si>
    <t>Emanuele Levi</t>
  </si>
  <si>
    <t>SIM DATI</t>
  </si>
  <si>
    <t>COSTO</t>
  </si>
  <si>
    <t xml:space="preserve">SIM Test Pelliccione - 334/6221285  </t>
  </si>
  <si>
    <t xml:space="preserve">SIM Test Pelliccione - 335/5865863 </t>
  </si>
  <si>
    <t xml:space="preserve">SIM Test Pelliccione - 366/6539757 </t>
  </si>
  <si>
    <t>SIM Test Pelliccione - 366/6539758</t>
  </si>
  <si>
    <t>SIM Test Pelliccione - 366/6648647</t>
  </si>
  <si>
    <t>MICRO-SIM TEST Pelliccione -335/7660700</t>
  </si>
  <si>
    <t>MICRO-SIM TEST Pelliccione - 334/6405066</t>
  </si>
  <si>
    <t>MICRO-SIM TEST Pelliccione -334/6405249</t>
  </si>
  <si>
    <t>SIM USB 335/5950448 -  Filippi</t>
  </si>
  <si>
    <t xml:space="preserve">SIM USB 366/6539747 - Rumore </t>
  </si>
  <si>
    <t>SIM USB 366/6539748 - Imbrauglio</t>
  </si>
  <si>
    <t xml:space="preserve">SIM USB 366/6539750 - Romeo </t>
  </si>
  <si>
    <t>SIM USB 366/6539752 - Vincenzetti</t>
  </si>
  <si>
    <t>SIM USB 338/2508322 - Mazzeo</t>
  </si>
  <si>
    <t>SIM USB 335/8221272 - Russo</t>
  </si>
  <si>
    <t>SIM USB 338/2640490 - Maanna</t>
  </si>
  <si>
    <t>SIM USB 366/6712811 - Roattino</t>
  </si>
  <si>
    <t xml:space="preserve">SIM USB 366/6712812 - Cordoni </t>
  </si>
  <si>
    <t>SIM USB 366/6712813 - Bettini</t>
  </si>
  <si>
    <t xml:space="preserve">SIM SIM USB 366/6263617 -Lomonaco </t>
  </si>
  <si>
    <t xml:space="preserve">SIM USB 366/6262131 - Banfi </t>
  </si>
  <si>
    <t>SIM i-Pad Bettini 335/5885358</t>
  </si>
  <si>
    <t>SIM i-Pad Russo 338/6147118</t>
  </si>
  <si>
    <t>SIM i-Pad Valleri 338/5784657</t>
  </si>
  <si>
    <t>SIM i-Pad Pelliccione 338/5799796</t>
  </si>
  <si>
    <t>SIM i-Pad Milan 338/6035792</t>
  </si>
  <si>
    <t>SIM i-Pad Ornaghi 338/6014231</t>
  </si>
  <si>
    <t>SIM i-Pad de Giovanni 335/1798083</t>
  </si>
  <si>
    <t>SIM i-Pad Luppi 334/6195490</t>
  </si>
  <si>
    <t>SIM i-Pad Maanna 335/6166584</t>
  </si>
  <si>
    <t>SIM i-Pad Banfi 366/6868542</t>
  </si>
  <si>
    <t>SIM i-Pad Cordoni 338/6177315</t>
  </si>
  <si>
    <t>SIM i-Pad Rumore 338/6158296</t>
  </si>
  <si>
    <t>SIM i-Pad Vincenzetti 338/6265521</t>
  </si>
  <si>
    <t>SIM Tablet Vincenzetti 366/5807966</t>
  </si>
  <si>
    <t>SIM Tablet Bedeschi 366/5802120</t>
  </si>
  <si>
    <t>Micro-SIM 4GB Vincenzetti - 366/9603623</t>
  </si>
  <si>
    <t>Micro-SIM 4GB Vincenzetti - 366/9118338</t>
  </si>
  <si>
    <t>Micro-SIM 4GB Bedeschi - 366/9603620</t>
  </si>
  <si>
    <t>Micro-SIM 4GB Milan - 366/9295274</t>
  </si>
  <si>
    <t>Nano-Sim 4G Russo - 335/6363244</t>
  </si>
  <si>
    <t>CATENA DEMO 1: 366/5798113</t>
  </si>
  <si>
    <t>CATENA DEMO 2: 366/5798116</t>
  </si>
  <si>
    <t>CATENA DEMO 3: 366/5798119</t>
  </si>
  <si>
    <t>CATENA DEMO 4: 335/1754592</t>
  </si>
  <si>
    <t>CATENA DEMO 5: 335/1780295</t>
  </si>
  <si>
    <t>SIM VOCE x ALLARME 5° PIANO: 334/6207225</t>
  </si>
  <si>
    <t>SIM VOCE x ALLARME 5° PIANO: 337/1050842</t>
  </si>
  <si>
    <t>TOTALE NOTE SPESE</t>
  </si>
  <si>
    <t>TOTALE CELLULARI</t>
  </si>
  <si>
    <t>TOTALE SIM DATI</t>
  </si>
  <si>
    <t>TOTALE OTTOBRE</t>
  </si>
  <si>
    <t>UTENTE</t>
  </si>
  <si>
    <t>CHIAMATE GENNAIO</t>
  </si>
  <si>
    <t>TRAFFICO DATI GENNAIO</t>
  </si>
  <si>
    <t>TRAFFICO SERVIZI INTERATTIVI GENNAIO</t>
  </si>
  <si>
    <t xml:space="preserve">Numero chiamate:                  Durata chiamate:                                      Costo totale: </t>
  </si>
  <si>
    <t xml:space="preserve">Numero chiamate:       Durata chiamate:           Totale pacchetti:              Costo totale: </t>
  </si>
  <si>
    <t>Numero chiamate:            Totale pacchetti:                Costo totale:</t>
  </si>
  <si>
    <t>Numero chiamate: 0           Totale pacchetti: 0               Costo totale: 0</t>
  </si>
  <si>
    <t>Capaldo Antonella 366/7216471</t>
  </si>
  <si>
    <t>Numero chiamate: 2           Totale pacchetti: 0               Costo totale: 0</t>
  </si>
  <si>
    <t xml:space="preserve">Gallucci Simonetta 393/9310619 </t>
  </si>
  <si>
    <t>Rana Lucia 366/7216470</t>
  </si>
  <si>
    <t>Rodriguez Sergio 348/0115641</t>
  </si>
  <si>
    <t>Bettini Marco BIS 338/6737284</t>
  </si>
  <si>
    <t>CHIAMATE FEBBRAIO</t>
  </si>
  <si>
    <t>TRAFFICO DATI FEBBRAIO</t>
  </si>
  <si>
    <t>TRAFFICO SERVIZI INTERATTIVI FEBBRAIO</t>
  </si>
  <si>
    <t>CHIAMATE MARZO</t>
  </si>
  <si>
    <t>TRAFFICO DATI MARZO</t>
  </si>
  <si>
    <t>TRAFFICO SERVIZI INTERATTIVI MARZO</t>
  </si>
  <si>
    <t xml:space="preserve">Numero chiamate:                 Durata chiamate:                                     Costo totale: </t>
  </si>
  <si>
    <t>Numero chiamate:       Totale pacchetti:           Costo totale: 0,00</t>
  </si>
  <si>
    <t>Numero chiamate:  116               Durata chiamate:  2:17:05                                   Costo totale: 28,34</t>
  </si>
  <si>
    <t>Numero chiamate:  136     Totale pacchetti: 13.664           Costo totale: 0,00</t>
  </si>
  <si>
    <t>Numero chiamate:  9               Durata chiamate:  0:36:17                                    Costo totale: 0,35</t>
  </si>
  <si>
    <t>Numero chiamate: 3      Totale pacchetti: 13          Costo totale: 0,00</t>
  </si>
  <si>
    <t>Numero chiamate: 0                 Durata chiamate: 0                                    Costo totale: 0</t>
  </si>
  <si>
    <t>Numero chiamate:  2     Totale pacchetti: 14          Costo totale: 0,00</t>
  </si>
  <si>
    <t>Numero chiamate:   323              Durata chiamate: 6:44:02                                    Costo totale: 77,18</t>
  </si>
  <si>
    <t>Numero chiamate:871      Totale pacchetti: 4.593           Costo totale: 0,00</t>
  </si>
  <si>
    <t>Numero chiamate: 4           Totale pacchetti: 0               Costo totale: 0</t>
  </si>
  <si>
    <t>Numero chiamate:  366               Durata chiamate:  10:00:43                                    Costo totale: 529,79</t>
  </si>
  <si>
    <t>Numero chiamate:  601     Totale pacchetti: 1.218          Costo totale: 0,00</t>
  </si>
  <si>
    <t>Numero chiamate: 106                Durata chiamate: 2:12:28                                    Costo totale: 18,94</t>
  </si>
  <si>
    <t>Numero chiamate:   264    Totale pacchetti: 423          Costo totale: 0,00</t>
  </si>
  <si>
    <t>Numero chiamate: 1                Durata chiamate: 0:04:36                                     Costo totale: 0,74</t>
  </si>
  <si>
    <t>Numero chiamate:  148     Totale pacchetti: 1.291          Costo totale: 0,00</t>
  </si>
  <si>
    <t>Numero chiamate: 115                Durata chiamate: 2:22:10                                     Costo totale: 28,28</t>
  </si>
  <si>
    <t>Numero chiamate: 621       Totale pacchetti: 742          Costo totale: 0,00</t>
  </si>
  <si>
    <t>Numero chiamate:  96               Durata chiamate: 4:12:23                                    Costo totale: 33,23</t>
  </si>
  <si>
    <t>Numero chiamate: 1           Totale pacchetti: 0               Costo totale: 0</t>
  </si>
  <si>
    <t>Numero chiamate: 41                Durata chiamate: 0:44:14                                    Costo totale: 10,25</t>
  </si>
  <si>
    <t>Numero chiamate: 11      Totale pacchetti: 1.115          Costo totale: 0,00</t>
  </si>
  <si>
    <t>Numero chiamate:  507               Durata chiamate: 5:18:30                                    Costo totale: 281,41</t>
  </si>
  <si>
    <t>Numero chiamate: 902      Totale pacchetti: 2.318           Costo totale: 3,20</t>
  </si>
  <si>
    <t>Numero chiamate: 12           Totale pacchetti: 0               Costo totale: 0</t>
  </si>
  <si>
    <t>Numero chiamate: 71                 Durata chiamate: 3:54:12                                    Costo totale: 166,9</t>
  </si>
  <si>
    <t>Numero chiamate:  1.246     Totale pacchetti: 4.017           Costo totale: 0,00</t>
  </si>
  <si>
    <t>Numero chiamate: 22                Durata chiamate: 0:48:26                                     Costo totale: 8,50</t>
  </si>
  <si>
    <t>Numero chiamate: 107      Totale pacchetti: 373           Costo totale: 0,16</t>
  </si>
  <si>
    <t>Numero chiamate: 4                Durata chiamate: 0:03:01                                     Costo totale: 0,13</t>
  </si>
  <si>
    <t>Numero chiamate: 3      Totale pacchetti: 21.303           Costo totale: 0,00</t>
  </si>
  <si>
    <t>Numero chiamate:  24               Durata chiamate:  0:02:34                                   Costo totale: 2,87</t>
  </si>
  <si>
    <t>Numero chiamate: 3      Totale pacchetti: 69          Costo totale: 0,00</t>
  </si>
  <si>
    <t>Numero chiamate: 166                Durata chiamate: 5:05:55                                     Costo totale: 295,44</t>
  </si>
  <si>
    <t>Numero chiamate:  1.202     Totale pacchetti: 3.236          Costo totale: 19,73</t>
  </si>
  <si>
    <t>Numero chiamate: 118                Durata chiamate: 4:40:55                                     Costo totale: 50,17</t>
  </si>
  <si>
    <t>Numero chiamate: 14      Totale pacchetti: 1.962.900          Costo totale: 0,00</t>
  </si>
  <si>
    <t>Numero chiamate:  240               Durata chiamate:   2:26:10                                   Costo totale: 45,77</t>
  </si>
  <si>
    <t>Numero chiamate: 207                Durata chiamate: 5:06:04                                     Costo totale: 232,67</t>
  </si>
  <si>
    <t>Numero chiamate:  597     Totale pacchetti: 1.861           Costo totale: 8,88</t>
  </si>
  <si>
    <t>Numero chiamate:  15               Durata chiamate:  1:39:16                                   Costo totale: 1,31</t>
  </si>
  <si>
    <t>Numero chiamate: 182             Durata chiamate: 5:09:55                                 Costo totale: 48,26</t>
  </si>
  <si>
    <t xml:space="preserve">Numero chiamate:  101     Totale pacchetti: 212          Costo totale: </t>
  </si>
  <si>
    <t>Numero chiamate:  129               Durata chiamate: 11:58:18                                     Costo totale: 291</t>
  </si>
  <si>
    <t>Numero chiamate: 608      Totale pacchetti: 877          Costo totale: 0,00</t>
  </si>
  <si>
    <t>Numero chiamate: 1                 Durata chiamate: 0:03:08                                    Costo totale: 0,50</t>
  </si>
  <si>
    <t>Numero chiamate: 264                Durata chiamate:  12:02:07                                    Costo totale: 257,58</t>
  </si>
  <si>
    <t>Numero chiamate:  813      Totale pacchetti: 5.219           Costo totale: 81,93</t>
  </si>
  <si>
    <t>Numero chiamate: 20           Totale pacchetti: 0               Costo totale: 0</t>
  </si>
  <si>
    <t>Numero chiamate: 1                Durata chiamate: 0:00:00                                    Costo totale: 0,13</t>
  </si>
  <si>
    <t>Numero chiamate:  112               Durata chiamate: 2:15:46                                    Costo totale: 77,85</t>
  </si>
  <si>
    <t>Numero chiamate: 697      Totale pacchetti: 739          Costo totale: 0,00</t>
  </si>
  <si>
    <t>Numero chiamate:   200              Durata chiamate: 3:48:59                                    Costo totale: 54,64</t>
  </si>
  <si>
    <t>Numero chiamate: 22      Totale pacchetti: 37.705           Costo totale: 0,00</t>
  </si>
  <si>
    <t>Numero chiamate: 268                Durata chiamate: 4:52:11                                     Costo totale: 66</t>
  </si>
  <si>
    <t>Numero chiamate: 3      Totale pacchetti: 50.854           Costo totale: 0,00</t>
  </si>
  <si>
    <t>Numero chiamate: 3           Totale pacchetti: 0               Costo totale: 0</t>
  </si>
  <si>
    <t>Numero chiamate:  7               Durata chiamate: 1:26:28                                    Costo totale: 13,83</t>
  </si>
  <si>
    <t>Numero chiamate:  11     Totale pacchetti: 33.255           Costo totale: 0,00</t>
  </si>
  <si>
    <t>Numero chiamate:  98               Durata chiamate: 1:15:30                                     Costo totale: 60,40</t>
  </si>
  <si>
    <t>Numero chiamate: 1.100      Totale pacchetti: 7.234          Costo totale: 117,12</t>
  </si>
  <si>
    <t>Numero chiamate: 45                Durata chiamate: 1:23:24                                     Costo totale: 7,34</t>
  </si>
  <si>
    <t>Numero chiamate: 163      Totale pacchetti:   30.512         Costo totale: 0,00</t>
  </si>
  <si>
    <t>SIM Test Chiodini - 338/5091404</t>
  </si>
  <si>
    <t xml:space="preserve">Numero chiamate:       Totale pacchetti:           Costo totale: </t>
  </si>
  <si>
    <t xml:space="preserve">Numero chiamate:            Totale pacchetti:                Costo totale: </t>
  </si>
  <si>
    <t>Numero chiamate:   153              Durata chiamate:  3:03:45                                   Costo totale: 37,28</t>
  </si>
  <si>
    <t>Numero chiamate:  529     Totale pacchetti:  2.248          Costo totale: 0,00</t>
  </si>
  <si>
    <t xml:space="preserve">Numero chiamate:  5          Totale pacchetti:                Costo totale: </t>
  </si>
  <si>
    <t xml:space="preserve">Numero chiamate:   2              Durata chiamate:                                    Costo totale: </t>
  </si>
  <si>
    <t xml:space="preserve">Numero chiamate: 1      Totale pacchetti:           Costo totale: </t>
  </si>
  <si>
    <t xml:space="preserve">Numero chiamate: 0                Durata chiamate:                                     Costo totale: </t>
  </si>
  <si>
    <t xml:space="preserve">Numero chiamate:   0    Totale pacchetti:           Costo totale: </t>
  </si>
  <si>
    <t xml:space="preserve">Numero chiamate:  0          Totale pacchetti:                Costo totale: </t>
  </si>
  <si>
    <t>Numero chiamate:  301               Durata chiamate:  6:53:39                                   Costo totale: 96,4</t>
  </si>
  <si>
    <t xml:space="preserve">Numero chiamate: 327      Totale pacchetti: 2163           Costo totale: </t>
  </si>
  <si>
    <t>Numero chiamate:  248               Durata chiamate:  8:18:59                                     Costo totale: 305,14</t>
  </si>
  <si>
    <t xml:space="preserve">Numero chiamate: 246      Totale pacchetti: 712          Costo totale: </t>
  </si>
  <si>
    <t>Numero chiamate:  98               Durata chiamate:   3:40:32                                    Costo totale: 35,5</t>
  </si>
  <si>
    <t>Numero chiamate:   7              Durata chiamate: 0:05:01                                     Costo totale: 1,40</t>
  </si>
  <si>
    <t xml:space="preserve">Numero chiamate: 257      Totale pacchetti: 2085          Costo totale: </t>
  </si>
  <si>
    <t xml:space="preserve">Numero chiamate: 2            Totale pacchetti:                Costo totale: </t>
  </si>
  <si>
    <t>Numero chiamate: 62                Durata chiamate:  1:55:30                                    Costo totale: 9,88</t>
  </si>
  <si>
    <t xml:space="preserve">Numero chiamate: 158      Totale pacchetti:   177        Costo totale: </t>
  </si>
  <si>
    <t xml:space="preserve">Numero chiamate:  1          Totale pacchetti:                Costo totale: </t>
  </si>
  <si>
    <t xml:space="preserve">Numero chiamate:  113               Durata chiamate:   4:01:45                                   Costo totale: 37,99 </t>
  </si>
  <si>
    <t>Numero chiamate:  67               Durata chiamate:   0:59:45                                   Costo totale: 15,04</t>
  </si>
  <si>
    <t>Numero chiamate:  462               Durata chiamate:  7:36:55                                    Costo totale: 199,9</t>
  </si>
  <si>
    <t>Numero chiamate:   684    Totale pacchetti: 2.807            Costo totale: 2,98</t>
  </si>
  <si>
    <t xml:space="preserve">Numero chiamate:  10          Totale pacchetti:                Costo totale: </t>
  </si>
  <si>
    <t>Numero chiamate:  51               Durata chiamate:  2:37:00                                    Costo totale: 28,4</t>
  </si>
  <si>
    <t xml:space="preserve">Numero chiamate: 7      Totale pacchetti:  7         Costo totale: </t>
  </si>
  <si>
    <t>Numero chiamate: 11                Durata chiamate:   0:09:41                                    Costo totale: 2,25</t>
  </si>
  <si>
    <t>Numero chiamate:    13             Durata chiamate:  0:09:17                                    Costo totale: 2,52</t>
  </si>
  <si>
    <t xml:space="preserve">Numero chiamate:  1     Totale pacchetti:           Costo totale: </t>
  </si>
  <si>
    <t xml:space="preserve">Numero chiamate: 2           Totale pacchetti:                Costo totale: </t>
  </si>
  <si>
    <t>Numero chiamate:  101               Durata chiamate:   3:10:24                                  Costo totale: 38,00</t>
  </si>
  <si>
    <t>Numero chiamate:  138               Durata chiamate:   4:43:29                                   Costo totale: 58,8</t>
  </si>
  <si>
    <t xml:space="preserve">Numero chiamate:  30     Totale pacchetti: 1.023.485           Costo totale: </t>
  </si>
  <si>
    <t>Numero chiamate: 144                Durata chiamate:  1:21:14                                    Costo totale: 20,81</t>
  </si>
  <si>
    <t xml:space="preserve">Numero chiamate:   1    Totale pacchetti: 1          Costo totale: </t>
  </si>
  <si>
    <t>Numero chiamate:   176              Durata chiamate: 5:06:32                                     Costo totale: 309,00</t>
  </si>
  <si>
    <t>Numero chiamate:  469     Totale pacchetti: 3.368            Costo totale: 35,51</t>
  </si>
  <si>
    <t>Numero chiamate:  6               Durata chiamate:   0:18:21                                   Costo totale: 0,50</t>
  </si>
  <si>
    <t>Numero chiamate:   205           Durata chiamate: 4:41:02                                  Costo totale: 66,73</t>
  </si>
  <si>
    <t>Numero chiamate: 299      Totale pacchetti: 2.411          Costo totale: 0,87</t>
  </si>
  <si>
    <t>Numero chiamate:  50               Durata chiamate:  2:09:54                                     Costo totale: 63,72</t>
  </si>
  <si>
    <t xml:space="preserve">Numero chiamate:  186     Totale pacchetti: 231           Costo totale: </t>
  </si>
  <si>
    <t>Numero chiamate:  254               Durata chiamate:   8:55:42                                   Costo totale: 594,21</t>
  </si>
  <si>
    <t>Numero chiamate:  576     Totale pacchetti: 2.080           Costo totale: 210,09</t>
  </si>
  <si>
    <t xml:space="preserve">Numero chiamate: 7           Totale pacchetti:                Costo totale: </t>
  </si>
  <si>
    <t>Numero chiamate:    10             Durata chiamate:  0:51:15                                    Costo totale: 6,93</t>
  </si>
  <si>
    <t xml:space="preserve">Numero chiamate: 1      Totale pacchetti:  8         Costo totale: </t>
  </si>
  <si>
    <t>Numero chiamate:  159               Durata chiamate:  3:35:10                                    Costo totale: 372,47</t>
  </si>
  <si>
    <t xml:space="preserve">Numero chiamate:  430     Totale pacchetti: 1.409           Costo totale: </t>
  </si>
  <si>
    <t xml:space="preserve">Numero chiamate: 1           Totale pacchetti:                Costo totale: </t>
  </si>
  <si>
    <t>Numero chiamate:  131               Durata chiamate: 2:38:52                                     Costo totale: 31,29</t>
  </si>
  <si>
    <t xml:space="preserve">Numero chiamate:  16     Totale pacchetti:  3.935         Costo totale: </t>
  </si>
  <si>
    <t>Numero chiamate:  393               Durata chiamate:  4:47:46                                    Costo totale: 84,15</t>
  </si>
  <si>
    <t xml:space="preserve">Numero chiamate:   2         Totale pacchetti:                Costo totale: </t>
  </si>
  <si>
    <t>Numero chiamate: 6                Durata chiamate: 2:43:09                                     Costo totale: 26,10</t>
  </si>
  <si>
    <t xml:space="preserve">Numero chiamate: 1       Totale pacchetti:  1         Costo totale: </t>
  </si>
  <si>
    <t>Numero chiamate:  90               Durata chiamate: 1:19:18                                    Costo totale: 36,37</t>
  </si>
  <si>
    <t>Numero chiamate:   11    Totale pacchetti:           Costo totale: 15,00</t>
  </si>
  <si>
    <t>Numero chiamate:  74               Durata chiamate:   2:14:17                                   Costo totale: 21,68</t>
  </si>
  <si>
    <t xml:space="preserve">Numero chiamate: 10      Totale pacchetti: 35.607           Costo totale: </t>
  </si>
  <si>
    <t>Numero chiamate: 315                Durata chiamate:  8:28:21                                     Costo totale: 437,81</t>
  </si>
  <si>
    <t>Numero chiamate: 652       Totale pacchetti: 2.889           Costo totale: 2,96</t>
  </si>
  <si>
    <t xml:space="preserve">Numero chiamate:  3          Totale pacchetti:                Costo totale: </t>
  </si>
  <si>
    <t>Numero chiamate: 2                Durata chiamate:  0:13:31                                    Costo totale: 2,14</t>
  </si>
  <si>
    <t xml:space="preserve">Numero chiamate:  20     Totale pacchetti:  535         Costo totale: </t>
  </si>
  <si>
    <t>Numero chiamate: 469                 Durata chiamate:  9:03:11                                     Costo totale: 126,41</t>
  </si>
  <si>
    <t xml:space="preserve">Numero chiamate: 835      Totale pacchetti: 4.899          Costo totale: </t>
  </si>
  <si>
    <t>Guerra Luca 348/0115641</t>
  </si>
  <si>
    <t>Numero chiamate:  432               Durata chiamate: 10:48:11                                    Costo totale: 836,74</t>
  </si>
  <si>
    <t xml:space="preserve">Numero chiamate: 1016       Totale pacchetti: 4.605           Costo totale: </t>
  </si>
  <si>
    <t>Numero chiamate: 110                Durata chiamate: 3:47:23                                    Costo totale: 37,59</t>
  </si>
  <si>
    <t xml:space="preserve">Numero chiamate: 31      Totale pacchetti: 44          Costo totale: </t>
  </si>
  <si>
    <t>Numero chiamate: 1                Durata chiamate: 0:03:58                                      Costo totale: 0,00</t>
  </si>
  <si>
    <t xml:space="preserve">Numero chiamate:  246     Totale pacchetti: 2.452           Costo totale: </t>
  </si>
  <si>
    <t>Numero chiamate:   190              Durata chiamate:   6:40:46                                  Costo totale: 53,15</t>
  </si>
  <si>
    <t xml:space="preserve">Numero chiamate:  2          Totale pacchetti:                Costo totale: </t>
  </si>
  <si>
    <t>Numero chiamate:   63              Durata chiamate:  1:26:50                                    Costo totale: 19,14</t>
  </si>
  <si>
    <t>Numero chiamate:   411              Durata chiamate:   9:38:43                                   Costo totale: 465,7</t>
  </si>
  <si>
    <t>Numero chiamate: 449      Totale pacchetti: 1.915           Costo totale: 92,48</t>
  </si>
  <si>
    <t xml:space="preserve">Numero chiamate:   14         Totale pacchetti:                Costo totale: </t>
  </si>
  <si>
    <t>Numero chiamate:  156               Durata chiamate: 5:57:51                                      Costo totale: 173,12</t>
  </si>
  <si>
    <t>Numero chiamate: 980      Totale pacchetti: 4.607          Costo totale: 17,76</t>
  </si>
  <si>
    <t>Numero chiamate:  67               Durata chiamate: 3:23:12                                      Costo totale: 32,68</t>
  </si>
  <si>
    <t>Numero chiamate: 7                Durata chiamate: 0:18:41                                     Costo totale: 0,25</t>
  </si>
  <si>
    <t xml:space="preserve">Numero chiamate: 3      Totale pacchetti:  19         Costo totale: </t>
  </si>
  <si>
    <t>Numero chiamate:  34               Durata chiamate: 0:00:16                                     Costo totale: 4,11</t>
  </si>
  <si>
    <t xml:space="preserve">Numero chiamate: 1       Totale pacchetti: 6          Costo totale: </t>
  </si>
  <si>
    <t>Numero chiamate: 212                Durata chiamate:  4:44:48                                    Costo totale: 222,76</t>
  </si>
  <si>
    <t>Numero chiamate: 914      Totale pacchetti: 2.244           Costo totale: 11,87</t>
  </si>
  <si>
    <t>Numero chiamate:   187              Durata chiamate: 4:30:52                                     Costo totale: 50,34</t>
  </si>
  <si>
    <t xml:space="preserve">Numero chiamate: 4      Totale pacchetti: 45.430          Costo totale: </t>
  </si>
  <si>
    <t>Numero chiamate:   166              Durata chiamate: 2:04:32                                    Costo totale: 22,33</t>
  </si>
  <si>
    <t xml:space="preserve">Numero chiamate: 1       Totale pacchetti:  6         Costo totale: </t>
  </si>
  <si>
    <t>Numero chiamate: 332                Durata chiamate: 9:17:52                                      Costo totale: 500,96</t>
  </si>
  <si>
    <t>Numero chiamate:  666     Totale pacchetti: 2.127           Costo totale: 9,17</t>
  </si>
  <si>
    <t>Numero chiamate:  62               Durata chiamate: 0:33:18                                     Costo totale: 24,2</t>
  </si>
  <si>
    <t>Numero chiamate:  372     Totale pacchetti: 389           Costo totale: 75,97</t>
  </si>
  <si>
    <t>Numero chiamate: 283                Durata chiamate: 4:14:28                                     Costo totale: 54,78</t>
  </si>
  <si>
    <t>Numero chiamate:  148               Durata chiamate: 9:17:04                                    Costo totale: 450,26</t>
  </si>
  <si>
    <t xml:space="preserve">Numero chiamate: 813       Totale pacchetti: 942          Costo totale: </t>
  </si>
  <si>
    <t>Numero chiamate:  7               Durata chiamate:  0:02:35                                    Costo totale: 7,81</t>
  </si>
  <si>
    <t xml:space="preserve">Numero chiamate: 169      Totale pacchetti: 181          Costo totale: </t>
  </si>
  <si>
    <t>Numero chiamate: 284                Durata chiamate: 16:08:35                                    Costo totale: 532,79</t>
  </si>
  <si>
    <t>Numero chiamate: 474      Totale pacchetti: 1.169           Costo totale: 11,74</t>
  </si>
  <si>
    <t xml:space="preserve">Numero chiamate: 19           Totale pacchetti:                Costo totale: </t>
  </si>
  <si>
    <t>Numero chiamate:  5               Durata chiamate: 0:06:08                                     Costo totale: 0,63</t>
  </si>
  <si>
    <t>Numero chiamate:  131               Durata chiamate: 2:14:39                                    Costo totale: 195,71</t>
  </si>
  <si>
    <t xml:space="preserve">Numero chiamate: 466      Totale pacchetti: 1.140           Costo totale: </t>
  </si>
  <si>
    <t>Numero chiamate:   219              Durata chiamate: 6:14:14                                     Costo totale: 81,24</t>
  </si>
  <si>
    <t xml:space="preserve">Numero chiamate: 10      Totale pacchetti: 5.122          Costo totale: </t>
  </si>
  <si>
    <t>Numero chiamate:   474              Durata chiamate:  5:15:24                                    Costo totale: 98,86</t>
  </si>
  <si>
    <t xml:space="preserve">Numero chiamate:  2     Totale pacchetti: 4.072           Costo totale: </t>
  </si>
  <si>
    <t>Numero chiamate:  59               Durata chiamate: 4:42:13                                    Costo totale: 65,52</t>
  </si>
  <si>
    <t>Numero chiamate: 132      Totale pacchetti: 259           Costo totale: 20,00</t>
  </si>
  <si>
    <t>Numero chiamate:  4               Durata chiamate: 0:00:34                                     Costo totale: 10,55</t>
  </si>
  <si>
    <t>Numero chiamate: 136      Totale pacchetti: 1.616           Costo totale: 30</t>
  </si>
  <si>
    <t>Numero chiamate:  238               Durata chiamate:  3:34:02                                    Costo totale: 497,84</t>
  </si>
  <si>
    <t>Numero chiamate:  1125     Totale pacchetti:  83.420         Costo totale: 344,58</t>
  </si>
  <si>
    <t>Numero chiamate:  99               Durata chiamate:  3:02:34                                    Costo totale: 38,51</t>
  </si>
  <si>
    <t xml:space="preserve">Numero chiamate: 5      Totale pacchetti: 29.507          Costo totale: </t>
  </si>
  <si>
    <t>CHIAMATE APRILE</t>
  </si>
  <si>
    <t>TRAFFICO DATI APRILE</t>
  </si>
  <si>
    <t>TRAFFICO SERVIZI INTERATTIVI APRILE</t>
  </si>
  <si>
    <t>CHIAMATE MAGGIO</t>
  </si>
  <si>
    <t>TRAFFICO DATI MAGGIO</t>
  </si>
  <si>
    <t>TRAFFICO SERVIZI INTERATTIVI MAGGIO</t>
  </si>
  <si>
    <t>CHIAMATE GIUGNO</t>
  </si>
  <si>
    <t>TRAFFICO DATI GIUGNO</t>
  </si>
  <si>
    <t>TRAFFICO SERVIZI INTERATTIVI GIUGNO</t>
  </si>
  <si>
    <t>Pozzi Christian 335/6675105</t>
  </si>
  <si>
    <t xml:space="preserve">Numero chiamate:       
Durata chiamate:                                 Costo totale: </t>
  </si>
  <si>
    <t>Numero chiamate:  148     
Durata chiamate:  2:30:30                                Costo totale: 41,98</t>
  </si>
  <si>
    <t>Numero chiamate:  2          Totale pacchetti:                Costo totale:</t>
  </si>
  <si>
    <t>Numero chiamate:  4     
Durata chiamate:  0:00:04                                Costo totale: 1,51</t>
  </si>
  <si>
    <t>Numero chiamate: 2           Totale pacchetti:                Costo totale:</t>
  </si>
  <si>
    <t>Numero chiamate: 276       Totale pacchetti: 1.989           Costo totale: 0,00</t>
  </si>
  <si>
    <t>Numero chiamate:  6     
Durata chiamate: 0:01:25                                 Costo totale: 0,6</t>
  </si>
  <si>
    <t>Numero chiamate:  1     Totale pacchetti: 6          Costo totale: 0,00</t>
  </si>
  <si>
    <t>Numero chiamate:   257    
Durata chiamate:  3:33:42                                Costo totale: 41,26</t>
  </si>
  <si>
    <t>Numero chiamate: 10       Totale pacchetti: 344          Costo totale: 0,00</t>
  </si>
  <si>
    <t>Numero chiamate:  156     
Durata chiamate:  5:29:48                               Costo totale: 297,71</t>
  </si>
  <si>
    <t>Numero chiamate: 404      Totale pacchetti: 1.586          Costo totale: 33,54</t>
  </si>
  <si>
    <t>Numero chiamate:  112     
Durata chiamate: 3:12:03                                  Costo totale: 31,07</t>
  </si>
  <si>
    <t>Numero chiamate: 37      Totale pacchetti: 147          Costo totale: 0,00</t>
  </si>
  <si>
    <t>Numero chiamate:  2     
Durata chiamate: 0:11:18                                 Costo totale: 1,81</t>
  </si>
  <si>
    <t>Numero chiamate: 20       Totale pacchetti: 751          Costo totale: 0,00</t>
  </si>
  <si>
    <t>Numero chiamate:  15     
Durata chiamate: 0:25:40                                 Costo totale: 4,04</t>
  </si>
  <si>
    <t>Numero chiamate: 376      Totale pacchetti: 597          Costo totale: 19,82</t>
  </si>
  <si>
    <t>Numero chiamate: 180      
Durata chiamate: 6:27:34                                 Costo totale: 66,02</t>
  </si>
  <si>
    <t xml:space="preserve">Numero chiamate: 2      Totale pacchetti: 550          Costo totale: </t>
  </si>
  <si>
    <t>Numero chiamate: 39      
Durata chiamate:  0:32:45                               Costo totale: 8,65</t>
  </si>
  <si>
    <t xml:space="preserve">Numero chiamate: 1       Totale pacchetti: 397          Costo totale: </t>
  </si>
  <si>
    <t>Numero chiamate:  526     
Durata chiamate: 9:55:15                                  Costo totale: 938,47</t>
  </si>
  <si>
    <t>Numero chiamate:  1442     Totale pacchetti: 1.799           Costo totale: 9,41</t>
  </si>
  <si>
    <t>Numero chiamate: 123      
Durata chiamate: 7:57:30                                 Costo totale: 429,92</t>
  </si>
  <si>
    <t>Numero chiamate: 965      Totale pacchetti: 4.259           Costo totale: 32,55</t>
  </si>
  <si>
    <t>Numero chiamate:  2     
Durata chiamate:                                 Costo totale: 0,13</t>
  </si>
  <si>
    <t>Numero chiamate: 12       
Durata chiamate:  0:24:22                                Costo totale: 3,08</t>
  </si>
  <si>
    <t>Numero chiamate:  163     Totale pacchetti: 65          Costo totale: 0,00</t>
  </si>
  <si>
    <t>Numero chiamate: 2       
Durata chiamate:                                 Costo totale: 0,25</t>
  </si>
  <si>
    <t>Numero chiamate: 15      
Durata chiamate: 0:09:49                                 Costo totale: 2,38</t>
  </si>
  <si>
    <t xml:space="preserve">Numero chiamate: 1      Totale pacchetti: 7          Costo totale: </t>
  </si>
  <si>
    <t>Numero chiamate: 2            Totale pacchetti:                Costo totale:</t>
  </si>
  <si>
    <t>Numero chiamate:  112     
Durata chiamate:  6:04:57                                Costo totale: 60,64</t>
  </si>
  <si>
    <t xml:space="preserve">Numero chiamate: 8      Totale pacchetti: 101.986          Costo totale: </t>
  </si>
  <si>
    <t>Numero chiamate: 186      
Durata chiamate:  2:24:34                                Costo totale: 29,61</t>
  </si>
  <si>
    <t>Numero chiamate:  163     
Durata chiamate:  4:14:43                               Costo totale: 335</t>
  </si>
  <si>
    <t>Numero chiamate:  427     Totale pacchetti: 1.750           Costo totale: 5,92</t>
  </si>
  <si>
    <t>Numero chiamate: 10      
Durata chiamate: 0:01:03                                 Costo totale: 1,13</t>
  </si>
  <si>
    <t>Numero chiamate:  122     
Durata chiamate: 3:47:33                                 Costo totale: 42,21</t>
  </si>
  <si>
    <t>Numero chiamate: 31      Totale pacchetti: 114          Costo totale: 2</t>
  </si>
  <si>
    <t>Numero chiamate:  75     
Durata chiamate:  2:31:32                                Costo totale: 140,49</t>
  </si>
  <si>
    <t>Numero chiamate: 262      Totale pacchetti: 327           Costo totale: 1,97</t>
  </si>
  <si>
    <t>Numero chiamate:  73     
Durata chiamate: 0:27:22                                 Costo totale: 66,77</t>
  </si>
  <si>
    <t>Numero chiamate:  448     Totale pacchetti: 651          Costo totale: 11,84</t>
  </si>
  <si>
    <t>Numero chiamate: 209      
Durata chiamate: 11:03:19                                 Costo totale: 547,54</t>
  </si>
  <si>
    <t xml:space="preserve">Numero chiamate: 675      Totale pacchetti: 1.295           Costo totale: </t>
  </si>
  <si>
    <t>Numero chiamate:  8          Totale pacchetti:                Costo totale:</t>
  </si>
  <si>
    <t>Numero chiamate: 40       
Durata chiamate: 0:40:26                                 Costo totale: 4,64</t>
  </si>
  <si>
    <t xml:space="preserve">Numero chiamate: 2      Totale pacchetti: 1          Costo totale: </t>
  </si>
  <si>
    <t>Numero chiamate:  189     
Durata chiamate: 5:40:10                                 Costo totale: 611,22</t>
  </si>
  <si>
    <t>Numero chiamate: 440       Totale pacchetti: 1.076           Costo totale: 12,69</t>
  </si>
  <si>
    <t>Numero chiamate: 169      
Durata chiamate: 1:59:47                                 Costo totale: 39,00</t>
  </si>
  <si>
    <t>Numero chiamate: 45      Totale pacchetti: 204.682           Costo totale: 0,00</t>
  </si>
  <si>
    <t>Numero chiamate: 374      
Durata chiamate: 5:46:52                                Costo totale: 106,07</t>
  </si>
  <si>
    <t xml:space="preserve">Numero chiamate:  3     Totale pacchetti: 125          Costo totale: </t>
  </si>
  <si>
    <t>Numero chiamate: 129      
Durata chiamate:  1:39:23                                 Costo totale: 90,07</t>
  </si>
  <si>
    <t>Numero chiamate:  385     Totale pacchetti: 966          Costo totale: 50,00</t>
  </si>
  <si>
    <t>Numero chiamate:  62     
Durata chiamate:  0:07:47                               Costo totale: 41,97</t>
  </si>
  <si>
    <t>Numero chiamate: 517       Totale pacchetti: 1.151          Costo totale: 40,00</t>
  </si>
  <si>
    <t>Numero chiamate: 65       
Durata chiamate: 0:43:10                                Costo totale: 9,39</t>
  </si>
  <si>
    <t>Numero chiamate: 251      Totale pacchetti: 510          Costo totale: 0,38</t>
  </si>
  <si>
    <t>Numero chiamate:  46     
Durata chiamate: 1:03:33                                 Costo totale: 10,69</t>
  </si>
  <si>
    <t xml:space="preserve">Numero chiamate:  8     Totale pacchetti: 38.652           Costo totale: </t>
  </si>
  <si>
    <t>Numero chiamate:  1          Totale pacchetti:                Costo totale:</t>
  </si>
  <si>
    <t xml:space="preserve">Numero chiamate:      
Durata chiamate:                                  Costo totale: </t>
  </si>
  <si>
    <t>Velasco Alex 301/332/5654 - 335/7245469</t>
  </si>
  <si>
    <t xml:space="preserve">Guerra Luca 348/0115641 </t>
  </si>
  <si>
    <t xml:space="preserve">Losito Marco 360/1076598 </t>
  </si>
  <si>
    <t xml:space="preserve">Pardo Eduardo 366/6285429 </t>
  </si>
  <si>
    <t>Numero chiamate: 240     
Durata chiamate:  2:56:04                                 Costo totale: 59,51</t>
  </si>
  <si>
    <t>Numero chiamate:  314     Totale pacchetti: 1.725          Costo totale: 0,00</t>
  </si>
  <si>
    <t>Numero chiamate: 7           Totale pacchetti:  0              Costo totale: 0</t>
  </si>
  <si>
    <t>Numero chiamate:  0    
Durata chiamate:  0                                Costo totale: 0</t>
  </si>
  <si>
    <t>Numero chiamate: 3       Totale pacchetti: 33          Costo totale: 0</t>
  </si>
  <si>
    <t>Numero chiamate:  0          Totale pacchetti:  0              Costo totale: 0</t>
  </si>
  <si>
    <t>Numero chiamate: 9     
Durata chiamate: 0:00:00                                 Costo totale: 1,13</t>
  </si>
  <si>
    <t>Numero chiamate:  0     Totale pacchetti:  0         Costo totale: 0</t>
  </si>
  <si>
    <t>Numero chiamate: 0           Totale pacchetti:  0              Costo totale:0</t>
  </si>
  <si>
    <t>Numero chiamate:   485   
Durata chiamate:  5:19:00                                Costo totale: 78,04</t>
  </si>
  <si>
    <t>Numero chiamate: 328       Totale pacchetti: 1.511           Costo totale: 1,97</t>
  </si>
  <si>
    <t>Numero chiamate:  0          Totale pacchetti: 0               Costo totale:0</t>
  </si>
  <si>
    <t>Numero chiamate: 120     
Durata chiamate: 2:21:07                                  Costo totale: 243,56</t>
  </si>
  <si>
    <t>Numero chiamate:  708     Totale pacchetti: 1.738            Costo totale: 5,92</t>
  </si>
  <si>
    <t>Numero chiamate:  0          Totale pacchetti: 0               Costo totale: 0</t>
  </si>
  <si>
    <t>Numero chiamate:   73   
Durata chiamate: 1:32:50                                  Costo totale: 14,32</t>
  </si>
  <si>
    <t>Numero chiamate: 0      Totale pacchetti:  0         Costo totale: 0</t>
  </si>
  <si>
    <t>Numero chiamate: 2           Totale pacchetti:  0              Costo totale: 0</t>
  </si>
  <si>
    <t>Numero chiamate:   6   
Durata chiamate: 0:36:28                                  Costo totale: 6,11</t>
  </si>
  <si>
    <t>Numero chiamate:  5     Totale pacchetti:  41         Costo totale: 0</t>
  </si>
  <si>
    <t>Numero chiamate:  0          Totale pacchetti:   0             Costo totale: 0</t>
  </si>
  <si>
    <t>Numero chiamate:   26   
Durata chiamate:  0:31:58                                  Costo totale: 4,45</t>
  </si>
  <si>
    <t>Numero chiamate:  1.008     Totale pacchetti: 177.813           Costo totale: 0,09</t>
  </si>
  <si>
    <t>Velasco Alex 335/7245469</t>
  </si>
  <si>
    <t>Numero chiamate:   2   
Durata chiamate:  0:00:00                                 Costo totale: 0,70</t>
  </si>
  <si>
    <t>Numero chiamate: 13       Totale pacchetti: 1.018           Costo totale: 200,59</t>
  </si>
  <si>
    <t>Numero chiamate:  140    
Durata chiamate:  5:32:19                                 Costo totale: 54,69</t>
  </si>
  <si>
    <t>Numero chiamate: 3      Totale pacchetti: 127          Costo totale: 0</t>
  </si>
  <si>
    <t>Numero chiamate:   2         Totale pacchetti: 0               Costo totale: 0</t>
  </si>
  <si>
    <t>Numero chiamate: 87     
Durata chiamate:  1:19:50                                Costo totale: 21,03</t>
  </si>
  <si>
    <t>Numero chiamate:  1          Totale pacchetti:  0              Costo totale: 0</t>
  </si>
  <si>
    <t>Numero chiamate:   410   
Durata chiamate: 6:31:24                                 Costo totale: 234,67</t>
  </si>
  <si>
    <t>Numero chiamate:  653     Totale pacchetti:  1.000         Costo totale: 0</t>
  </si>
  <si>
    <t>Numero chiamate:   9         Totale pacchetti: 0               Costo totale: 0</t>
  </si>
  <si>
    <t>Numero chiamate: 76     
Durata chiamate: 6:51:29                                  Costo totale: 274,06</t>
  </si>
  <si>
    <t>Numero chiamate: 812      Totale pacchetti: 3.467          Costo totale: 7,89</t>
  </si>
  <si>
    <t>Numero chiamate:   0         Totale pacchetti:   0             Costo totale: 0</t>
  </si>
  <si>
    <t>Numero chiamate: 7     
Durata chiamate:  0:00:00                                Costo totale: 0,88</t>
  </si>
  <si>
    <t>Numero chiamate: 0           Totale pacchetti:   0             Costo totale: 0</t>
  </si>
  <si>
    <t>Numero chiamate:  45    
Durata chiamate:  3:02:21                                 Costo totale: 11,42</t>
  </si>
  <si>
    <t>Numero chiamate:  917     Totale pacchetti: 1.222           Costo totale: 0,42</t>
  </si>
  <si>
    <t>Numero chiamate:   2         Totale pacchetti:  0              Costo totale: 0</t>
  </si>
  <si>
    <t>Numero chiamate:  4    
Durata chiamate: 0:02:12                                  Costo totale: 0,13</t>
  </si>
  <si>
    <t>Numero chiamate: 2      Totale pacchetti:  12         Costo totale: 0</t>
  </si>
  <si>
    <t>Numero chiamate:   0         Totale pacchetti:    0            Costo totale: 0</t>
  </si>
  <si>
    <t>Numero chiamate:  0    
Durata chiamate:   0                               Costo totale: 0</t>
  </si>
  <si>
    <t>Numero chiamate:  1     Totale pacchetti: 0          Costo totale: 0</t>
  </si>
  <si>
    <t>Numero chiamate: 6           Totale pacchetti:   0             Costo totale: 0</t>
  </si>
  <si>
    <t>Numero chiamate:   43   
Durata chiamate:  0:08:53                                 Costo totale: 5,44</t>
  </si>
  <si>
    <t>Numero chiamate:  368     Totale pacchetti:  718         Costo totale: 0</t>
  </si>
  <si>
    <t>Numero chiamate:   116   
Durata chiamate:   6:35:48                               Costo totale: 65,08</t>
  </si>
  <si>
    <t>Numero chiamate:  2     Totale pacchetti: 28.089           Costo totale: 0</t>
  </si>
  <si>
    <t>Numero chiamate:   163   
Durata chiamate:  1:56:59                                 Costo totale: 29,73</t>
  </si>
  <si>
    <t>Numero chiamate: 3       Totale pacchetti: 10.450          Costo totale: 0</t>
  </si>
  <si>
    <t>Numero chiamate:  1          Totale pacchetti: 0               Costo totale: 0</t>
  </si>
  <si>
    <t>Numero chiamate:   97   
Durata chiamate:  2:23:26                                 Costo totale: 178,89</t>
  </si>
  <si>
    <t>Numero chiamate: 390     Totale pacchetti: 975           Costo totale: 26,63</t>
  </si>
  <si>
    <t>Numero chiamate:   2   
Durata chiamate:  0:02:27                                Costo totale: 0</t>
  </si>
  <si>
    <t>Numero chiamate: 0      Totale pacchetti:   0        Costo totale: 0</t>
  </si>
  <si>
    <t>Numero chiamate: 172  
Durata chiamate:   2:44:19                                Costo totale: 36,42</t>
  </si>
  <si>
    <t>Numero chiamate: 4      Totale pacchetti: 130          Costo totale: 0</t>
  </si>
  <si>
    <t>Numero chiamate:0           Totale pacchetti:  0              Costo totale: 0</t>
  </si>
  <si>
    <t>Numero chiamate:   50   
Durata chiamate:  1:34:18                                 Costo totale: 21,99</t>
  </si>
  <si>
    <t>Numero chiamate: 257      Totale pacchetti: 370          Costo totale: 1,97</t>
  </si>
  <si>
    <t>Numero chiamate:    0        Totale pacchetti: 0               Costo totale: 0</t>
  </si>
  <si>
    <t>Numero chiamate:  1    
Durata chiamate:  0:00:15                                Costo totale: 0,04</t>
  </si>
  <si>
    <t>Numero chiamate:  554    
Durata chiamate:  7:09:44                                 Costo totale: 263,68</t>
  </si>
  <si>
    <t>Numero chiamate:  820     Totale pacchetti: 1.293          Costo totale: 0</t>
  </si>
  <si>
    <t>Numero chiamate: 13          Totale pacchetti: 0               Costo totale: 0</t>
  </si>
  <si>
    <t>Numero chiamate: 25     
Durata chiamate:  0:10:57                                 Costo totale: 3,56</t>
  </si>
  <si>
    <t>Numero chiamate:  1     Totale pacchetti:  0         Costo totale: 0</t>
  </si>
  <si>
    <t>Numero chiamate:  6          Totale pacchetti: 0               Costo totale: 0</t>
  </si>
  <si>
    <t>Numero chiamate:  185    
Durata chiamate: 3:02:15                                  Costo totale: 233,86</t>
  </si>
  <si>
    <t>Numero chiamate:  244     Totale pacchetti: 364           Costo totale: 2,96</t>
  </si>
  <si>
    <t>Numero chiamate:  242    
Durata chiamate:  5:16:05                                 Costo totale: 65,40</t>
  </si>
  <si>
    <t>Numero chiamate: 100     Totale pacchetti: 252.004           Costo totale: 0</t>
  </si>
  <si>
    <t>Numero chiamate:  362    
Durata chiamate: 7:54:15                                  Costo totale: 99,25</t>
  </si>
  <si>
    <t>Numero chiamate: 0      Totale pacchetti: 0          Costo totale: 0</t>
  </si>
  <si>
    <t>Numero chiamate:  20    
Durata chiamate:  6:13:04                                Costo totale: 60,82</t>
  </si>
  <si>
    <t>Numero chiamate: 1      Totale pacchetti:  7         Costo totale: 0</t>
  </si>
  <si>
    <t>Numero chiamate: 0           Totale pacchetti: 0                Costo totale: 0</t>
  </si>
  <si>
    <t>Numero chiamate: 47     
Durata chiamate: 0:29:42                                  Costo totale: 12,12</t>
  </si>
  <si>
    <t xml:space="preserve">Numero chiamate: 1.229      Totale pacchetti:  5.986          Costo totale: 72,12 </t>
  </si>
  <si>
    <t>Numero chiamate:  35    
Durata chiamate:  2:53:39                                Costo totale: 10,35</t>
  </si>
  <si>
    <t>Numero chiamate:  6     Totale pacchetti: 14.752           Costo totale: 0</t>
  </si>
  <si>
    <t>Pardo Eduardo 366/6285429</t>
  </si>
  <si>
    <t>SIM Test Cornelli - 366/6539758</t>
  </si>
  <si>
    <t>MICRO-SIM TEST Cornelli -334/6405249</t>
  </si>
  <si>
    <t xml:space="preserve">SIM USB 366/6539747 - ex-Rumore </t>
  </si>
  <si>
    <t>SIM USB 366/6539748 - ex-Imbrauglio</t>
  </si>
  <si>
    <t>SIM USB 338/2640490 - ex-Maanna</t>
  </si>
  <si>
    <t>SIM USB 366/6712811 - Rana</t>
  </si>
  <si>
    <t xml:space="preserve">SIM USB 366/6712812 - ex-Cordoni </t>
  </si>
  <si>
    <t xml:space="preserve">SIM SIM USB 366/6263617 -ex-Lomonaco </t>
  </si>
  <si>
    <t xml:space="preserve">SIM USB 366/6262131 - ex-Banfi </t>
  </si>
  <si>
    <t>SIM i-Pad ex-Cordoni 338/6177315</t>
  </si>
  <si>
    <t>SIM i-Pad ex-Rumore 338/6158296</t>
  </si>
  <si>
    <t>Gallucci Simonetta 393/9310619</t>
  </si>
  <si>
    <t xml:space="preserve">Numero chiamate:      
Durata chiamate:                                   Costo totale: </t>
  </si>
  <si>
    <t>Numero chiamate:       Totale pacchetti:  0         Costo totale: 0</t>
  </si>
  <si>
    <t>Numero chiamate:            Totale pacchetti: 0               Costo totale: 0</t>
  </si>
  <si>
    <t>Fontana Marco 335/1725432</t>
  </si>
  <si>
    <t>Placidi Emanuele 337/1115601</t>
  </si>
  <si>
    <t>Vardaro Cristian 348/6512408</t>
  </si>
  <si>
    <t>Invernizzi Lorenzo 366/6335128</t>
  </si>
  <si>
    <t>Numero chiamate: 198     
Durata chiamate:  5:25:34                                  Costo totale: 92,63</t>
  </si>
  <si>
    <t>Numero chiamate:  366     Totale pacchetti:  1.276          Costo totale: 0</t>
  </si>
  <si>
    <t>Numero chiamate:   6         Totale pacchetti: 0               Costo totale: 0</t>
  </si>
  <si>
    <t>Numero chiamate: 4     
Durata chiamate:  0:22:54                                  Costo totale: 3,79</t>
  </si>
  <si>
    <t>Numero chiamate: 3       Totale pacchetti:  0         Costo totale: 0</t>
  </si>
  <si>
    <t>Numero chiamate: 27           Totale pacchetti: 0               Costo totale: 0</t>
  </si>
  <si>
    <t xml:space="preserve">Numero chiamate: 0     
Durata chiamate:                                   Costo totale: </t>
  </si>
  <si>
    <t>Numero chiamate:  325    
Durata chiamate:  2:52:02                                 Costo totale: 56,83</t>
  </si>
  <si>
    <t>Numero chiamate: 2      Totale pacchetti:  10         Costo totale: 0</t>
  </si>
  <si>
    <t>Numero chiamate:  2          Totale pacchetti: 0               Costo totale: 0</t>
  </si>
  <si>
    <t>Numero chiamate:   3   
Durata chiamate: 0:00:47                                  Costo totale: 0,13</t>
  </si>
  <si>
    <t>Numero chiamate: 2      Totale pacchetti:  27         Costo totale: 0</t>
  </si>
  <si>
    <t>Numero chiamate:  66    
Durata chiamate: 2:16:14                                   Costo totale: 20,64</t>
  </si>
  <si>
    <t>Numero chiamate: 0            Totale pacchetti: 0               Costo totale: 0</t>
  </si>
  <si>
    <t>Numero chiamate: 4     
Durata chiamate:  0:04:17                                  Costo totale: 0,81</t>
  </si>
  <si>
    <t xml:space="preserve">Numero chiamate:  4     Totale pacchetti: 43          Costo totale: </t>
  </si>
  <si>
    <t>Numero chiamate: 16     
Durata chiamate: 0:22:24                                    Costo totale: 1,53</t>
  </si>
  <si>
    <t>Numero chiamate:  705     Totale pacchetti:  293         Costo totale: 0</t>
  </si>
  <si>
    <t>Numero chiamate: 8     
Durata chiamate: 0:14:16                                  Costo totale: 91,05</t>
  </si>
  <si>
    <t>Numero chiamate: 28      Totale pacchetti:  603         Costo totale: 1,97</t>
  </si>
  <si>
    <t>Numero chiamate:   175   
Durata chiamate:  6:32:38                                  Costo totale: 67,27</t>
  </si>
  <si>
    <t xml:space="preserve">Numero chiamate: 6      Totale pacchetti: 462          Costo totale: </t>
  </si>
  <si>
    <t>Numero chiamate:   1         Totale pacchetti:    0            Costo totale: 0</t>
  </si>
  <si>
    <t>Numero chiamate: 37     
Durata chiamate:  1:13:40                                  Costo totale: 14,66</t>
  </si>
  <si>
    <t xml:space="preserve">Numero chiamate: 4      Totale pacchetti: 2.283          Costo totale: </t>
  </si>
  <si>
    <t>Numero chiamate:  339    
Durata chiamate:  4:34:11                                   Costo totale: 68,46</t>
  </si>
  <si>
    <t>Numero chiamate: 334      Totale pacchetti:  490         Costo totale: 0,03</t>
  </si>
  <si>
    <t>Numero chiamate: 11            Totale pacchetti: 0               Costo totale: 0</t>
  </si>
  <si>
    <t>Numero chiamate:  3    
Durata chiamate: 0:00:00                                   Costo totale: 0,38</t>
  </si>
  <si>
    <t>Numero chiamate: 4      Totale pacchetti:  41         Costo totale: 0,10</t>
  </si>
  <si>
    <t>Numero chiamate: 18     
Durata chiamate: 0:35:16                                   Costo totale: 6,64</t>
  </si>
  <si>
    <t>Numero chiamate: 1      Totale pacchetti:  3         Costo totale: 0</t>
  </si>
  <si>
    <t>Numero chiamate:  37    
Durata chiamate: 0:35:05                                    Costo totale: 3,10</t>
  </si>
  <si>
    <t>Numero chiamate:  13    
Durata chiamate: 0:00:00                                    Costo totale: 1,63</t>
  </si>
  <si>
    <t>Numero chiamate: 52     
Durata chiamate: 2:06:25                                   Costo totale: 18,76</t>
  </si>
  <si>
    <t>Numero chiamate:   676    Totale pacchetti:  259         Costo totale: 0</t>
  </si>
  <si>
    <t>Numero chiamate: 0     
Durata chiamate:  0                                 Costo totale: 0</t>
  </si>
  <si>
    <t>Numero chiamate: 3      Totale pacchetti: 19          Costo totale: 0</t>
  </si>
  <si>
    <t>Numero chiamate: 91     
Durata chiamate: 1:20:10                                   Costo totale: 24,02</t>
  </si>
  <si>
    <t>Numero chiamate: 310      Totale pacchetti:  477         Costo totale: 0</t>
  </si>
  <si>
    <t>Numero chiamate: 21     
Durata chiamate: 0:28:45                                  Costo totale: 0,39</t>
  </si>
  <si>
    <t>Numero chiamate:  3     Totale pacchetti:  73         Costo totale: 0</t>
  </si>
  <si>
    <t>Numero chiamate:  93    
Durata chiamate: 6:07:54                                   Costo totale: 60,74</t>
  </si>
  <si>
    <t>Numero chiamate: 4      Totale pacchetti: 56         Costo totale: 0</t>
  </si>
  <si>
    <t>Numero chiamate:  264    
Durata chiamate: 3:06:21                                   Costo totale: 56,04</t>
  </si>
  <si>
    <t>Numero chiamate:   289    Totale pacchetti:  8.024         Costo totale: 0</t>
  </si>
  <si>
    <t>Numero chiamate:  137    
Durata chiamate:  3:04:37                                  Costo totale: 70,00</t>
  </si>
  <si>
    <t>Numero chiamate: 280       Totale pacchetti:  698        Costo totale: 0</t>
  </si>
  <si>
    <t>Numero chiamate:   0         Totale pacchetti: 0               Costo totale: 0</t>
  </si>
  <si>
    <t>Numero chiamate:  11    
Durata chiamate:  0:06:56                                  Costo totale: 2,68</t>
  </si>
  <si>
    <t>Numero chiamate:   215   
Durata chiamate: 2:06:21                                  Costo totale: 43,4</t>
  </si>
  <si>
    <t xml:space="preserve">Numero chiamate: 0      Totale pacchetti:           Costo totale: </t>
  </si>
  <si>
    <t>Numero chiamate: 1     
Durata chiamate: 0:00:19                                    Costo totale: 0,05</t>
  </si>
  <si>
    <t>Numero chiamate: 7      Totale pacchetti:  377         Costo totale: 0</t>
  </si>
  <si>
    <t>Numero chiamate: 10     
Durata chiamate: 0:03:35                                    Costo totale: 0,5</t>
  </si>
  <si>
    <t>Numero chiamate:  81     Totale pacchetti: 254          Costo totale: 0</t>
  </si>
  <si>
    <t>Numero chiamate: 43     
Durata chiamate: 0:06:06                                   Costo totale: 2,76</t>
  </si>
  <si>
    <t>Numero chiamate: 539      Totale pacchetti:  87.489         Costo totale: 0</t>
  </si>
  <si>
    <t>Numero chiamate: 5     
Durata chiamate: 0:02:38                                   Costo totale: 0,42</t>
  </si>
  <si>
    <t>Numero chiamate: 1      Totale pacchetti:  6         Costo totale: 0</t>
  </si>
  <si>
    <t>Numero chiamate:  26    
Durata chiamate: 0:51:20                                    Costo totale: 2,24</t>
  </si>
  <si>
    <t>Numero chiamate: 298      Totale pacchetti: 477         Costo totale: 0</t>
  </si>
  <si>
    <t>Numero chiamate: 117     
Durata chiamate:  2:31:39                                  Costo totale: 124,61</t>
  </si>
  <si>
    <t>Numero chiamate:   456    Totale pacchetti:  731         Costo totale: 0</t>
  </si>
  <si>
    <t>Numero chiamate: 6            Totale pacchetti: 0               Costo totale: 0</t>
  </si>
  <si>
    <t>Numero chiamate:  168    
Durata chiamate:  4:08:41                                   Costo totale: 41,04</t>
  </si>
  <si>
    <t>Numero chiamate: 60      Totale pacchetti:  211.773          Costo totale: 0,40</t>
  </si>
  <si>
    <t>Numero chiamate:  235    
Durata chiamate: 5:18:10                                    Costo totale: 64,78</t>
  </si>
  <si>
    <t>Numero chiamate:   4   
Durata chiamate: 4:42:41                                    Costo totale: 45,23</t>
  </si>
  <si>
    <t>Numero chiamate:  1     Totale pacchetti:  6         Costo totale: 0</t>
  </si>
  <si>
    <t>Numero chiamate:  1    
Durata chiamate: 0:01:21                                   Costo totale: 0,00</t>
  </si>
  <si>
    <t>Numero chiamate: 81     
Durata chiamate: 2:17:50                                   Costo totale: 30,93</t>
  </si>
  <si>
    <t>Numero chiamate: 1.152      Totale pacchetti:  1.946         Costo totale: 30,52</t>
  </si>
  <si>
    <t>Numero chiamate: 1            Totale pacchetti: 0               Costo totale: 0</t>
  </si>
  <si>
    <t>Numero chiamate: 37     
Durata chiamate:  0:51:16                                  Costo totale: 24,19</t>
  </si>
  <si>
    <t>Numero chiamate: 144       Totale pacchetti:  27.730          Costo totale: 0</t>
  </si>
  <si>
    <t xml:space="preserve">SIM Test Cornelli - 334/6221285  </t>
  </si>
  <si>
    <t xml:space="preserve">SIM Test Cornelli - 335/5865863 </t>
  </si>
  <si>
    <t>SIM i-Pad Shehata 335/6166584</t>
  </si>
  <si>
    <t>SIM i-Pad Cornelli 366/6868542</t>
  </si>
  <si>
    <t>MICRO-SIM TEST Pelliccione 335/7660700</t>
  </si>
  <si>
    <t>MICRO-SIM TEST Cornelli - 335/6856802</t>
  </si>
  <si>
    <t>MICRO-SIM TEST Cino - 335/1741713</t>
  </si>
  <si>
    <t>MICRO-SIM TEST Chiodini - 334/6865014</t>
  </si>
  <si>
    <t>SIM 4G Vincenzetti - 331/6866640</t>
  </si>
  <si>
    <t>Nano-Sim 4G Vincenzetti 334/6932700</t>
  </si>
  <si>
    <t>SIM i-Pad Busatto 335/7705343</t>
  </si>
  <si>
    <t>SIM 4G Bedeschi - 347/3791294</t>
  </si>
  <si>
    <t>Nano-Sim 4G Bedeschi - 366/8541200</t>
  </si>
  <si>
    <t>Nano-Sim Luppi - 334/6195490</t>
  </si>
  <si>
    <t>MICRO-SIM TEST Cino -335/7660700</t>
  </si>
  <si>
    <t>CATENA DEMO 6: - 366/6040990</t>
  </si>
  <si>
    <t>Nano-Sim Bedeschi - - 335/7706363</t>
  </si>
  <si>
    <t>Richiesta Disattivazione 21/07</t>
  </si>
  <si>
    <t>Richiesta Disattivazione 25/07</t>
  </si>
  <si>
    <t>CHIAMATE LUGLIO</t>
  </si>
  <si>
    <t>TRAFFICO DATI LUGLIO</t>
  </si>
  <si>
    <t>TRAFFICO SERVIZI INTERATTIVI LUGLIO</t>
  </si>
  <si>
    <t xml:space="preserve">Numero chiamate:       
Durata chiamate:                                  Costo totale: </t>
  </si>
  <si>
    <t>Numero chiamate:  126     
Durata chiamate:  2:08:46                                  Costo totale: 32,39</t>
  </si>
  <si>
    <t>Numero chiamate: 2      Totale pacchetti:  3         Costo totale: 0</t>
  </si>
  <si>
    <t>Numero chiamate: 9            Totale pacchetti:   0             Costo totale: 0,49</t>
  </si>
  <si>
    <t>Numero chiamate:   3    
Durata chiamate: 0:03:18                                  Costo totale: 0,53</t>
  </si>
  <si>
    <t xml:space="preserve">Numero chiamate: 8      Totale pacchetti:  303        Costo totale: </t>
  </si>
  <si>
    <t>Numero chiamate: 0           Totale pacchetti:  0              Costo totale: 0</t>
  </si>
  <si>
    <t>Numero chiamate:  0     
Durata chiamate:  0                                Costo totale: 0</t>
  </si>
  <si>
    <t>Numero chiamate:  2     Totale pacchetti:  0         Costo totale: 0</t>
  </si>
  <si>
    <t>Numero chiamate:  307     
Durata chiamate:  3:50:23                                 Costo totale: 108,35</t>
  </si>
  <si>
    <t>Numero chiamate: 400      Totale pacchetti: 2.346           Costo totale: 0,05</t>
  </si>
  <si>
    <t>Numero chiamate:  1     
Durata chiamate: 0:00:36                                  Costo totale: 0,10</t>
  </si>
  <si>
    <t>Numero chiamate:  0     Totale pacchetti: 0          Costo totale: 0</t>
  </si>
  <si>
    <t>Numero chiamate:   26    
Durata chiamate: 0:41:16                                  Costo totale: 4,87</t>
  </si>
  <si>
    <t>Numero chiamate: 0       Totale pacchetti: 0           Costo totale: 0</t>
  </si>
  <si>
    <t>Numero chiamate: 1           Totale pacchetti: 0                Costo totale: 0,49</t>
  </si>
  <si>
    <t>Numero chiamate: 28      
Durata chiamate:  2:17:41                                 Costo totale: 19,97</t>
  </si>
  <si>
    <t>Numero chiamate: 1       Totale pacchetti:  7         Costo totale: 0</t>
  </si>
  <si>
    <t>Numero chiamate: 22      
Durata chiamate:  0:23:49                                 Costo totale: 3,94</t>
  </si>
  <si>
    <t>Numero chiamate: 453      Totale pacchetti: 189          Costo totale: 0</t>
  </si>
  <si>
    <t>Numero chiamate:  70     
Durata chiamate:  1:25:11                             Costo totale: 264,56</t>
  </si>
  <si>
    <t>Numero chiamate: 2166      Totale pacchetti:  3.532         Costo totale: 6,21</t>
  </si>
  <si>
    <t>Numero chiamate: 130       
Durata chiamate: 5:45:28                                 Costo totale: 54,49</t>
  </si>
  <si>
    <t>Numero chiamate: 10          Totale pacchetti:  0              Costo totale: 0</t>
  </si>
  <si>
    <t>Numero chiamate:  121     
Durata chiamate: 1:06:49                                 Costo totale: 22,32</t>
  </si>
  <si>
    <t>Numero chiamate:  544     
Durata chiamate:  11:20:18                                 Costo totale: 449,45</t>
  </si>
  <si>
    <t>Numero chiamate: 1381      Totale pacchetti:  2.033          Costo totale: 7,33</t>
  </si>
  <si>
    <t>Numero chiamate:  20          Totale pacchetti:   0             Costo totale: 0,49</t>
  </si>
  <si>
    <t>Numero chiamate:   1    
Durata chiamate:  0:00:49                                 Costo totale: 0,13</t>
  </si>
  <si>
    <t>Numero chiamate:  17     Totale pacchetti:  7.188          Costo totale: 17,55</t>
  </si>
  <si>
    <t>Numero chiamate: 0      
Durata chiamate:  0                                Costo totale: 0</t>
  </si>
  <si>
    <t>Numero chiamate:   0    Totale pacchetti:   0        Costo totale: 0</t>
  </si>
  <si>
    <t>Numero chiamate:  1          Totale pacchetti: 0               Costo totale: 0,49</t>
  </si>
  <si>
    <t>Numero chiamate:  60     
Durata chiamate: 1:22:45                                   Costo totale: 117,81</t>
  </si>
  <si>
    <t>Numero chiamate: 1041      Totale pacchetti: 4.982           Costo totale: 0</t>
  </si>
  <si>
    <t>Numero chiamate:   1         Totale pacchetti:  0              Costo totale: 0,49</t>
  </si>
  <si>
    <t>Numero chiamate:  0     
Durata chiamate:   0                               Costo totale: 0</t>
  </si>
  <si>
    <t>Numero chiamate:   0    Totale pacchetti:  0         Costo totale: 0</t>
  </si>
  <si>
    <t>Numero chiamate: 2           Totale pacchetti:   6             Costo totale: 0</t>
  </si>
  <si>
    <t>Numero chiamate:  29     
Durata chiamate:  1:25:03                                 Costo totale: 11,96</t>
  </si>
  <si>
    <t>Numero chiamate:  1          Totale pacchetti:   0             Costo totale: 0,49</t>
  </si>
  <si>
    <t>Numero chiamate:  3     
Durata chiamate: 0:00:31                                  Costo totale: 0,19</t>
  </si>
  <si>
    <t>Numero chiamate:  2     Totale pacchetti: 14          Costo totale: 0</t>
  </si>
  <si>
    <t>Numero chiamate:   19    
Durata chiamate:  0:12:40                                 Costo totale: 3,72</t>
  </si>
  <si>
    <t>Numero chiamate:  3     Totale pacchetti: 13          Costo totale: 0</t>
  </si>
  <si>
    <t>Numero chiamate:  28     
Durata chiamate: 1:23:10                                   Costo totale: 6,05</t>
  </si>
  <si>
    <t>Numero chiamate: 1           Totale pacchetti: 0               Costo totale: 0,49</t>
  </si>
  <si>
    <t>Numero chiamate:  196     
Durata chiamate: 17:04:27                                  Costo totale: 169,26</t>
  </si>
  <si>
    <t>Numero chiamate:  2     Totale pacchetti: 37          Costo totale: 0</t>
  </si>
  <si>
    <t>Numero chiamate: 524      
Durata chiamate: 2:35:23                                   Costo totale: 185,89</t>
  </si>
  <si>
    <t>Numero chiamate:  475     Totale pacchetti:   10.660        Costo totale: 0</t>
  </si>
  <si>
    <t>Numero chiamate:   5         Totale pacchetti:   0             Costo totale: 0,49</t>
  </si>
  <si>
    <t>Numero chiamate: 150      
Durata chiamate:  4:30:26                                 Costo totale: 222,14</t>
  </si>
  <si>
    <t>Numero chiamate:   479    Totale pacchetti: 2.278           Costo totale: 5,92</t>
  </si>
  <si>
    <t>Numero chiamate:   5    
Durata chiamate:  0:03:05                                  Costo totale: 0,47</t>
  </si>
  <si>
    <t>Numero chiamate:  105
Durata chiamate:  1:10:45                                 Costo totale: 16,97</t>
  </si>
  <si>
    <t>Numero chiamate: 1      
Durata chiamate: 0:14:25                                   Costo totale: 2,31</t>
  </si>
  <si>
    <t>Numero chiamate:  1     Totale pacchetti: 157.376           Costo totale: 384,22</t>
  </si>
  <si>
    <t>Numero chiamate:  95     
Durata chiamate:  3:43:35                                 Costo totale: 140,48</t>
  </si>
  <si>
    <t>Numero chiamate:  406     Totale pacchetti: 637          Costo totale: 5,92</t>
  </si>
  <si>
    <t>Numero chiamate: 129      
Durata chiamate: 3:22:07                                  Costo totale: 280,08</t>
  </si>
  <si>
    <t>Numero chiamate: 1533      Totale pacchetti: 7.459           Costo totale: 218,97</t>
  </si>
  <si>
    <t>Numero chiamate:  19     
Durata chiamate: 0:13:44                                  Costo totale: 3,76</t>
  </si>
  <si>
    <t>Numero chiamate: 361      Totale pacchetti: 1.182           Costo totale: 2,96</t>
  </si>
  <si>
    <t>Numero chiamate:  2          Totale pacchetti:  0              Costo totale: 0</t>
  </si>
  <si>
    <t>Numero chiamate:    131   
Durata chiamate:  3:41:54                                  Costo totale: 195,05</t>
  </si>
  <si>
    <t>Numero chiamate:  1223     Totale pacchetti: 2.869           Costo totale: 2,96</t>
  </si>
  <si>
    <t>Numero chiamate: 1           Totale pacchetti:   0             Costo totale: 0,49</t>
  </si>
  <si>
    <t>Numero chiamate:  362     
Durata chiamate:  3:57:36                                  Costo totale: 352,23</t>
  </si>
  <si>
    <t>Numero chiamate: 493       Totale pacchetti: 904            Costo totale: 2,96</t>
  </si>
  <si>
    <t>Numero chiamate: 297     
Durata chiamate:  5:04:59                                 Costo totale: 69,17</t>
  </si>
  <si>
    <t>Numero chiamate:   118    Totale pacchetti:  356.513          Costo totale: 0</t>
  </si>
  <si>
    <t>Numero chiamate: 221      
Durata chiamate: 5:11:04                                  Costo totale: 54,01</t>
  </si>
  <si>
    <t>Numero chiamate: 3      Totale pacchetti: 0          Costo totale: 0</t>
  </si>
  <si>
    <t>Numero chiamate:  2     
Durata chiamate:  0:46:27                                 Costo totale: 7,41</t>
  </si>
  <si>
    <t>Numero chiamate:  10     Totale pacchetti: 244.889            Costo totale: 0</t>
  </si>
  <si>
    <t>Numero chiamate:  0          Totale pacchetti: 0              Costo totale: 0</t>
  </si>
  <si>
    <t>Numero chiamate: 3      
Durata chiamate: 0                                 Costo totale: 0</t>
  </si>
  <si>
    <t>Numero chiamate:  19     Totale pacchetti:    0       Costo totale: 0</t>
  </si>
  <si>
    <t>Numero chiamate: 0           Totale pacchetti:    0            Costo totale: 0</t>
  </si>
  <si>
    <t>Numero chiamate:   52    
Durata chiamate:  0:58:50                                  Costo totale: 126,9</t>
  </si>
  <si>
    <t>Numero chiamate:  1211     Totale pacchetti: 9.957           Costo totale: 157,07</t>
  </si>
  <si>
    <t>Numero chiamate: 0          Totale pacchetti:   0             Costo totale: 0</t>
  </si>
  <si>
    <t>Numero chiamate:  31     
Durata chiamate:  1:23:23                                  Costo totale: 9,81</t>
  </si>
  <si>
    <t>Numero chiamate:  632     Totale pacchetti:   68.558          Costo totale: 0</t>
  </si>
  <si>
    <t>MICRO-SIM TEST Pozzi 335/1798083</t>
  </si>
  <si>
    <t>SIM i-Pad Gallucci 338/5799796</t>
  </si>
  <si>
    <t>SIM i-Pad Rana 338/6158296</t>
  </si>
  <si>
    <t>CHIAMATE AGOSTO</t>
  </si>
  <si>
    <t>TRAFFICO DATI AGOSTO</t>
  </si>
  <si>
    <t>TRAFFICO SERVIZI INTERATTIVI AGOSTO</t>
  </si>
  <si>
    <t xml:space="preserve">Numero chiamate:        
Durata chiamate:                                  Costo totale: </t>
  </si>
  <si>
    <t>Numero chiamate: 0          Totale pacchetti:  0              Costo totale: 0</t>
  </si>
  <si>
    <t>Numero chiamate:  104      
Durata chiamate:  4:28:26                                 Costo totale: 50,47</t>
  </si>
  <si>
    <t>Numero chiamate: 3      Totale pacchetti: 8          Costo totale: 0</t>
  </si>
  <si>
    <t>Numero chiamate: 5          Totale pacchetti:  0              Costo totale: 0,49</t>
  </si>
  <si>
    <t>Numero chiamate: 5       
Durata chiamate:  0:03:10                                 Costo totale: 0,51</t>
  </si>
  <si>
    <t>Numero chiamate: 6      Totale pacchetti: 146          Costo totale: 0</t>
  </si>
  <si>
    <t>Numero chiamate: 2      Totale pacchetti: 11          Costo totale: 0</t>
  </si>
  <si>
    <t>Numero chiamate: 2          Totale pacchetti:  0              Costo totale: 0</t>
  </si>
  <si>
    <t xml:space="preserve">Numero chiamate: 273       
Durata chiamate:  3:48:41                                 Costo totale: 88,46 </t>
  </si>
  <si>
    <t>Numero chiamate: 349      Totale pacchetti: 19.835           Costo totale: 4,88</t>
  </si>
  <si>
    <t>Numero chiamate:   24     
Durata chiamate: 0:36:36                                  Costo totale: 4,24</t>
  </si>
  <si>
    <t>Numero chiamate: 2      Totale pacchetti: 20          Costo totale: 0</t>
  </si>
  <si>
    <t>Numero chiamate:  43      
Durata chiamate: 0:50:45                                   Costo totale: 5,05</t>
  </si>
  <si>
    <t>Numero chiamate: 741      Totale pacchetti: 4.189            Costo totale: 0,23</t>
  </si>
  <si>
    <t>Numero chiamate: 25        
Durata chiamate: 1:03:33                                   Costo totale: 3,97</t>
  </si>
  <si>
    <t>Numero chiamate: 1          Totale pacchetti:  0              Costo totale: 0,49</t>
  </si>
  <si>
    <t>Numero chiamate:  7      
Durata chiamate: 0:08:32                                  Costo totale: 1,37</t>
  </si>
  <si>
    <t>Numero chiamate: 2      Totale pacchetti: 17          Costo totale: 0</t>
  </si>
  <si>
    <t>Numero chiamate:  44      
Durata chiamate: 0:32:43                                  Costo totale: 122,47</t>
  </si>
  <si>
    <t>Numero chiamate: 1.430      Totale pacchetti: 1.755            Costo totale: 1,97</t>
  </si>
  <si>
    <t>Numero chiamate: 104       
Durata chiamate: 4:45:28                                  Costo totale: 44,89</t>
  </si>
  <si>
    <t>Numero chiamate: 4      Totale pacchetti: 173          Costo totale: 0</t>
  </si>
  <si>
    <t>Numero chiamate:  87      
Durata chiamate: 0:41:16                                  Costo totale: 14,83</t>
  </si>
  <si>
    <t>Numero chiamate:    392    
Durata chiamate: 8:32:23                                   Costo totale: 385,06</t>
  </si>
  <si>
    <t>Numero chiamate: 1.330      Totale pacchetti: 2.099           Costo totale: 0</t>
  </si>
  <si>
    <t>Numero chiamate: 2          Totale pacchetti:  0              Costo totale: 0,49</t>
  </si>
  <si>
    <t>Numero chiamate:  1      
Durata chiamate: 0:00:37                                   Costo totale: 0,99</t>
  </si>
  <si>
    <t>Numero chiamate: 31      Totale pacchetti: 335           Costo totale: 1,22</t>
  </si>
  <si>
    <t>Numero chiamate:  17      
Durata chiamate: 0:16:18                                  Costo totale: 6,82</t>
  </si>
  <si>
    <t>Numero chiamate: 463      Totale pacchetti: 1.586           Costo totale: 2,96</t>
  </si>
  <si>
    <t>Numero chiamate: 19       
Durata chiamate: 0:26:33                                  Costo totale: 4,32</t>
  </si>
  <si>
    <t>Numero chiamate: 1.800      Totale pacchetti: 4.022           Costo totale: 0,80</t>
  </si>
  <si>
    <t>Numero chiamate:  1      
Durata chiamate:  0:00:31                                 Costo totale: 0,08</t>
  </si>
  <si>
    <t>Numero chiamate:  33      
Durata chiamate: 0:05:46                                 Costo totale: 11,92</t>
  </si>
  <si>
    <t>Numero chiamate: 1.379      Totale pacchetti: 3.476            Costo totale: 3,95</t>
  </si>
  <si>
    <t>Numero chiamate:  27      
Durata chiamate:  3:18:51                                 Costo totale: 20,74</t>
  </si>
  <si>
    <t>Numero chiamate: 175       
Durata chiamate: 9:47:39                                  Costo totale: 95,38</t>
  </si>
  <si>
    <t>Numero chiamate: 4      Totale pacchetti: 6          Costo totale: 0</t>
  </si>
  <si>
    <t xml:space="preserve">Numero chiamate: 497       
Durata chiamate:  6:12:38                                 Costo totale: 93,51 </t>
  </si>
  <si>
    <t>Numero chiamate: 1      Totale pacchetti: 1          Costo totale: 0</t>
  </si>
  <si>
    <t>Numero chiamate:   52     
Durata chiamate: 3:19:41                                  Costo totale: 41,87</t>
  </si>
  <si>
    <t>Numero chiamate: 5      Totale pacchetti: 27          Costo totale: 0</t>
  </si>
  <si>
    <t xml:space="preserve">Numero chiamate: 1       
Durata chiamate:                                  Costo totale: </t>
  </si>
  <si>
    <t>Numero chiamate:  170
Durata chiamate:  3:41:28                                  Costo totale: 41,66</t>
  </si>
  <si>
    <t>Numero chiamate:  ,3          Totale pacchetti:                Costo totale: 0,49</t>
  </si>
  <si>
    <t>Numero chiamate: 4       
Durata chiamate: 0                                  Costo totale: 0</t>
  </si>
  <si>
    <t>Numero chiamate: 0          Totale pacchetti:  0              Costo totale: 0,49</t>
  </si>
  <si>
    <t>Numero chiamate: 2      Totale pacchetti: 38.848           Costo totale: 94,84</t>
  </si>
  <si>
    <t>Numero chiamate:  4      
Durata chiamate:  0:43:09                                Costo totale: 22,1</t>
  </si>
  <si>
    <t>Numero chiamate: 322      Totale pacchetti: 364          Costo totale: 0</t>
  </si>
  <si>
    <t>Numero chiamate:  64      
Durata chiamate: 1:14:53                                 Costo totale: 140,95</t>
  </si>
  <si>
    <t>Numero chiamate: 2.387      Totale pacchetti: 3.190           Costo totale: 238,7</t>
  </si>
  <si>
    <t>Numero chiamate: 19        
Durata chiamate: 0:03:27                                 Costo totale: 1,49</t>
  </si>
  <si>
    <t>Numero chiamate: 653      Totale pacchetti: 893           Costo totale: 0</t>
  </si>
  <si>
    <t>Numero chiamate:  6      
Durata chiamate: 0:13:00                                  Costo totale: 0,22</t>
  </si>
  <si>
    <t>Numero chiamate:  52      
Durata chiamate: 1:30:21                                  Costo totale: 35,10</t>
  </si>
  <si>
    <t>Numero chiamate: 1.104      Totale pacchetti: 1.278           Costo totale: 0</t>
  </si>
  <si>
    <t>Numero chiamate:  196      
Durata chiamate:  3:50:55                                 Costo totale: 43,19</t>
  </si>
  <si>
    <t>Numero chiamate: 76      Totale pacchetti: 487.024           Costo totale: 0</t>
  </si>
  <si>
    <t>Numero chiamate:  137      
Durata chiamate: 3:36:56                                  Costo totale: 40,46</t>
  </si>
  <si>
    <t>Numero chiamate: 2      Totale pacchetti: 2          Costo totale: 0</t>
  </si>
  <si>
    <t>Numero chiamate:  4      
Durata chiamate: 1:24:08                                 Costo totale: 12,84</t>
  </si>
  <si>
    <t>Numero chiamate: 1      Totale pacchetti: 20.685          Costo totale: 0</t>
  </si>
  <si>
    <t>Numero chiamate:  69      
Durata chiamate:  1:11:56                                Costo totale: 34,69</t>
  </si>
  <si>
    <t>Numero chiamate: 2.601      Totale pacchetti: 5.909           Costo totale: 99,91</t>
  </si>
  <si>
    <t xml:space="preserve">Numero chiamate: 60       
Durata chiamate: 1:18:26                                 Costo totale: 12,58 </t>
  </si>
  <si>
    <t>Numero chiamate: 463      Totale pacchetti: 34.691          Costo totale: 0,05</t>
  </si>
  <si>
    <t>CHIAMATE SETTEMBRE</t>
  </si>
  <si>
    <t>TRAFFICO DATI SETTEMBRE</t>
  </si>
  <si>
    <t>TRAFFICO SERVIZI INTERATTIVI SETTEMBRE</t>
  </si>
  <si>
    <t xml:space="preserve">Numero chiamate:        
Durata chiamate:                                   Costo totale: </t>
  </si>
  <si>
    <t xml:space="preserve">Numero chiamate:           Totale pacchetti:                Costo totale: </t>
  </si>
  <si>
    <t>Numero chiamate:  149      
Durata chiamate: 3:47:05                                  Costo totale: 120,04</t>
  </si>
  <si>
    <t>Numero chiamate: 827     Totale pacchetti: 3.636          Costo totale: 0</t>
  </si>
  <si>
    <t>Numero chiamate: 1          Totale pacchetti: 0               Costo totale: 0</t>
  </si>
  <si>
    <t>Numero chiamate: 8       
Durata chiamate: 0:19:58                                   Costo totale: 1,22</t>
  </si>
  <si>
    <t>Numero chiamate: 4      Totale pacchetti: 43          Costo totale: 0</t>
  </si>
  <si>
    <t>Numero chiamate:  326      
Durata chiamate: 7:33:47                                   Costo totale: 463,92</t>
  </si>
  <si>
    <t>Numero chiamate: 771      Totale pacchetti: 18.235            Costo totale: 0,29</t>
  </si>
  <si>
    <t>Numero chiamate:  1         Totale pacchetti: 0               Costo totale: 0,49</t>
  </si>
  <si>
    <t>Numero chiamate:   2     
Durata chiamate: 0:00:00                                    Costo totale: 0,25</t>
  </si>
  <si>
    <t>Numero chiamate:  8      
Durata chiamate: 0:20:21                                   Costo totale: 2,6</t>
  </si>
  <si>
    <t>Numero chiamate:  2     Totale pacchetti: 10          Costo totale: 0</t>
  </si>
  <si>
    <t>Numero chiamate:  16      
Durata chiamate: 0:56:45                                  Costo totale: 6,08</t>
  </si>
  <si>
    <t>Numero chiamate: 13       
Durata chiamate: 0:25:22                                   Costo totale: 4,04</t>
  </si>
  <si>
    <t>Numero chiamate:  48     
Durata chiamate: 2:03:40                                   Costo totale: 197,6</t>
  </si>
  <si>
    <t>Numero chiamate:  1.836     Totale pacchetti:  1.907          Costo totale: 0</t>
  </si>
  <si>
    <t>Numero chiamate: 164        
Durata chiamate: 11:15:42                                    Costo totale: 104,33</t>
  </si>
  <si>
    <t>Numero chiamate: 2       Totale pacchetti: 68          Costo totale: 0</t>
  </si>
  <si>
    <t>Numero chiamate:    128    
Durata chiamate: 1:32:15                                  Costo totale: 26,94</t>
  </si>
  <si>
    <t>Numero chiamate:  518      
Durata chiamate: 9:52:42                                    Costo totale: 496,57</t>
  </si>
  <si>
    <t>Numero chiamate:   1.322    Totale pacchetti: 1.727            Costo totale: 0</t>
  </si>
  <si>
    <t>Numero chiamate: 5          Totale pacchetti: 0               Costo totale: 0</t>
  </si>
  <si>
    <t>Numero chiamate: 1       
Durata chiamate: 0:00:03                                    Costo totale: 0</t>
  </si>
  <si>
    <t>Numero chiamate: 1       Totale pacchetti:  6         Costo totale: 0,01</t>
  </si>
  <si>
    <t>Numero chiamate:   82     
Durata chiamate: 3:11:06                                   Costo totale: 193,03</t>
  </si>
  <si>
    <t>Numero chiamate:  617     Totale pacchetti: 2.530           Costo totale: 0</t>
  </si>
  <si>
    <t>Numero chiamate: 0        
Durata chiamate: 0:00:00                                   Costo totale: 0</t>
  </si>
  <si>
    <t>Numero chiamate: 1      Totale pacchetti:  0         Costo totale: 0</t>
  </si>
  <si>
    <t>Numero chiamate:  26      
Durata chiamate: 0:53:22                                  Costo totale: 8,71</t>
  </si>
  <si>
    <t>Numero chiamate:  10     Totale pacchetti: 39          Costo totale: 0</t>
  </si>
  <si>
    <t>Numero chiamate: 3          Totale pacchetti: 0               Costo totale: 0,49</t>
  </si>
  <si>
    <t>Numero chiamate: 5      
Durata chiamate: 0:06:35                                   Costo totale: 0,13</t>
  </si>
  <si>
    <t>Numero chiamate: 13       
Durata chiamate: 0:04:08                                  Costo totale: 1,49</t>
  </si>
  <si>
    <t>Numero chiamate:  2         Totale pacchetti:   0             Costo totale: 0</t>
  </si>
  <si>
    <t>Numero chiamate: 19       
Durata chiamate:  0:37:47                                  Costo totale: 0,8</t>
  </si>
  <si>
    <t>Numero chiamate:  68      
Durata chiamate: 6:43:23                                  Costo totale: 64,67</t>
  </si>
  <si>
    <t>Numero chiamate:  1     Totale pacchetti:  161         Costo totale: 0</t>
  </si>
  <si>
    <t>Numero chiamate: 306        
Durata chiamate: 3:21:09                                   Costo totale: 61,88</t>
  </si>
  <si>
    <t>Numero chiamate: 2      Totale pacchetti: 8.865          Costo totale: 0</t>
  </si>
  <si>
    <t>Numero chiamate:   6        Totale pacchetti:                Costo totale: 0,49</t>
  </si>
  <si>
    <t>Numero chiamate: 196       
Durata chiamate: 6:38:27                                  Costo totale: 311,31</t>
  </si>
  <si>
    <t>Numero chiamate: 538       Totale pacchetti: 1.436           Costo totale: 2,96</t>
  </si>
  <si>
    <t>Numero chiamate:   1        Totale pacchetti: 0               Costo totale: 0,49</t>
  </si>
  <si>
    <t>Numero chiamate: 12       
Durata chiamate: 0:11:46                                    Costo totale: 1,76</t>
  </si>
  <si>
    <t>Numero chiamate: 215
Durata chiamate: 4:02:00                                  Costo totale: 270,39</t>
  </si>
  <si>
    <t>Numero chiamate: 503      Totale pacchetti:  1.175          Costo totale: 94,64</t>
  </si>
  <si>
    <t>Numero chiamate:   1         Totale pacchetti:   0             Costo totale: 0,49</t>
  </si>
  <si>
    <t>CATENA DEMO 6: 366/6040990</t>
  </si>
  <si>
    <t>Numero chiamate:   242     
Durata chiamate:  14:35:01                                 Costo totale: 2.356,42</t>
  </si>
  <si>
    <t>Numero chiamate: 1.471      Totale pacchetti:  2.382          Costo totale: 26,63</t>
  </si>
  <si>
    <t>Numero chiamate: 63       
Durata chiamate: 0:01:00                                   Costo totale: 12,52</t>
  </si>
  <si>
    <t>Numero chiamate: 616      Totale pacchetti: 748           Costo totale: 0</t>
  </si>
  <si>
    <t>Numero chiamate: 2          Totale pacchetti: 0               Costo totale: 0</t>
  </si>
  <si>
    <t>Numero chiamate: 25       
Durata chiamate: 0:39:53                                   Costo totale: 5,06</t>
  </si>
  <si>
    <t>Numero chiamate:   1    Totale pacchetti:  6         Costo totale: 0</t>
  </si>
  <si>
    <t>Numero chiamate: 1          Totale pacchetti: 0                Costo totale: 0</t>
  </si>
  <si>
    <t>Numero chiamate:  89      
Durata chiamate: 1:36:42                                   Costo totale: 181,41</t>
  </si>
  <si>
    <t>Numero chiamate:  1.700     Totale pacchetti:  3.405          Costo totale: 133,16</t>
  </si>
  <si>
    <t>Numero chiamate: 1          Totale pacchetti: 0               Costo totale: 0,49</t>
  </si>
  <si>
    <t>Numero chiamate:  137      
Durata chiamate:  2:44:21                                 Costo totale: 32,75</t>
  </si>
  <si>
    <t>Numero chiamate:  129     Totale pacchetti: 785.723          Costo totale: 0</t>
  </si>
  <si>
    <t>Numero chiamate:  3         Totale pacchetti:  0              Costo totale: 0,49</t>
  </si>
  <si>
    <t>Numero chiamate:  237      
Durata chiamate:  4:11:03                                  Costo totale: 72,67</t>
  </si>
  <si>
    <t>Numero chiamate: 3       
Durata chiamate: 2:29:43                                   Costo totale: 23,95</t>
  </si>
  <si>
    <t>Numero chiamate:  1     Totale pacchetti:  29.407          Costo totale: 0</t>
  </si>
  <si>
    <t>Numero chiamate:  54      
Durata chiamate: 1:03:56                                    Costo totale: 66,58</t>
  </si>
  <si>
    <t>Numero chiamate: 620      Totale pacchetti:  2.140           Costo totale: 0,32</t>
  </si>
  <si>
    <t xml:space="preserve"> </t>
  </si>
  <si>
    <t xml:space="preserve">Numero chiamate:  
Durata chiamate:                                   Costo totale: </t>
  </si>
  <si>
    <t xml:space="preserve">Numero chiamate: 1           Totale pacchetti: 0               Costo totale: 0 </t>
  </si>
  <si>
    <t xml:space="preserve">Numero chiamate: 0           Totale pacchetti: 0               Costo totale: 0 </t>
  </si>
  <si>
    <t>CHIAMATE OTTOBRE</t>
  </si>
  <si>
    <t>TRAFFICO DATI OTTOBRE</t>
  </si>
  <si>
    <t>TRAFFICO SERVIZI INTERATTIVI OTTOBRE</t>
  </si>
  <si>
    <t>Numero chiamate:  136
Durata chiamate: 3:19:19                                   Costo totale: 80,75</t>
  </si>
  <si>
    <t>Numero chiamate: 678      Totale pacchetti:  3.836         Costo totale: 0</t>
  </si>
  <si>
    <t xml:space="preserve">Numero chiamate: 5          Totale pacchetti: 0               Costo totale: 0 </t>
  </si>
  <si>
    <t>Numero chiamate:  22
Durata chiamate: 0:08:25                                   Costo totale: 2,30</t>
  </si>
  <si>
    <t>Numero chiamate: 2      Totale pacchetti: 140         Costo totale: 0</t>
  </si>
  <si>
    <t>Numero chiamate:  3
Durata chiamate: 0:04:27                                   Costo totale: 0</t>
  </si>
  <si>
    <t xml:space="preserve">Numero chiamate: 6          Totale pacchetti: 0               Costo totale: 0 </t>
  </si>
  <si>
    <t>Numero chiamate:  317
Durata chiamate: 5:50:24                                  Costo totale: 180,49</t>
  </si>
  <si>
    <t>Numero chiamate: 769      Totale pacchetti:  14.715          Costo totale: 0</t>
  </si>
  <si>
    <t>Numero chiamate: 10 
Durata chiamate: 0:17:10                                    Costo totale: 0,66</t>
  </si>
  <si>
    <t>Numero chiamate: 2      Totale pacchetti:  13         Costo totale: 0</t>
  </si>
  <si>
    <t>Numero chiamate: 17 
Durata chiamate: 0:32:57                                    Costo totale: 4,14</t>
  </si>
  <si>
    <t>Numero chiamate:  27
Durata chiamate: 0:18:36                                    Costo totale: 3,58</t>
  </si>
  <si>
    <t>Numero chiamate: 499      Totale pacchetti:  188.272          Costo totale: 36,65</t>
  </si>
  <si>
    <t>Numero chiamate:  264
Durata chiamate:  17:49:05                                   Costo totale: 177,27</t>
  </si>
  <si>
    <t>Numero chiamate: 2      Totale pacchetti:  33         Costo totale: 0</t>
  </si>
  <si>
    <t xml:space="preserve">Numero chiamate: 4           Totale pacchetti: 0               Costo totale: 0 </t>
  </si>
  <si>
    <t>Numero chiamate: 124 
Durata chiamate: 0:27:03                                  Costo totale: 17,59</t>
  </si>
  <si>
    <t xml:space="preserve">Numero chiamate: 2           Totale pacchetti: 0               Costo totale: 0 </t>
  </si>
  <si>
    <t>Numero chiamate:  585
Durata chiamate: 7:35:38                                   Costo totale: 564,21</t>
  </si>
  <si>
    <t>Numero chiamate: 1.674      Totale pacchetti:  2.615          Costo totale: 0,01</t>
  </si>
  <si>
    <t>Numero chiamate:  2
Durata chiamate: 0:03:42                                   Costo totale: 0,59</t>
  </si>
  <si>
    <t>Numero chiamate:  48
Durata chiamate: 0:47:43                                   Costo totale: 9,19</t>
  </si>
  <si>
    <t>Numero chiamate: 152      Totale pacchetti:  1.663           Costo totale: 0</t>
  </si>
  <si>
    <t>Numero chiamate:  1
Durata chiamate: 0:00:00                                   Costo totale: 0,13</t>
  </si>
  <si>
    <t>Numero chiamate:  68
Durata chiamate: 0:36:50                                   Costo totale: 5,72</t>
  </si>
  <si>
    <t>Numero chiamate: 295      Totale pacchetti:  865         Costo totale: 0,17</t>
  </si>
  <si>
    <t>Numero chiamate:  6
Durata chiamate: 0:03:07                                   Costo totale: 0,74</t>
  </si>
  <si>
    <t>Numero chiamate:  119
Durata chiamate: 1:07:09                                   Costo totale: 71,64</t>
  </si>
  <si>
    <t>Numero chiamate: 352      Totale pacchetti:  1.050          Costo totale: 0</t>
  </si>
  <si>
    <t>Numero chiamate:  22
Durata chiamate: 1:18:53                                   Costo totale: 10,12</t>
  </si>
  <si>
    <t>Numero chiamate: 3           Totale pacchetti: 0               Costo totale: 0,49</t>
  </si>
  <si>
    <t>Numero chiamate:  80
Durata chiamate: 2:44:59                                    Costo totale: 27,13</t>
  </si>
  <si>
    <t>Numero chiamate: 3      Totale pacchetti:  170.051          Costo totale: 0</t>
  </si>
  <si>
    <t>Numero chiamate: 318  
Durata chiamate: 4:12:01                                   Costo totale: 64,39</t>
  </si>
  <si>
    <t>Numero chiamate: 2      Totale pacchetti:  8.739           Costo totale: 0</t>
  </si>
  <si>
    <t xml:space="preserve">Numero chiamate: 5           Totale pacchetti: 0               Costo totale: 0 </t>
  </si>
  <si>
    <t>Numero chiamate: 165  
Durata chiamate: 8:25:07                                   Costo totale: 451,63</t>
  </si>
  <si>
    <t>Numero chiamate: 1.150      Totale pacchetti:  2.796         Costo totale: 12,82</t>
  </si>
  <si>
    <t>Numero chiamate: 4           Totale pacchetti: 0               Costo totale: 0,49</t>
  </si>
  <si>
    <t>Numero chiamate:  4
Durata chiamate: 0:05:17                                    Costo totale: 1,31</t>
  </si>
  <si>
    <t>Numero chiamate: 295 
Durata chiamate: 4:24:00                                   Costo totale: 197,77</t>
  </si>
  <si>
    <t>Numero chiamate: 606      Totale pacchetti:  1.399         Costo totale: 50,43</t>
  </si>
  <si>
    <t>Numero chiamate:  3
Durata chiamate: 0:06:06                                   Costo totale: 1,23</t>
  </si>
  <si>
    <t>Numero chiamate:  111
Durata chiamate: 5:18:52                                    Costo totale: 1056,79</t>
  </si>
  <si>
    <t>Numero chiamate: 2.370      Totale pacchetti:  2.896         Costo totale: 0,59</t>
  </si>
  <si>
    <t>Numero chiamate: 17 
Durata chiamate: 0:00:28                                   Costo totale: 2,47</t>
  </si>
  <si>
    <t>Numero chiamate: 619      Totale pacchetti:  2.655          Costo totale: 0</t>
  </si>
  <si>
    <t>Numero chiamate:  31
Durata chiamate:  0:43:45                                 Costo totale: 29,92</t>
  </si>
  <si>
    <t>Numero chiamate: 291      Totale pacchetti:  985         Costo totale: 0</t>
  </si>
  <si>
    <t>Numero chiamate:  117
Durata chiamate: 1:14:27                                   Costo totale: 46,28</t>
  </si>
  <si>
    <t>Numero chiamate: 301      Totale pacchetti:  456          Costo totale: 0</t>
  </si>
  <si>
    <t>Numero chiamate: 213  
Durata chiamate: 4:25:39                                  Costo totale: 53,79</t>
  </si>
  <si>
    <t>Numero chiamate: 43      Totale pacchetti:  130.828         Costo totale: 0</t>
  </si>
  <si>
    <t>Numero chiamate:  181
Durata chiamate: 3:54:22                                    Costo totale: 43,33</t>
  </si>
  <si>
    <t>Numero chiamate: 114
Durata chiamate: 2:27:34                                    Costo totale: 204,47</t>
  </si>
  <si>
    <t>Numero chiamate: 1.083      Totale pacchetti:  2.304          Costo totale: 1,99</t>
  </si>
  <si>
    <t xml:space="preserve">Numero chiamate: 1           Totale pacchetti: 0               Costo totale: 0,49 </t>
  </si>
  <si>
    <t>Numero chiamate:  58
Durata chiamate: 1:05:23                                  Costo totale: 26,08</t>
  </si>
  <si>
    <t>Numero chiamate: 3      Totale pacchetti:  25         Costo totale: 0</t>
  </si>
  <si>
    <t>Martinez Daniel 366/5676136</t>
  </si>
  <si>
    <t>John Hall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</si>
</sst>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[$$-4809]#,##0.00"/>
    <numFmt numFmtId="165" formatCode="[$$-409]#,##0.00"/>
    <numFmt numFmtId="166" formatCode="_-[$$-4809]* #,##0.00_ ;_-[$$-4809]* \-#,##0.00\ ;_-[$$-4809]* &quot;-&quot;??_ ;_-@_ "/>
    <numFmt numFmtId="167" formatCode="[$MXN]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theme="9" tint="-0.249977111117893"/>
      <name val="Tahoma"/>
      <family val="2"/>
    </font>
    <font>
      <sz val="10"/>
      <color rgb="FFFF0000"/>
      <name val="Tahoma"/>
      <family val="2"/>
    </font>
    <font>
      <b/>
      <sz val="12"/>
      <color rgb="FF00B050"/>
      <name val="Tahoma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5" xfId="0" applyFont="1" applyFill="1" applyBorder="1"/>
    <xf numFmtId="2" fontId="4" fillId="0" borderId="6" xfId="0" applyNumberFormat="1" applyFont="1" applyFill="1" applyBorder="1"/>
    <xf numFmtId="2" fontId="4" fillId="0" borderId="7" xfId="1" applyNumberFormat="1" applyFont="1" applyFill="1" applyBorder="1"/>
    <xf numFmtId="2" fontId="4" fillId="0" borderId="6" xfId="0" applyNumberFormat="1" applyFont="1" applyFill="1" applyBorder="1" applyAlignment="1">
      <alignment horizontal="right"/>
    </xf>
    <xf numFmtId="4" fontId="4" fillId="0" borderId="8" xfId="0" applyNumberFormat="1" applyFont="1" applyFill="1" applyBorder="1"/>
    <xf numFmtId="0" fontId="4" fillId="0" borderId="9" xfId="0" applyFont="1" applyFill="1" applyBorder="1" applyAlignment="1">
      <alignment vertical="center" wrapText="1"/>
    </xf>
    <xf numFmtId="2" fontId="4" fillId="0" borderId="10" xfId="0" applyNumberFormat="1" applyFont="1" applyFill="1" applyBorder="1" applyAlignment="1">
      <alignment vertical="center" wrapText="1"/>
    </xf>
    <xf numFmtId="2" fontId="4" fillId="0" borderId="11" xfId="1" applyNumberFormat="1" applyFont="1" applyFill="1" applyBorder="1"/>
    <xf numFmtId="2" fontId="4" fillId="0" borderId="12" xfId="0" applyNumberFormat="1" applyFont="1" applyFill="1" applyBorder="1" applyAlignment="1">
      <alignment vertical="center"/>
    </xf>
    <xf numFmtId="0" fontId="4" fillId="0" borderId="0" xfId="0" applyFont="1" applyFill="1" applyAlignment="1"/>
    <xf numFmtId="0" fontId="4" fillId="0" borderId="0" xfId="0" applyFont="1" applyFill="1"/>
    <xf numFmtId="0" fontId="2" fillId="0" borderId="13" xfId="0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6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7" xfId="0" applyFont="1" applyFill="1" applyBorder="1" applyAlignment="1">
      <alignment vertical="center" wrapText="1"/>
    </xf>
    <xf numFmtId="2" fontId="4" fillId="0" borderId="18" xfId="0" applyNumberFormat="1" applyFont="1" applyFill="1" applyBorder="1" applyAlignment="1">
      <alignment vertical="center" wrapText="1"/>
    </xf>
    <xf numFmtId="2" fontId="4" fillId="0" borderId="19" xfId="1" applyNumberFormat="1" applyFont="1" applyFill="1" applyBorder="1"/>
    <xf numFmtId="2" fontId="4" fillId="0" borderId="20" xfId="0" applyNumberFormat="1" applyFont="1" applyFill="1" applyBorder="1" applyAlignment="1"/>
    <xf numFmtId="2" fontId="4" fillId="0" borderId="21" xfId="0" applyNumberFormat="1" applyFont="1" applyFill="1" applyBorder="1" applyAlignment="1">
      <alignment vertical="center"/>
    </xf>
    <xf numFmtId="0" fontId="4" fillId="0" borderId="17" xfId="0" applyFont="1" applyFill="1" applyBorder="1"/>
    <xf numFmtId="2" fontId="4" fillId="0" borderId="18" xfId="0" applyNumberFormat="1" applyFont="1" applyFill="1" applyBorder="1"/>
    <xf numFmtId="2" fontId="4" fillId="0" borderId="21" xfId="0" applyNumberFormat="1" applyFont="1" applyFill="1" applyBorder="1" applyAlignment="1"/>
    <xf numFmtId="2" fontId="6" fillId="0" borderId="21" xfId="0" applyNumberFormat="1" applyFont="1" applyFill="1" applyBorder="1" applyAlignment="1"/>
    <xf numFmtId="2" fontId="4" fillId="0" borderId="20" xfId="1" applyNumberFormat="1" applyFont="1" applyFill="1" applyBorder="1"/>
    <xf numFmtId="2" fontId="4" fillId="0" borderId="21" xfId="1" applyNumberFormat="1" applyFont="1" applyFill="1" applyBorder="1"/>
    <xf numFmtId="2" fontId="4" fillId="0" borderId="20" xfId="0" applyNumberFormat="1" applyFont="1" applyFill="1" applyBorder="1" applyAlignment="1">
      <alignment vertical="center"/>
    </xf>
    <xf numFmtId="0" fontId="4" fillId="0" borderId="22" xfId="0" applyFont="1" applyFill="1" applyBorder="1"/>
    <xf numFmtId="2" fontId="4" fillId="0" borderId="20" xfId="0" applyNumberFormat="1" applyFont="1" applyFill="1" applyBorder="1"/>
    <xf numFmtId="2" fontId="4" fillId="0" borderId="20" xfId="0" applyNumberFormat="1" applyFont="1" applyFill="1" applyBorder="1" applyAlignment="1">
      <alignment horizontal="right"/>
    </xf>
    <xf numFmtId="2" fontId="4" fillId="0" borderId="23" xfId="0" applyNumberFormat="1" applyFont="1" applyFill="1" applyBorder="1" applyAlignment="1"/>
    <xf numFmtId="2" fontId="4" fillId="0" borderId="0" xfId="1" applyNumberFormat="1" applyFont="1" applyFill="1" applyBorder="1" applyAlignment="1"/>
    <xf numFmtId="0" fontId="4" fillId="0" borderId="9" xfId="0" applyFont="1" applyFill="1" applyBorder="1"/>
    <xf numFmtId="164" fontId="4" fillId="0" borderId="24" xfId="0" applyNumberFormat="1" applyFont="1" applyFill="1" applyBorder="1"/>
    <xf numFmtId="164" fontId="4" fillId="0" borderId="25" xfId="1" applyNumberFormat="1" applyFont="1" applyFill="1" applyBorder="1"/>
    <xf numFmtId="2" fontId="4" fillId="0" borderId="26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/>
    <xf numFmtId="4" fontId="4" fillId="0" borderId="28" xfId="0" applyNumberFormat="1" applyFont="1" applyFill="1" applyBorder="1"/>
    <xf numFmtId="2" fontId="4" fillId="0" borderId="29" xfId="1" applyNumberFormat="1" applyFont="1" applyFill="1" applyBorder="1"/>
    <xf numFmtId="2" fontId="2" fillId="0" borderId="30" xfId="0" applyNumberFormat="1" applyFont="1" applyFill="1" applyBorder="1" applyAlignment="1">
      <alignment horizontal="center" vertical="center"/>
    </xf>
    <xf numFmtId="2" fontId="2" fillId="0" borderId="31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/>
    <xf numFmtId="2" fontId="4" fillId="0" borderId="32" xfId="0" applyNumberFormat="1" applyFont="1" applyFill="1" applyBorder="1"/>
    <xf numFmtId="2" fontId="4" fillId="0" borderId="30" xfId="1" applyNumberFormat="1" applyFont="1" applyFill="1" applyBorder="1"/>
    <xf numFmtId="2" fontId="2" fillId="0" borderId="7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/>
    <xf numFmtId="0" fontId="4" fillId="2" borderId="17" xfId="0" applyFont="1" applyFill="1" applyBorder="1"/>
    <xf numFmtId="2" fontId="4" fillId="0" borderId="34" xfId="0" applyNumberFormat="1" applyFont="1" applyFill="1" applyBorder="1"/>
    <xf numFmtId="2" fontId="4" fillId="0" borderId="24" xfId="0" applyNumberFormat="1" applyFont="1" applyFill="1" applyBorder="1"/>
    <xf numFmtId="2" fontId="4" fillId="0" borderId="23" xfId="1" applyNumberFormat="1" applyFont="1" applyFill="1" applyBorder="1"/>
    <xf numFmtId="165" fontId="4" fillId="0" borderId="10" xfId="0" applyNumberFormat="1" applyFont="1" applyFill="1" applyBorder="1" applyAlignment="1">
      <alignment horizontal="right"/>
    </xf>
    <xf numFmtId="165" fontId="4" fillId="0" borderId="10" xfId="0" applyNumberFormat="1" applyFont="1" applyFill="1" applyBorder="1"/>
    <xf numFmtId="2" fontId="4" fillId="0" borderId="11" xfId="0" applyNumberFormat="1" applyFont="1" applyFill="1" applyBorder="1"/>
    <xf numFmtId="2" fontId="4" fillId="0" borderId="10" xfId="0" applyNumberFormat="1" applyFont="1" applyFill="1" applyBorder="1"/>
    <xf numFmtId="2" fontId="2" fillId="0" borderId="0" xfId="0" applyNumberFormat="1" applyFont="1" applyFill="1" applyBorder="1"/>
    <xf numFmtId="4" fontId="4" fillId="0" borderId="10" xfId="0" applyNumberFormat="1" applyFont="1" applyFill="1" applyBorder="1"/>
    <xf numFmtId="4" fontId="4" fillId="0" borderId="35" xfId="0" applyNumberFormat="1" applyFont="1" applyFill="1" applyBorder="1"/>
    <xf numFmtId="2" fontId="4" fillId="0" borderId="4" xfId="1" applyNumberFormat="1" applyFont="1" applyFill="1" applyBorder="1"/>
    <xf numFmtId="2" fontId="4" fillId="0" borderId="3" xfId="0" applyNumberFormat="1" applyFont="1" applyFill="1" applyBorder="1"/>
    <xf numFmtId="0" fontId="2" fillId="0" borderId="3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wrapText="1"/>
    </xf>
    <xf numFmtId="2" fontId="4" fillId="0" borderId="33" xfId="0" applyNumberFormat="1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2" fontId="4" fillId="0" borderId="37" xfId="0" applyNumberFormat="1" applyFont="1" applyFill="1" applyBorder="1" applyAlignment="1">
      <alignment vertical="center" wrapText="1"/>
    </xf>
    <xf numFmtId="0" fontId="4" fillId="0" borderId="17" xfId="0" applyFont="1" applyFill="1" applyBorder="1" applyAlignment="1">
      <alignment wrapText="1"/>
    </xf>
    <xf numFmtId="0" fontId="4" fillId="0" borderId="38" xfId="0" applyFont="1" applyFill="1" applyBorder="1" applyAlignment="1">
      <alignment wrapText="1"/>
    </xf>
    <xf numFmtId="2" fontId="4" fillId="0" borderId="0" xfId="0" applyNumberFormat="1" applyFont="1"/>
    <xf numFmtId="2" fontId="4" fillId="0" borderId="0" xfId="1" applyNumberFormat="1" applyFont="1"/>
    <xf numFmtId="2" fontId="2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/>
    <xf numFmtId="0" fontId="4" fillId="0" borderId="5" xfId="0" applyFont="1" applyFill="1" applyBorder="1" applyAlignment="1">
      <alignment horizontal="left" wrapText="1"/>
    </xf>
    <xf numFmtId="0" fontId="4" fillId="0" borderId="17" xfId="0" applyFont="1" applyFill="1" applyBorder="1" applyAlignment="1">
      <alignment horizontal="left" wrapText="1"/>
    </xf>
    <xf numFmtId="0" fontId="4" fillId="0" borderId="39" xfId="0" applyFont="1" applyFill="1" applyBorder="1" applyAlignment="1">
      <alignment horizontal="left" wrapText="1"/>
    </xf>
    <xf numFmtId="2" fontId="4" fillId="0" borderId="4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2" fontId="4" fillId="0" borderId="41" xfId="0" applyNumberFormat="1" applyFont="1" applyFill="1" applyBorder="1" applyAlignment="1">
      <alignment vertical="center" wrapText="1"/>
    </xf>
    <xf numFmtId="0" fontId="2" fillId="3" borderId="42" xfId="0" applyFont="1" applyFill="1" applyBorder="1"/>
    <xf numFmtId="2" fontId="2" fillId="0" borderId="36" xfId="0" applyNumberFormat="1" applyFont="1" applyFill="1" applyBorder="1"/>
    <xf numFmtId="0" fontId="2" fillId="0" borderId="0" xfId="0" applyFont="1" applyFill="1" applyBorder="1"/>
    <xf numFmtId="2" fontId="2" fillId="0" borderId="0" xfId="1" applyNumberFormat="1" applyFont="1" applyFill="1" applyBorder="1"/>
    <xf numFmtId="0" fontId="2" fillId="4" borderId="1" xfId="0" applyFont="1" applyFill="1" applyBorder="1"/>
    <xf numFmtId="2" fontId="2" fillId="0" borderId="3" xfId="1" applyNumberFormat="1" applyFont="1" applyFill="1" applyBorder="1"/>
    <xf numFmtId="0" fontId="4" fillId="0" borderId="0" xfId="0" applyFont="1" applyFill="1" applyBorder="1"/>
    <xf numFmtId="0" fontId="2" fillId="5" borderId="43" xfId="0" applyFont="1" applyFill="1" applyBorder="1"/>
    <xf numFmtId="0" fontId="2" fillId="6" borderId="42" xfId="0" applyFont="1" applyFill="1" applyBorder="1"/>
    <xf numFmtId="0" fontId="7" fillId="0" borderId="4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4" fillId="0" borderId="5" xfId="0" applyFont="1" applyFill="1" applyBorder="1" applyAlignment="1"/>
    <xf numFmtId="2" fontId="4" fillId="0" borderId="44" xfId="0" applyNumberFormat="1" applyFont="1" applyBorder="1" applyAlignment="1">
      <alignment wrapText="1"/>
    </xf>
    <xf numFmtId="2" fontId="4" fillId="0" borderId="45" xfId="0" applyNumberFormat="1" applyFont="1" applyBorder="1" applyAlignment="1">
      <alignment wrapText="1"/>
    </xf>
    <xf numFmtId="2" fontId="4" fillId="0" borderId="46" xfId="0" applyNumberFormat="1" applyFont="1" applyBorder="1" applyAlignment="1">
      <alignment wrapText="1"/>
    </xf>
    <xf numFmtId="21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wrapText="1"/>
    </xf>
    <xf numFmtId="2" fontId="6" fillId="0" borderId="46" xfId="0" applyNumberFormat="1" applyFont="1" applyBorder="1" applyAlignment="1">
      <alignment wrapText="1"/>
    </xf>
    <xf numFmtId="0" fontId="4" fillId="0" borderId="17" xfId="0" applyFont="1" applyFill="1" applyBorder="1" applyAlignment="1"/>
    <xf numFmtId="2" fontId="4" fillId="0" borderId="46" xfId="0" applyNumberFormat="1" applyFont="1" applyFill="1" applyBorder="1" applyAlignment="1">
      <alignment wrapText="1"/>
    </xf>
    <xf numFmtId="2" fontId="4" fillId="0" borderId="0" xfId="0" applyNumberFormat="1" applyFont="1" applyBorder="1" applyAlignment="1">
      <alignment wrapText="1"/>
    </xf>
    <xf numFmtId="0" fontId="8" fillId="0" borderId="0" xfId="0" applyFont="1"/>
    <xf numFmtId="0" fontId="8" fillId="0" borderId="46" xfId="0" applyFont="1" applyBorder="1" applyAlignment="1">
      <alignment wrapText="1"/>
    </xf>
    <xf numFmtId="0" fontId="8" fillId="0" borderId="46" xfId="0" applyFont="1" applyFill="1" applyBorder="1" applyAlignment="1">
      <alignment wrapText="1"/>
    </xf>
    <xf numFmtId="0" fontId="4" fillId="0" borderId="22" xfId="0" applyFont="1" applyFill="1" applyBorder="1" applyAlignment="1"/>
    <xf numFmtId="0" fontId="4" fillId="0" borderId="47" xfId="0" applyFont="1" applyFill="1" applyBorder="1" applyAlignment="1"/>
    <xf numFmtId="0" fontId="4" fillId="0" borderId="0" xfId="0" applyFont="1" applyBorder="1"/>
    <xf numFmtId="0" fontId="8" fillId="0" borderId="0" xfId="0" applyFont="1" applyBorder="1" applyAlignment="1">
      <alignment horizontal="right"/>
    </xf>
    <xf numFmtId="0" fontId="9" fillId="0" borderId="0" xfId="2" applyBorder="1" applyAlignment="1" applyProtection="1">
      <alignment horizontal="left"/>
    </xf>
    <xf numFmtId="0" fontId="9" fillId="0" borderId="0" xfId="2" applyAlignment="1" applyProtection="1">
      <alignment horizontal="left"/>
    </xf>
    <xf numFmtId="3" fontId="8" fillId="0" borderId="0" xfId="0" applyNumberFormat="1" applyFont="1" applyAlignment="1">
      <alignment horizontal="right"/>
    </xf>
    <xf numFmtId="2" fontId="6" fillId="0" borderId="37" xfId="0" applyNumberFormat="1" applyFont="1" applyFill="1" applyBorder="1" applyAlignment="1">
      <alignment vertical="center" wrapText="1"/>
    </xf>
    <xf numFmtId="4" fontId="4" fillId="0" borderId="21" xfId="1" applyNumberFormat="1" applyFont="1" applyFill="1" applyBorder="1"/>
    <xf numFmtId="164" fontId="4" fillId="0" borderId="23" xfId="1" applyNumberFormat="1" applyFont="1" applyFill="1" applyBorder="1"/>
    <xf numFmtId="164" fontId="6" fillId="0" borderId="23" xfId="1" applyNumberFormat="1" applyFont="1" applyFill="1" applyBorder="1"/>
    <xf numFmtId="2" fontId="4" fillId="0" borderId="33" xfId="0" applyNumberFormat="1" applyFont="1" applyFill="1" applyBorder="1" applyAlignment="1"/>
    <xf numFmtId="165" fontId="6" fillId="0" borderId="12" xfId="1" applyNumberFormat="1" applyFont="1" applyFill="1" applyBorder="1"/>
    <xf numFmtId="2" fontId="6" fillId="0" borderId="8" xfId="0" applyNumberFormat="1" applyFont="1" applyFill="1" applyBorder="1" applyAlignment="1"/>
    <xf numFmtId="2" fontId="6" fillId="0" borderId="23" xfId="1" applyNumberFormat="1" applyFont="1" applyFill="1" applyBorder="1"/>
    <xf numFmtId="2" fontId="6" fillId="0" borderId="33" xfId="0" applyNumberFormat="1" applyFont="1" applyFill="1" applyBorder="1" applyAlignment="1"/>
    <xf numFmtId="2" fontId="6" fillId="0" borderId="21" xfId="0" applyNumberFormat="1" applyFont="1" applyFill="1" applyBorder="1" applyAlignment="1">
      <alignment vertical="center"/>
    </xf>
    <xf numFmtId="164" fontId="4" fillId="0" borderId="18" xfId="0" applyNumberFormat="1" applyFont="1" applyFill="1" applyBorder="1" applyAlignment="1">
      <alignment vertical="center" wrapText="1"/>
    </xf>
    <xf numFmtId="166" fontId="4" fillId="0" borderId="6" xfId="0" applyNumberFormat="1" applyFont="1" applyFill="1" applyBorder="1"/>
    <xf numFmtId="2" fontId="6" fillId="7" borderId="46" xfId="0" applyNumberFormat="1" applyFont="1" applyFill="1" applyBorder="1" applyAlignment="1">
      <alignment wrapText="1"/>
    </xf>
    <xf numFmtId="2" fontId="4" fillId="7" borderId="46" xfId="0" applyNumberFormat="1" applyFont="1" applyFill="1" applyBorder="1" applyAlignment="1">
      <alignment wrapText="1"/>
    </xf>
    <xf numFmtId="165" fontId="4" fillId="0" borderId="18" xfId="0" applyNumberFormat="1" applyFont="1" applyFill="1" applyBorder="1" applyAlignment="1">
      <alignment vertical="center" wrapText="1"/>
    </xf>
    <xf numFmtId="165" fontId="4" fillId="0" borderId="19" xfId="1" applyNumberFormat="1" applyFont="1" applyFill="1" applyBorder="1"/>
    <xf numFmtId="165" fontId="4" fillId="0" borderId="12" xfId="1" applyNumberFormat="1" applyFont="1" applyFill="1" applyBorder="1"/>
    <xf numFmtId="2" fontId="4" fillId="0" borderId="24" xfId="1" applyNumberFormat="1" applyFont="1" applyFill="1" applyBorder="1"/>
    <xf numFmtId="2" fontId="4" fillId="0" borderId="0" xfId="1" applyNumberFormat="1" applyFont="1" applyFill="1" applyBorder="1"/>
    <xf numFmtId="2" fontId="4" fillId="0" borderId="48" xfId="0" applyNumberFormat="1" applyFont="1" applyFill="1" applyBorder="1" applyAlignment="1"/>
    <xf numFmtId="0" fontId="4" fillId="0" borderId="5" xfId="0" applyFont="1" applyFill="1" applyBorder="1" applyAlignment="1">
      <alignment wrapText="1"/>
    </xf>
    <xf numFmtId="0" fontId="4" fillId="3" borderId="22" xfId="0" applyFont="1" applyFill="1" applyBorder="1" applyAlignment="1">
      <alignment vertical="center" wrapText="1"/>
    </xf>
    <xf numFmtId="2" fontId="6" fillId="0" borderId="0" xfId="0" applyNumberFormat="1" applyFont="1" applyFill="1" applyBorder="1"/>
    <xf numFmtId="0" fontId="4" fillId="3" borderId="17" xfId="0" applyFont="1" applyFill="1" applyBorder="1" applyAlignment="1">
      <alignment wrapText="1"/>
    </xf>
    <xf numFmtId="0" fontId="2" fillId="0" borderId="39" xfId="0" applyFont="1" applyFill="1" applyBorder="1" applyAlignment="1">
      <alignment horizontal="center" vertical="center"/>
    </xf>
    <xf numFmtId="2" fontId="2" fillId="0" borderId="26" xfId="0" applyNumberFormat="1" applyFont="1" applyFill="1" applyBorder="1" applyAlignment="1">
      <alignment horizontal="center" vertical="center"/>
    </xf>
    <xf numFmtId="2" fontId="2" fillId="0" borderId="49" xfId="0" applyNumberFormat="1" applyFont="1" applyBorder="1" applyAlignment="1">
      <alignment horizontal="center" vertical="center" wrapText="1"/>
    </xf>
    <xf numFmtId="2" fontId="2" fillId="0" borderId="50" xfId="0" applyNumberFormat="1" applyFont="1" applyBorder="1" applyAlignment="1">
      <alignment horizontal="center" vertical="center" wrapText="1"/>
    </xf>
    <xf numFmtId="2" fontId="2" fillId="0" borderId="26" xfId="0" applyNumberFormat="1" applyFont="1" applyFill="1" applyBorder="1" applyAlignment="1">
      <alignment horizontal="center" vertical="center" wrapText="1"/>
    </xf>
    <xf numFmtId="0" fontId="4" fillId="0" borderId="51" xfId="0" applyFont="1" applyFill="1" applyBorder="1"/>
    <xf numFmtId="2" fontId="4" fillId="0" borderId="31" xfId="0" applyNumberFormat="1" applyFont="1" applyFill="1" applyBorder="1"/>
    <xf numFmtId="2" fontId="4" fillId="0" borderId="12" xfId="0" applyNumberFormat="1" applyFont="1" applyFill="1" applyBorder="1" applyAlignment="1"/>
    <xf numFmtId="4" fontId="4" fillId="0" borderId="12" xfId="1" applyNumberFormat="1" applyFont="1" applyFill="1" applyBorder="1"/>
    <xf numFmtId="4" fontId="6" fillId="0" borderId="21" xfId="1" applyNumberFormat="1" applyFont="1" applyFill="1" applyBorder="1"/>
    <xf numFmtId="2" fontId="6" fillId="0" borderId="44" xfId="0" applyNumberFormat="1" applyFont="1" applyBorder="1" applyAlignment="1">
      <alignment wrapText="1"/>
    </xf>
    <xf numFmtId="167" fontId="4" fillId="0" borderId="18" xfId="0" applyNumberFormat="1" applyFont="1" applyFill="1" applyBorder="1"/>
    <xf numFmtId="167" fontId="4" fillId="0" borderId="19" xfId="1" applyNumberFormat="1" applyFont="1" applyFill="1" applyBorder="1"/>
    <xf numFmtId="2" fontId="6" fillId="0" borderId="23" xfId="0" applyNumberFormat="1" applyFont="1" applyFill="1" applyBorder="1" applyAlignme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workbookViewId="0">
      <selection activeCell="B18" sqref="B18"/>
    </sheetView>
  </sheetViews>
  <sheetFormatPr defaultColWidth="19.7109375" defaultRowHeight="12.75"/>
  <cols>
    <col min="1" max="1" width="31.5703125" style="8" customWidth="1"/>
    <col min="2" max="2" width="22.7109375" style="8" customWidth="1"/>
    <col min="3" max="3" width="22" style="8" customWidth="1"/>
    <col min="4" max="4" width="22.140625" style="8" customWidth="1"/>
    <col min="5" max="5" width="21.7109375" style="80" customWidth="1"/>
    <col min="6" max="6" width="24.85546875" style="80" customWidth="1"/>
    <col min="7" max="7" width="24.28515625" style="83" customWidth="1"/>
    <col min="8" max="16384" width="19.7109375" style="8"/>
  </cols>
  <sheetData>
    <row r="1" spans="1:12" ht="30.75" thickBo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6" t="s">
        <v>6</v>
      </c>
      <c r="H1" s="7"/>
    </row>
    <row r="2" spans="1:12">
      <c r="A2" s="9" t="s">
        <v>7</v>
      </c>
      <c r="B2" s="10">
        <f>557.79+197.16+26.44+7.37</f>
        <v>788.76</v>
      </c>
      <c r="C2" s="10">
        <f>387.79+197.16+26.44+7.37</f>
        <v>618.7600000000001</v>
      </c>
      <c r="D2" s="11">
        <f>B2-C2</f>
        <v>169.99999999999989</v>
      </c>
      <c r="E2" s="12"/>
      <c r="F2" s="10"/>
      <c r="G2" s="13">
        <v>48.26</v>
      </c>
    </row>
    <row r="3" spans="1:12" s="19" customFormat="1" ht="13.5" thickBot="1">
      <c r="A3" s="14" t="s">
        <v>8</v>
      </c>
      <c r="B3" s="15"/>
      <c r="C3" s="15"/>
      <c r="D3" s="16">
        <f>B3-C3</f>
        <v>0</v>
      </c>
      <c r="E3" s="15"/>
      <c r="F3" s="15"/>
      <c r="G3" s="17">
        <v>33.229999999999997</v>
      </c>
      <c r="H3" s="18"/>
      <c r="I3" s="18"/>
      <c r="J3" s="18"/>
      <c r="K3" s="18"/>
      <c r="L3" s="18"/>
    </row>
    <row r="4" spans="1:12" ht="30">
      <c r="A4" s="20" t="s">
        <v>9</v>
      </c>
      <c r="B4" s="21" t="s">
        <v>1</v>
      </c>
      <c r="C4" s="22" t="s">
        <v>10</v>
      </c>
      <c r="D4" s="23" t="s">
        <v>11</v>
      </c>
      <c r="E4" s="21" t="s">
        <v>4</v>
      </c>
      <c r="F4" s="21" t="s">
        <v>12</v>
      </c>
      <c r="G4" s="24" t="s">
        <v>13</v>
      </c>
      <c r="H4" s="25"/>
    </row>
    <row r="5" spans="1:12" s="19" customFormat="1">
      <c r="A5" s="26" t="s">
        <v>14</v>
      </c>
      <c r="B5" s="27"/>
      <c r="C5" s="28"/>
      <c r="D5" s="28">
        <f t="shared" ref="D5:D29" si="0">B5-C5</f>
        <v>0</v>
      </c>
      <c r="E5" s="28"/>
      <c r="F5" s="29"/>
      <c r="G5" s="30">
        <v>0.74</v>
      </c>
      <c r="H5" s="18"/>
      <c r="I5" s="18"/>
      <c r="J5" s="18"/>
      <c r="K5" s="18"/>
      <c r="L5" s="18"/>
    </row>
    <row r="6" spans="1:12" s="19" customFormat="1">
      <c r="A6" s="26" t="s">
        <v>15</v>
      </c>
      <c r="B6" s="27">
        <f>281.46+262.57+17.61</f>
        <v>561.64</v>
      </c>
      <c r="C6" s="28">
        <f>253.9+268.62+17.61</f>
        <v>540.13</v>
      </c>
      <c r="D6" s="28">
        <f>B6-C6</f>
        <v>21.509999999999991</v>
      </c>
      <c r="E6" s="28"/>
      <c r="F6" s="29"/>
      <c r="G6" s="30">
        <v>291</v>
      </c>
      <c r="H6" s="18"/>
      <c r="I6" s="18"/>
      <c r="J6" s="18"/>
      <c r="K6" s="18"/>
      <c r="L6" s="18"/>
    </row>
    <row r="7" spans="1:12" s="19" customFormat="1" ht="13.5" customHeight="1">
      <c r="A7" s="31" t="s">
        <v>16</v>
      </c>
      <c r="B7" s="32"/>
      <c r="C7" s="28"/>
      <c r="D7" s="28">
        <f t="shared" si="0"/>
        <v>0</v>
      </c>
      <c r="E7" s="28"/>
      <c r="F7" s="29"/>
      <c r="G7" s="33">
        <v>10.25</v>
      </c>
      <c r="H7" s="18"/>
      <c r="I7" s="18"/>
      <c r="J7" s="18"/>
      <c r="K7" s="18"/>
      <c r="L7" s="18"/>
    </row>
    <row r="8" spans="1:12" s="19" customFormat="1">
      <c r="A8" s="31" t="s">
        <v>17</v>
      </c>
      <c r="B8" s="32"/>
      <c r="C8" s="28"/>
      <c r="D8" s="28">
        <f t="shared" si="0"/>
        <v>0</v>
      </c>
      <c r="E8" s="28"/>
      <c r="F8" s="29"/>
      <c r="G8" s="33">
        <v>0.13</v>
      </c>
      <c r="H8" s="18"/>
      <c r="I8" s="18"/>
      <c r="J8" s="18"/>
      <c r="K8" s="18"/>
      <c r="L8" s="18"/>
    </row>
    <row r="9" spans="1:12" s="19" customFormat="1">
      <c r="A9" s="31" t="s">
        <v>18</v>
      </c>
      <c r="B9" s="32"/>
      <c r="C9" s="28"/>
      <c r="D9" s="28">
        <f>B9-C9</f>
        <v>0</v>
      </c>
      <c r="E9" s="28"/>
      <c r="F9" s="29"/>
      <c r="G9" s="33">
        <v>0.13</v>
      </c>
      <c r="H9" s="18"/>
      <c r="I9" s="18"/>
      <c r="J9" s="18"/>
      <c r="K9" s="18"/>
      <c r="L9" s="18"/>
    </row>
    <row r="10" spans="1:12" s="19" customFormat="1">
      <c r="A10" s="31" t="s">
        <v>19</v>
      </c>
      <c r="B10" s="32">
        <f>238.9+87.35+20.15+33.9</f>
        <v>380.29999999999995</v>
      </c>
      <c r="C10" s="28">
        <f>179+87.35+20.15+33.9</f>
        <v>320.39999999999998</v>
      </c>
      <c r="D10" s="28">
        <f t="shared" si="0"/>
        <v>59.899999999999977</v>
      </c>
      <c r="E10" s="28"/>
      <c r="F10" s="29"/>
      <c r="G10" s="34">
        <v>349.51</v>
      </c>
      <c r="H10" s="18"/>
      <c r="I10" s="18"/>
      <c r="J10" s="18"/>
      <c r="K10" s="18"/>
      <c r="L10" s="18"/>
    </row>
    <row r="11" spans="1:12" s="19" customFormat="1">
      <c r="A11" s="31" t="s">
        <v>20</v>
      </c>
      <c r="B11" s="32"/>
      <c r="C11" s="28"/>
      <c r="D11" s="28">
        <f t="shared" si="0"/>
        <v>0</v>
      </c>
      <c r="E11" s="28"/>
      <c r="F11" s="29"/>
      <c r="G11" s="33">
        <v>1.31</v>
      </c>
      <c r="H11" s="18"/>
      <c r="I11" s="18"/>
      <c r="J11" s="18"/>
      <c r="K11" s="18"/>
      <c r="L11" s="18"/>
    </row>
    <row r="12" spans="1:12" s="19" customFormat="1">
      <c r="A12" s="31" t="s">
        <v>21</v>
      </c>
      <c r="B12" s="32">
        <f>273.58+87.721</f>
        <v>361.30099999999999</v>
      </c>
      <c r="C12" s="28">
        <f>198+152.34</f>
        <v>350.34000000000003</v>
      </c>
      <c r="D12" s="28">
        <f t="shared" si="0"/>
        <v>10.960999999999956</v>
      </c>
      <c r="E12" s="28"/>
      <c r="F12" s="29"/>
      <c r="G12" s="34">
        <v>177.51</v>
      </c>
      <c r="H12" s="18"/>
      <c r="I12" s="18"/>
      <c r="J12" s="18"/>
      <c r="K12" s="18"/>
      <c r="L12" s="18"/>
    </row>
    <row r="13" spans="1:12" s="19" customFormat="1">
      <c r="A13" s="31" t="s">
        <v>22</v>
      </c>
      <c r="B13" s="32"/>
      <c r="C13" s="28"/>
      <c r="D13" s="28">
        <f t="shared" si="0"/>
        <v>0</v>
      </c>
      <c r="E13" s="28"/>
      <c r="F13" s="29"/>
      <c r="G13" s="33">
        <v>0</v>
      </c>
      <c r="H13" s="18"/>
      <c r="I13" s="18"/>
      <c r="J13" s="18"/>
      <c r="K13" s="18"/>
      <c r="L13" s="18"/>
    </row>
    <row r="14" spans="1:12" s="19" customFormat="1">
      <c r="A14" s="31" t="s">
        <v>23</v>
      </c>
      <c r="B14" s="32">
        <f>1083.46+54.15</f>
        <v>1137.6100000000001</v>
      </c>
      <c r="C14" s="28">
        <f>1009.89+54.15</f>
        <v>1064.04</v>
      </c>
      <c r="D14" s="28">
        <f t="shared" si="0"/>
        <v>73.570000000000164</v>
      </c>
      <c r="E14" s="28"/>
      <c r="F14" s="29"/>
      <c r="G14" s="33">
        <v>28.29</v>
      </c>
      <c r="H14" s="18"/>
      <c r="I14" s="18"/>
      <c r="J14" s="18"/>
      <c r="K14" s="18"/>
      <c r="L14" s="18"/>
    </row>
    <row r="15" spans="1:12" s="19" customFormat="1">
      <c r="A15" s="31" t="s">
        <v>24</v>
      </c>
      <c r="B15" s="32"/>
      <c r="C15" s="28"/>
      <c r="D15" s="28">
        <f t="shared" si="0"/>
        <v>0</v>
      </c>
      <c r="E15" s="28"/>
      <c r="F15" s="29"/>
      <c r="G15" s="33">
        <v>0.5</v>
      </c>
      <c r="H15" s="18"/>
      <c r="I15" s="18"/>
      <c r="J15" s="18"/>
      <c r="K15" s="18"/>
      <c r="L15" s="18"/>
    </row>
    <row r="16" spans="1:12" s="19" customFormat="1">
      <c r="A16" s="31" t="s">
        <v>25</v>
      </c>
      <c r="B16" s="32"/>
      <c r="C16" s="28"/>
      <c r="D16" s="28">
        <f t="shared" si="0"/>
        <v>0</v>
      </c>
      <c r="E16" s="28"/>
      <c r="F16" s="35"/>
      <c r="G16" s="33">
        <v>50.17</v>
      </c>
      <c r="H16" s="18"/>
      <c r="I16" s="18"/>
      <c r="J16" s="18"/>
      <c r="K16" s="18"/>
      <c r="L16" s="18"/>
    </row>
    <row r="17" spans="1:12" s="19" customFormat="1">
      <c r="A17" s="26" t="s">
        <v>26</v>
      </c>
      <c r="B17" s="27"/>
      <c r="C17" s="28"/>
      <c r="D17" s="28">
        <f t="shared" si="0"/>
        <v>0</v>
      </c>
      <c r="E17" s="28"/>
      <c r="F17" s="35"/>
      <c r="G17" s="36">
        <v>0.35</v>
      </c>
      <c r="H17" s="18"/>
      <c r="I17" s="18"/>
      <c r="J17" s="18"/>
      <c r="K17" s="18"/>
      <c r="L17" s="18"/>
    </row>
    <row r="18" spans="1:12" s="19" customFormat="1">
      <c r="A18" s="26" t="s">
        <v>27</v>
      </c>
      <c r="B18" s="27">
        <f>72.67+304.56</f>
        <v>377.23</v>
      </c>
      <c r="C18" s="28">
        <f>72.67+290.76</f>
        <v>363.43</v>
      </c>
      <c r="D18" s="28">
        <f t="shared" si="0"/>
        <v>13.800000000000011</v>
      </c>
      <c r="E18" s="28"/>
      <c r="F18" s="35"/>
      <c r="G18" s="123">
        <v>77.180000000000007</v>
      </c>
      <c r="H18" s="18"/>
      <c r="I18" s="18"/>
      <c r="J18" s="18"/>
      <c r="K18" s="18"/>
      <c r="L18" s="18"/>
    </row>
    <row r="19" spans="1:12" s="19" customFormat="1">
      <c r="A19" s="26" t="s">
        <v>28</v>
      </c>
      <c r="B19" s="27"/>
      <c r="C19" s="28"/>
      <c r="D19" s="28">
        <f t="shared" si="0"/>
        <v>0</v>
      </c>
      <c r="E19" s="28"/>
      <c r="F19" s="35"/>
      <c r="G19" s="36">
        <v>0</v>
      </c>
      <c r="H19" s="18"/>
      <c r="I19" s="18"/>
      <c r="J19" s="18"/>
      <c r="K19" s="18"/>
      <c r="L19" s="18"/>
    </row>
    <row r="20" spans="1:12" s="19" customFormat="1">
      <c r="A20" s="26" t="s">
        <v>29</v>
      </c>
      <c r="B20" s="27"/>
      <c r="C20" s="28"/>
      <c r="D20" s="28">
        <f t="shared" si="0"/>
        <v>0</v>
      </c>
      <c r="E20" s="28"/>
      <c r="F20" s="37"/>
      <c r="G20" s="36">
        <v>18.95</v>
      </c>
      <c r="H20" s="18"/>
      <c r="I20" s="18"/>
      <c r="J20" s="18"/>
      <c r="K20" s="18"/>
      <c r="L20" s="18"/>
    </row>
    <row r="21" spans="1:12" s="19" customFormat="1">
      <c r="A21" s="26" t="s">
        <v>30</v>
      </c>
      <c r="B21" s="27"/>
      <c r="C21" s="28"/>
      <c r="D21" s="28">
        <f t="shared" si="0"/>
        <v>0</v>
      </c>
      <c r="E21" s="28"/>
      <c r="F21" s="37"/>
      <c r="G21" s="36">
        <v>0</v>
      </c>
      <c r="H21" s="18"/>
      <c r="I21" s="18"/>
      <c r="J21" s="18"/>
      <c r="K21" s="18"/>
      <c r="L21" s="18"/>
    </row>
    <row r="22" spans="1:12" s="19" customFormat="1">
      <c r="A22" s="26" t="s">
        <v>31</v>
      </c>
      <c r="B22" s="27"/>
      <c r="C22" s="28"/>
      <c r="D22" s="28">
        <f t="shared" si="0"/>
        <v>0</v>
      </c>
      <c r="E22" s="28"/>
      <c r="F22" s="29"/>
      <c r="G22" s="30">
        <v>2.87</v>
      </c>
      <c r="H22" s="18"/>
      <c r="I22" s="18"/>
      <c r="J22" s="18"/>
      <c r="K22" s="18"/>
      <c r="L22" s="18"/>
    </row>
    <row r="23" spans="1:12" s="19" customFormat="1">
      <c r="A23" s="31" t="s">
        <v>32</v>
      </c>
      <c r="B23" s="32">
        <f>62.8+1041.93+1063.32</f>
        <v>2168.0500000000002</v>
      </c>
      <c r="C23" s="28">
        <f>1044.79+1067.28</f>
        <v>2112.0699999999997</v>
      </c>
      <c r="D23" s="28">
        <f t="shared" si="0"/>
        <v>55.980000000000473</v>
      </c>
      <c r="E23" s="28"/>
      <c r="F23" s="29"/>
      <c r="G23" s="34">
        <v>315.17</v>
      </c>
      <c r="H23" s="18"/>
      <c r="I23" s="18"/>
      <c r="J23" s="18"/>
      <c r="K23" s="18"/>
      <c r="L23" s="18"/>
    </row>
    <row r="24" spans="1:12" s="19" customFormat="1" ht="12.75" customHeight="1">
      <c r="A24" s="38" t="s">
        <v>33</v>
      </c>
      <c r="B24" s="39">
        <f>25.93+334.92+363.3</f>
        <v>724.15000000000009</v>
      </c>
      <c r="C24" s="35">
        <v>0</v>
      </c>
      <c r="D24" s="40">
        <f t="shared" si="0"/>
        <v>724.15000000000009</v>
      </c>
      <c r="E24" s="28"/>
      <c r="F24" s="29"/>
      <c r="G24" s="41"/>
      <c r="H24" s="42"/>
      <c r="I24" s="18"/>
      <c r="J24" s="18"/>
      <c r="K24" s="18"/>
      <c r="L24" s="18"/>
    </row>
    <row r="25" spans="1:12" s="19" customFormat="1">
      <c r="A25" s="31" t="s">
        <v>34</v>
      </c>
      <c r="B25" s="32"/>
      <c r="C25" s="28"/>
      <c r="D25" s="28">
        <f t="shared" si="0"/>
        <v>0</v>
      </c>
      <c r="E25" s="28"/>
      <c r="F25" s="29"/>
      <c r="G25" s="33">
        <v>8.66</v>
      </c>
      <c r="H25" s="18"/>
      <c r="I25" s="18"/>
      <c r="J25" s="18"/>
      <c r="K25" s="18"/>
      <c r="L25" s="18"/>
    </row>
    <row r="26" spans="1:12" s="19" customFormat="1" ht="12.75" customHeight="1">
      <c r="A26" s="31" t="s">
        <v>35</v>
      </c>
      <c r="B26" s="39">
        <f>4.29+381.49+3.18+49.8+3.78+220.73</f>
        <v>663.27</v>
      </c>
      <c r="C26" s="35">
        <f>49.8+3.78+220.73</f>
        <v>274.31</v>
      </c>
      <c r="D26" s="40">
        <f t="shared" si="0"/>
        <v>388.96</v>
      </c>
      <c r="E26" s="28"/>
      <c r="F26" s="29"/>
      <c r="G26" s="33">
        <v>166.9</v>
      </c>
      <c r="H26" s="42"/>
      <c r="I26" s="18"/>
      <c r="J26" s="18"/>
      <c r="K26" s="18"/>
      <c r="L26" s="18"/>
    </row>
    <row r="27" spans="1:12" s="19" customFormat="1" ht="12.75" customHeight="1">
      <c r="A27" s="38" t="s">
        <v>36</v>
      </c>
      <c r="B27" s="39"/>
      <c r="C27" s="35"/>
      <c r="D27" s="28">
        <f t="shared" si="0"/>
        <v>0</v>
      </c>
      <c r="E27" s="28"/>
      <c r="F27" s="29"/>
      <c r="G27" s="41">
        <v>13.83</v>
      </c>
      <c r="H27" s="42"/>
      <c r="I27" s="18"/>
      <c r="J27" s="18"/>
      <c r="K27" s="18"/>
      <c r="L27" s="18"/>
    </row>
    <row r="28" spans="1:12" s="19" customFormat="1" ht="12.75" customHeight="1">
      <c r="A28" s="38" t="s">
        <v>37</v>
      </c>
      <c r="B28" s="39"/>
      <c r="C28" s="35"/>
      <c r="D28" s="28">
        <f t="shared" si="0"/>
        <v>0</v>
      </c>
      <c r="E28" s="28"/>
      <c r="F28" s="29"/>
      <c r="G28" s="41">
        <v>45.77</v>
      </c>
      <c r="H28" s="42"/>
      <c r="I28" s="18"/>
      <c r="J28" s="18"/>
      <c r="K28" s="18"/>
      <c r="L28" s="18"/>
    </row>
    <row r="29" spans="1:12" s="19" customFormat="1" ht="13.5" thickBot="1">
      <c r="A29" s="43" t="s">
        <v>38</v>
      </c>
      <c r="B29" s="44">
        <f>36.49+155.89+19+700.07</f>
        <v>911.45</v>
      </c>
      <c r="C29" s="44">
        <f>36.49+140.89+19+487.8</f>
        <v>684.18000000000006</v>
      </c>
      <c r="D29" s="45">
        <f t="shared" si="0"/>
        <v>227.26999999999998</v>
      </c>
      <c r="E29" s="46"/>
      <c r="F29" s="46"/>
      <c r="G29" s="124">
        <v>353.9</v>
      </c>
      <c r="H29" s="18"/>
      <c r="I29" s="18"/>
      <c r="J29" s="18"/>
      <c r="K29" s="18"/>
      <c r="L29" s="18"/>
    </row>
    <row r="30" spans="1:12" s="19" customFormat="1" ht="30.75" thickBot="1">
      <c r="A30" s="47" t="s">
        <v>39</v>
      </c>
      <c r="B30" s="2" t="s">
        <v>1</v>
      </c>
      <c r="C30" s="48" t="s">
        <v>10</v>
      </c>
      <c r="D30" s="4" t="s">
        <v>11</v>
      </c>
      <c r="E30" s="2" t="s">
        <v>4</v>
      </c>
      <c r="F30" s="2" t="s">
        <v>12</v>
      </c>
      <c r="G30" s="6" t="s">
        <v>13</v>
      </c>
      <c r="H30" s="49"/>
    </row>
    <row r="31" spans="1:12" s="19" customFormat="1" ht="15.75" thickBot="1">
      <c r="A31" s="9" t="s">
        <v>40</v>
      </c>
      <c r="B31" s="50">
        <f>792.4</f>
        <v>792.4</v>
      </c>
      <c r="C31" s="51">
        <f>761</f>
        <v>761</v>
      </c>
      <c r="D31" s="52">
        <f>B31-C31</f>
        <v>31.399999999999977</v>
      </c>
      <c r="E31" s="53"/>
      <c r="F31" s="54"/>
      <c r="G31" s="55">
        <v>28.33</v>
      </c>
      <c r="H31" s="18"/>
      <c r="I31" s="18"/>
      <c r="J31" s="18"/>
      <c r="K31" s="18"/>
      <c r="L31" s="18"/>
    </row>
    <row r="32" spans="1:12" s="19" customFormat="1" ht="30.75" thickBot="1">
      <c r="A32" s="47" t="s">
        <v>41</v>
      </c>
      <c r="B32" s="2" t="s">
        <v>1</v>
      </c>
      <c r="C32" s="48" t="s">
        <v>10</v>
      </c>
      <c r="D32" s="4" t="s">
        <v>11</v>
      </c>
      <c r="E32" s="2" t="s">
        <v>4</v>
      </c>
      <c r="F32" s="2" t="s">
        <v>12</v>
      </c>
      <c r="G32" s="6" t="s">
        <v>13</v>
      </c>
      <c r="H32" s="49"/>
    </row>
    <row r="33" spans="1:12" s="19" customFormat="1" ht="15">
      <c r="A33" s="9" t="s">
        <v>42</v>
      </c>
      <c r="B33" s="10">
        <f>736.77+20.15</f>
        <v>756.92</v>
      </c>
      <c r="C33" s="56">
        <f>541.95+20.15</f>
        <v>562.1</v>
      </c>
      <c r="D33" s="57">
        <f>B33-C33</f>
        <v>194.81999999999994</v>
      </c>
      <c r="E33" s="58"/>
      <c r="F33" s="21"/>
      <c r="G33" s="126">
        <v>241.54</v>
      </c>
      <c r="H33" s="18"/>
      <c r="I33" s="18"/>
      <c r="J33" s="18"/>
      <c r="K33" s="18"/>
      <c r="L33" s="18"/>
    </row>
    <row r="34" spans="1:12" s="19" customFormat="1" ht="17.25" customHeight="1">
      <c r="A34" s="31" t="s">
        <v>43</v>
      </c>
      <c r="B34" s="32">
        <v>125</v>
      </c>
      <c r="C34" s="59">
        <v>125</v>
      </c>
      <c r="D34" s="35">
        <f>B34-C34</f>
        <v>0</v>
      </c>
      <c r="E34" s="39"/>
      <c r="F34" s="32"/>
      <c r="G34" s="33">
        <v>77.849999999999994</v>
      </c>
      <c r="H34" s="18"/>
      <c r="I34" s="18"/>
      <c r="J34" s="18"/>
      <c r="K34" s="18"/>
      <c r="L34" s="18"/>
    </row>
    <row r="35" spans="1:12" s="19" customFormat="1" ht="12.75" customHeight="1">
      <c r="A35" s="60" t="s">
        <v>44</v>
      </c>
      <c r="B35" s="39">
        <f>546.11+620.19</f>
        <v>1166.3000000000002</v>
      </c>
      <c r="C35" s="35">
        <f>129.1+646.46</f>
        <v>775.56000000000006</v>
      </c>
      <c r="D35" s="35">
        <f>B35-C35</f>
        <v>390.74000000000012</v>
      </c>
      <c r="E35" s="39"/>
      <c r="F35" s="32"/>
      <c r="G35" s="34">
        <v>529.79</v>
      </c>
      <c r="H35" s="18"/>
      <c r="I35" s="18"/>
      <c r="J35" s="18"/>
      <c r="K35" s="18"/>
      <c r="L35" s="18"/>
    </row>
    <row r="36" spans="1:12" s="19" customFormat="1">
      <c r="A36" s="38" t="s">
        <v>45</v>
      </c>
      <c r="B36" s="44">
        <f>211.08+282.64+2571.28</f>
        <v>3065</v>
      </c>
      <c r="C36" s="44">
        <f>2571.28+211.08+282.64</f>
        <v>3065</v>
      </c>
      <c r="D36" s="45">
        <f>B36-C36</f>
        <v>0</v>
      </c>
      <c r="E36" s="61"/>
      <c r="F36" s="62"/>
      <c r="G36" s="125">
        <v>1564.56</v>
      </c>
      <c r="K36" s="18"/>
      <c r="L36" s="18"/>
    </row>
    <row r="37" spans="1:12" s="19" customFormat="1">
      <c r="A37" s="38" t="s">
        <v>46</v>
      </c>
      <c r="B37" s="39">
        <f>43.68+245.16+94.28+157.67+263.9</f>
        <v>804.68999999999994</v>
      </c>
      <c r="C37" s="35">
        <f>6.47+37.21+18.83+226.33+31.58+65.05+5.76+216.26+272.1</f>
        <v>879.59</v>
      </c>
      <c r="D37" s="35">
        <f>B37-C37</f>
        <v>-74.900000000000091</v>
      </c>
      <c r="E37" s="61"/>
      <c r="F37" s="62"/>
      <c r="G37" s="63">
        <v>284.61</v>
      </c>
      <c r="K37" s="18"/>
      <c r="L37" s="18"/>
    </row>
    <row r="38" spans="1:12" s="19" customFormat="1" ht="13.5" thickBot="1">
      <c r="A38" s="43" t="s">
        <v>47</v>
      </c>
      <c r="B38" s="64">
        <v>3608.8</v>
      </c>
      <c r="C38" s="65">
        <v>0</v>
      </c>
      <c r="D38" s="64">
        <f>B38</f>
        <v>3608.8</v>
      </c>
      <c r="E38" s="66"/>
      <c r="F38" s="67"/>
      <c r="G38" s="127">
        <v>1639.12</v>
      </c>
      <c r="K38" s="18"/>
      <c r="L38" s="18"/>
    </row>
    <row r="39" spans="1:12" ht="34.5" customHeight="1" thickBot="1">
      <c r="A39" s="47" t="s">
        <v>48</v>
      </c>
      <c r="B39" s="2" t="s">
        <v>1</v>
      </c>
      <c r="C39" s="48" t="s">
        <v>10</v>
      </c>
      <c r="D39" s="4" t="s">
        <v>11</v>
      </c>
      <c r="E39" s="2" t="s">
        <v>4</v>
      </c>
      <c r="F39" s="5" t="s">
        <v>5</v>
      </c>
      <c r="G39" s="68"/>
      <c r="H39" s="18"/>
      <c r="I39" s="18"/>
      <c r="J39" s="18"/>
      <c r="K39" s="18"/>
      <c r="L39" s="18"/>
    </row>
    <row r="40" spans="1:12" ht="19.5" customHeight="1" thickBot="1">
      <c r="A40" s="9" t="s">
        <v>49</v>
      </c>
      <c r="B40" s="69"/>
      <c r="C40" s="69"/>
      <c r="D40" s="70">
        <f>B40-C40</f>
        <v>0</v>
      </c>
      <c r="E40" s="71"/>
      <c r="F40" s="72"/>
      <c r="G40" s="68"/>
    </row>
    <row r="41" spans="1:12" ht="19.5" customHeight="1" thickBot="1">
      <c r="A41" s="47" t="s">
        <v>50</v>
      </c>
      <c r="B41" s="73" t="s">
        <v>51</v>
      </c>
      <c r="C41" s="68"/>
      <c r="D41" s="68"/>
      <c r="E41" s="68"/>
      <c r="F41" s="68"/>
      <c r="G41" s="68"/>
      <c r="H41" s="18"/>
      <c r="I41" s="18"/>
      <c r="J41" s="18"/>
      <c r="K41" s="18"/>
      <c r="L41" s="18"/>
    </row>
    <row r="42" spans="1:12" ht="30" customHeight="1">
      <c r="A42" s="74" t="s">
        <v>52</v>
      </c>
      <c r="B42" s="75"/>
      <c r="C42" s="68"/>
      <c r="D42" s="68"/>
      <c r="E42" s="68"/>
      <c r="F42" s="68"/>
      <c r="G42" s="68"/>
    </row>
    <row r="43" spans="1:12" ht="15">
      <c r="A43" s="76" t="s">
        <v>53</v>
      </c>
      <c r="B43" s="77">
        <v>2.63</v>
      </c>
      <c r="C43" s="68"/>
      <c r="D43" s="68"/>
      <c r="E43" s="68"/>
      <c r="F43" s="68"/>
      <c r="G43" s="68"/>
    </row>
    <row r="44" spans="1:12" ht="15">
      <c r="A44" s="76" t="s">
        <v>54</v>
      </c>
      <c r="B44" s="77">
        <v>1.25</v>
      </c>
      <c r="C44" s="68"/>
      <c r="D44" s="68"/>
      <c r="E44" s="68"/>
      <c r="F44" s="68"/>
      <c r="G44" s="68"/>
    </row>
    <row r="45" spans="1:12" ht="15">
      <c r="A45" s="76" t="s">
        <v>55</v>
      </c>
      <c r="B45" s="77"/>
      <c r="C45" s="68"/>
      <c r="D45" s="68"/>
      <c r="E45" s="68"/>
      <c r="F45" s="68"/>
      <c r="G45" s="68"/>
    </row>
    <row r="46" spans="1:12" ht="15">
      <c r="A46" s="31" t="s">
        <v>56</v>
      </c>
      <c r="B46" s="77"/>
      <c r="C46" s="68"/>
      <c r="D46" s="68"/>
      <c r="E46" s="68"/>
      <c r="F46" s="68"/>
      <c r="G46" s="68"/>
    </row>
    <row r="47" spans="1:12" ht="15">
      <c r="A47" s="31" t="s">
        <v>188</v>
      </c>
      <c r="B47" s="77">
        <v>0.12</v>
      </c>
      <c r="C47" s="68"/>
      <c r="D47" s="68"/>
      <c r="E47" s="68"/>
      <c r="F47" s="68"/>
      <c r="G47" s="68"/>
    </row>
    <row r="48" spans="1:12" ht="25.5">
      <c r="A48" s="78" t="s">
        <v>57</v>
      </c>
      <c r="B48" s="77"/>
      <c r="C48" s="68"/>
      <c r="D48" s="68"/>
      <c r="E48" s="68"/>
      <c r="F48" s="68"/>
      <c r="G48" s="68"/>
    </row>
    <row r="49" spans="1:12" ht="25.5">
      <c r="A49" s="78" t="s">
        <v>58</v>
      </c>
      <c r="B49" s="77"/>
      <c r="C49" s="68"/>
      <c r="D49" s="68"/>
      <c r="E49" s="68"/>
      <c r="F49" s="68"/>
      <c r="G49" s="68"/>
    </row>
    <row r="50" spans="1:12" ht="25.5">
      <c r="A50" s="78" t="s">
        <v>59</v>
      </c>
      <c r="B50" s="77"/>
      <c r="C50" s="68"/>
      <c r="D50" s="68"/>
      <c r="E50" s="68"/>
      <c r="F50" s="68"/>
      <c r="G50" s="68"/>
    </row>
    <row r="51" spans="1:12" ht="15">
      <c r="A51" s="26" t="s">
        <v>60</v>
      </c>
      <c r="B51" s="77"/>
      <c r="C51" s="68"/>
      <c r="D51" s="68"/>
      <c r="E51" s="68"/>
      <c r="F51" s="68"/>
      <c r="G51" s="68"/>
    </row>
    <row r="52" spans="1:12" ht="14.25" customHeight="1">
      <c r="A52" s="76" t="s">
        <v>61</v>
      </c>
      <c r="B52" s="77"/>
      <c r="C52" s="68"/>
      <c r="D52" s="68"/>
      <c r="E52" s="68"/>
      <c r="F52" s="68"/>
      <c r="G52" s="68"/>
    </row>
    <row r="53" spans="1:12" ht="26.25" customHeight="1">
      <c r="A53" s="76" t="s">
        <v>62</v>
      </c>
      <c r="B53" s="77"/>
      <c r="C53" s="68"/>
      <c r="D53" s="68"/>
      <c r="E53" s="68"/>
      <c r="F53" s="68"/>
      <c r="G53" s="68"/>
    </row>
    <row r="54" spans="1:12" ht="33" customHeight="1">
      <c r="A54" s="76" t="s">
        <v>63</v>
      </c>
      <c r="B54" s="77"/>
      <c r="C54" s="68"/>
      <c r="D54" s="68"/>
      <c r="E54" s="68"/>
      <c r="F54" s="68"/>
      <c r="G54" s="68"/>
      <c r="J54" s="18"/>
      <c r="K54" s="18"/>
      <c r="L54" s="18"/>
    </row>
    <row r="55" spans="1:12" ht="32.25" customHeight="1">
      <c r="A55" s="76" t="s">
        <v>64</v>
      </c>
      <c r="B55" s="77"/>
      <c r="C55" s="68"/>
      <c r="D55" s="68"/>
      <c r="E55" s="68"/>
      <c r="F55" s="68"/>
      <c r="G55" s="68"/>
    </row>
    <row r="56" spans="1:12" ht="31.5" customHeight="1">
      <c r="A56" s="76" t="s">
        <v>65</v>
      </c>
      <c r="B56" s="77"/>
      <c r="C56" s="68"/>
      <c r="D56" s="68"/>
      <c r="E56" s="68"/>
      <c r="F56" s="68"/>
      <c r="G56" s="68"/>
    </row>
    <row r="57" spans="1:12" s="19" customFormat="1" ht="15">
      <c r="A57" s="76" t="s">
        <v>66</v>
      </c>
      <c r="B57" s="77"/>
      <c r="C57" s="68"/>
      <c r="D57" s="68"/>
      <c r="E57" s="68"/>
      <c r="F57" s="68"/>
      <c r="G57" s="68"/>
      <c r="H57" s="8"/>
      <c r="I57" s="8"/>
      <c r="J57" s="18"/>
      <c r="K57" s="18"/>
      <c r="L57" s="18"/>
    </row>
    <row r="58" spans="1:12" s="19" customFormat="1" ht="15">
      <c r="A58" s="76" t="s">
        <v>67</v>
      </c>
      <c r="B58" s="77"/>
      <c r="C58" s="68"/>
      <c r="D58" s="68"/>
      <c r="E58" s="68"/>
      <c r="F58" s="68"/>
      <c r="G58" s="68"/>
      <c r="H58" s="8"/>
      <c r="I58" s="8"/>
      <c r="J58" s="18"/>
      <c r="K58" s="18"/>
      <c r="L58" s="18"/>
    </row>
    <row r="59" spans="1:12" s="19" customFormat="1" ht="15">
      <c r="A59" s="76" t="s">
        <v>68</v>
      </c>
      <c r="B59" s="77"/>
      <c r="C59" s="68"/>
      <c r="D59" s="68"/>
      <c r="E59" s="68"/>
      <c r="F59" s="68"/>
      <c r="G59" s="68"/>
      <c r="H59" s="8"/>
      <c r="I59" s="8"/>
      <c r="J59" s="18"/>
      <c r="K59" s="18"/>
      <c r="L59" s="18"/>
    </row>
    <row r="60" spans="1:12" s="19" customFormat="1" ht="15">
      <c r="A60" s="76" t="s">
        <v>69</v>
      </c>
      <c r="B60" s="77"/>
      <c r="C60" s="68"/>
      <c r="D60" s="68"/>
      <c r="E60" s="68"/>
      <c r="F60" s="68"/>
      <c r="G60" s="68"/>
      <c r="H60" s="8"/>
      <c r="I60" s="8"/>
      <c r="J60" s="18"/>
      <c r="K60" s="18"/>
      <c r="L60" s="18"/>
    </row>
    <row r="61" spans="1:12" s="19" customFormat="1" ht="15">
      <c r="A61" s="78" t="s">
        <v>70</v>
      </c>
      <c r="B61" s="77"/>
      <c r="C61" s="68"/>
      <c r="D61" s="68"/>
      <c r="E61" s="68"/>
      <c r="F61" s="68"/>
      <c r="G61" s="68"/>
      <c r="H61" s="8"/>
      <c r="I61" s="8"/>
      <c r="J61" s="18"/>
      <c r="K61" s="18"/>
      <c r="L61" s="18"/>
    </row>
    <row r="62" spans="1:12" s="19" customFormat="1" ht="25.5">
      <c r="A62" s="78" t="s">
        <v>71</v>
      </c>
      <c r="B62" s="77"/>
      <c r="C62" s="68"/>
      <c r="D62" s="68"/>
      <c r="E62" s="68"/>
      <c r="F62" s="68"/>
      <c r="G62" s="68"/>
      <c r="H62" s="8"/>
      <c r="I62" s="8"/>
      <c r="J62" s="18"/>
      <c r="K62" s="18"/>
      <c r="L62" s="18"/>
    </row>
    <row r="63" spans="1:12" ht="15">
      <c r="A63" s="79" t="s">
        <v>72</v>
      </c>
      <c r="B63" s="77"/>
      <c r="C63" s="68"/>
      <c r="D63" s="68"/>
      <c r="E63" s="68"/>
      <c r="F63" s="68"/>
      <c r="G63" s="68"/>
    </row>
    <row r="64" spans="1:12" ht="15">
      <c r="A64" s="38" t="s">
        <v>73</v>
      </c>
      <c r="B64" s="77"/>
      <c r="C64" s="68"/>
      <c r="D64" s="68"/>
      <c r="E64" s="68"/>
      <c r="F64" s="68"/>
      <c r="G64" s="68"/>
    </row>
    <row r="65" spans="1:12" ht="15">
      <c r="A65" s="78" t="s">
        <v>74</v>
      </c>
      <c r="B65" s="77"/>
      <c r="C65" s="68"/>
      <c r="D65" s="68"/>
      <c r="E65" s="68"/>
      <c r="F65" s="68"/>
      <c r="G65" s="68"/>
    </row>
    <row r="66" spans="1:12" ht="15">
      <c r="A66" s="78" t="s">
        <v>75</v>
      </c>
      <c r="B66" s="77"/>
      <c r="C66" s="68"/>
      <c r="D66" s="68"/>
      <c r="E66" s="68"/>
      <c r="F66" s="68"/>
      <c r="G66" s="68"/>
    </row>
    <row r="67" spans="1:12" s="19" customFormat="1" ht="15">
      <c r="A67" s="78" t="s">
        <v>76</v>
      </c>
      <c r="B67" s="77"/>
      <c r="C67" s="68"/>
      <c r="D67" s="68"/>
      <c r="E67" s="68"/>
      <c r="F67" s="68"/>
      <c r="G67" s="68"/>
      <c r="H67" s="18"/>
      <c r="I67" s="18"/>
      <c r="J67" s="8"/>
      <c r="K67" s="8"/>
      <c r="L67" s="8"/>
    </row>
    <row r="68" spans="1:12" ht="15">
      <c r="A68" s="78" t="s">
        <v>77</v>
      </c>
      <c r="B68" s="77"/>
      <c r="C68" s="68"/>
      <c r="D68" s="68"/>
      <c r="E68" s="68"/>
      <c r="F68" s="68"/>
      <c r="G68" s="68"/>
      <c r="H68" s="18"/>
      <c r="I68" s="18"/>
    </row>
    <row r="69" spans="1:12" ht="15">
      <c r="A69" s="78" t="s">
        <v>78</v>
      </c>
      <c r="B69" s="77">
        <v>14.88</v>
      </c>
      <c r="C69" s="68"/>
      <c r="D69" s="68"/>
      <c r="E69" s="68"/>
      <c r="F69" s="68"/>
      <c r="G69" s="68"/>
    </row>
    <row r="70" spans="1:12" ht="15">
      <c r="A70" s="78" t="s">
        <v>79</v>
      </c>
      <c r="B70" s="77">
        <v>19.66</v>
      </c>
      <c r="C70" s="68"/>
      <c r="D70" s="68"/>
      <c r="E70" s="68"/>
      <c r="F70" s="68"/>
      <c r="G70" s="68"/>
    </row>
    <row r="71" spans="1:12" ht="15">
      <c r="A71" s="78" t="s">
        <v>80</v>
      </c>
      <c r="B71" s="77">
        <v>18.329999999999998</v>
      </c>
      <c r="C71" s="68"/>
      <c r="D71" s="68"/>
      <c r="E71" s="68"/>
      <c r="F71" s="68"/>
      <c r="G71" s="68"/>
    </row>
    <row r="72" spans="1:12" ht="15">
      <c r="A72" s="78" t="s">
        <v>81</v>
      </c>
      <c r="B72" s="122">
        <v>100.61</v>
      </c>
      <c r="C72" s="80"/>
      <c r="D72" s="81"/>
      <c r="E72" s="82"/>
      <c r="F72" s="82"/>
    </row>
    <row r="73" spans="1:12" ht="15">
      <c r="A73" s="78" t="s">
        <v>82</v>
      </c>
      <c r="B73" s="77"/>
      <c r="C73" s="80"/>
      <c r="D73" s="81"/>
      <c r="E73" s="82"/>
      <c r="F73" s="82"/>
    </row>
    <row r="74" spans="1:12" ht="15">
      <c r="A74" s="78" t="s">
        <v>83</v>
      </c>
      <c r="B74" s="77"/>
      <c r="C74" s="80"/>
      <c r="D74" s="81"/>
      <c r="E74" s="82"/>
      <c r="F74" s="82"/>
    </row>
    <row r="75" spans="1:12" ht="15">
      <c r="A75" s="78" t="s">
        <v>84</v>
      </c>
      <c r="B75" s="77"/>
      <c r="C75" s="80"/>
      <c r="D75" s="81"/>
      <c r="E75" s="82"/>
      <c r="F75" s="82"/>
    </row>
    <row r="76" spans="1:12" ht="15">
      <c r="A76" s="78" t="s">
        <v>85</v>
      </c>
      <c r="B76" s="77"/>
      <c r="C76" s="80"/>
      <c r="D76" s="81"/>
      <c r="E76" s="82"/>
      <c r="F76" s="82"/>
    </row>
    <row r="77" spans="1:12" ht="15">
      <c r="A77" s="78" t="s">
        <v>86</v>
      </c>
      <c r="B77" s="77"/>
      <c r="C77" s="80"/>
      <c r="D77" s="81"/>
      <c r="E77" s="82"/>
      <c r="F77" s="82"/>
    </row>
    <row r="78" spans="1:12" ht="15">
      <c r="A78" s="78" t="s">
        <v>87</v>
      </c>
      <c r="B78" s="77"/>
      <c r="C78" s="80"/>
      <c r="D78" s="81"/>
      <c r="E78" s="82"/>
      <c r="F78" s="82"/>
    </row>
    <row r="79" spans="1:12" ht="25.5">
      <c r="A79" s="78" t="s">
        <v>88</v>
      </c>
      <c r="B79" s="77"/>
      <c r="C79" s="80"/>
      <c r="D79" s="81"/>
      <c r="E79" s="82"/>
      <c r="F79" s="82"/>
    </row>
    <row r="80" spans="1:12" ht="25.5">
      <c r="A80" s="78" t="s">
        <v>89</v>
      </c>
      <c r="B80" s="77"/>
      <c r="C80" s="80"/>
      <c r="D80" s="81"/>
      <c r="E80" s="82"/>
      <c r="F80" s="82"/>
    </row>
    <row r="81" spans="1:12" ht="25.5">
      <c r="A81" s="78" t="s">
        <v>90</v>
      </c>
      <c r="B81" s="77"/>
      <c r="C81" s="80"/>
      <c r="D81" s="81"/>
      <c r="E81" s="82"/>
      <c r="F81" s="82"/>
    </row>
    <row r="82" spans="1:12" ht="15">
      <c r="A82" s="78" t="s">
        <v>91</v>
      </c>
      <c r="B82" s="77"/>
      <c r="C82" s="80"/>
      <c r="D82" s="81"/>
      <c r="E82" s="82"/>
      <c r="F82" s="82"/>
    </row>
    <row r="83" spans="1:12" ht="15">
      <c r="A83" s="78" t="s">
        <v>92</v>
      </c>
      <c r="B83" s="77"/>
      <c r="C83" s="80"/>
      <c r="D83" s="81"/>
      <c r="E83" s="82"/>
      <c r="F83" s="82"/>
    </row>
    <row r="84" spans="1:12" ht="15">
      <c r="A84" s="84" t="s">
        <v>93</v>
      </c>
      <c r="B84" s="77">
        <v>1.67</v>
      </c>
      <c r="C84" s="80"/>
      <c r="D84" s="81"/>
      <c r="E84" s="82"/>
      <c r="F84" s="82"/>
    </row>
    <row r="85" spans="1:12" ht="15">
      <c r="A85" s="84" t="s">
        <v>94</v>
      </c>
      <c r="B85" s="77">
        <v>20</v>
      </c>
      <c r="C85" s="80"/>
      <c r="D85" s="81"/>
      <c r="E85" s="82"/>
      <c r="F85" s="82"/>
    </row>
    <row r="86" spans="1:12" ht="15">
      <c r="A86" s="84" t="s">
        <v>95</v>
      </c>
      <c r="B86" s="77"/>
      <c r="C86" s="80"/>
      <c r="D86" s="81"/>
      <c r="E86" s="82"/>
      <c r="F86" s="82"/>
    </row>
    <row r="87" spans="1:12" ht="15">
      <c r="A87" s="84" t="s">
        <v>96</v>
      </c>
      <c r="B87" s="77"/>
      <c r="C87" s="80"/>
      <c r="D87" s="81"/>
      <c r="E87" s="82"/>
      <c r="F87" s="82"/>
    </row>
    <row r="88" spans="1:12" ht="15">
      <c r="A88" s="84" t="s">
        <v>97</v>
      </c>
      <c r="B88" s="77">
        <v>0.08</v>
      </c>
      <c r="C88" s="80"/>
      <c r="D88" s="81"/>
      <c r="E88" s="82"/>
      <c r="F88" s="82"/>
    </row>
    <row r="89" spans="1:12" ht="25.5">
      <c r="A89" s="85" t="s">
        <v>98</v>
      </c>
      <c r="B89" s="77">
        <v>0.12</v>
      </c>
      <c r="C89" s="80"/>
      <c r="D89" s="81"/>
      <c r="E89" s="82"/>
      <c r="F89" s="82"/>
    </row>
    <row r="90" spans="1:12" ht="26.25" thickBot="1">
      <c r="A90" s="86" t="s">
        <v>99</v>
      </c>
      <c r="B90" s="87">
        <v>0.63</v>
      </c>
      <c r="C90" s="80"/>
      <c r="D90" s="81"/>
      <c r="E90" s="82"/>
      <c r="F90" s="82"/>
    </row>
    <row r="91" spans="1:12" ht="15.75" thickBot="1">
      <c r="A91" s="88"/>
      <c r="B91" s="89"/>
      <c r="C91" s="80"/>
      <c r="D91" s="81"/>
      <c r="E91" s="82"/>
      <c r="F91" s="82"/>
    </row>
    <row r="92" spans="1:12" s="19" customFormat="1" ht="15.75" thickBot="1">
      <c r="A92" s="90" t="s">
        <v>100</v>
      </c>
      <c r="B92" s="91">
        <f>SUM(B2:B40)</f>
        <v>18392.871000000003</v>
      </c>
      <c r="C92" s="92"/>
      <c r="D92" s="93"/>
      <c r="E92" s="68"/>
      <c r="F92" s="68"/>
      <c r="G92" s="93"/>
      <c r="H92" s="18"/>
      <c r="I92" s="18"/>
      <c r="J92" s="18"/>
      <c r="K92" s="18"/>
      <c r="L92" s="18"/>
    </row>
    <row r="93" spans="1:12" s="19" customFormat="1" ht="15.75" thickBot="1">
      <c r="A93" s="94" t="s">
        <v>101</v>
      </c>
      <c r="B93" s="95">
        <f>SUM(G2:G38)</f>
        <v>6360.41</v>
      </c>
      <c r="C93" s="93"/>
      <c r="D93" s="93"/>
      <c r="E93" s="68"/>
      <c r="F93" s="68"/>
      <c r="G93" s="96"/>
      <c r="H93" s="18"/>
      <c r="I93" s="18"/>
      <c r="J93" s="18"/>
      <c r="K93" s="18"/>
      <c r="L93" s="18"/>
    </row>
    <row r="94" spans="1:12" ht="15.75" thickBot="1">
      <c r="A94" s="97" t="s">
        <v>102</v>
      </c>
      <c r="B94" s="91">
        <f>SUM(B42:B90)</f>
        <v>179.98000000000002</v>
      </c>
      <c r="C94" s="80"/>
      <c r="D94" s="81"/>
      <c r="E94" s="82"/>
      <c r="F94" s="82"/>
    </row>
    <row r="95" spans="1:12" ht="15.75" thickBot="1">
      <c r="A95" s="98" t="s">
        <v>103</v>
      </c>
      <c r="B95" s="91">
        <f>B92+B93+B94</f>
        <v>24933.261000000002</v>
      </c>
      <c r="C95" s="80"/>
      <c r="D95" s="81"/>
    </row>
    <row r="96" spans="1:12">
      <c r="B96" s="80"/>
      <c r="C96" s="80"/>
      <c r="D96" s="81"/>
    </row>
    <row r="97" spans="1:12">
      <c r="B97" s="80"/>
      <c r="C97" s="80"/>
      <c r="D97" s="81"/>
    </row>
    <row r="98" spans="1:12">
      <c r="B98" s="80"/>
      <c r="C98" s="80"/>
      <c r="D98" s="80"/>
    </row>
    <row r="99" spans="1:12">
      <c r="B99" s="80"/>
      <c r="C99" s="80"/>
      <c r="D99" s="80"/>
    </row>
    <row r="100" spans="1:12">
      <c r="B100" s="80"/>
      <c r="C100" s="80"/>
      <c r="D100" s="80"/>
    </row>
    <row r="101" spans="1:12">
      <c r="B101" s="80"/>
      <c r="C101" s="80"/>
      <c r="D101" s="80"/>
    </row>
    <row r="102" spans="1:12" s="80" customFormat="1">
      <c r="A102" s="8"/>
      <c r="G102" s="83"/>
      <c r="H102" s="8"/>
      <c r="I102" s="8"/>
      <c r="J102" s="8"/>
      <c r="K102" s="8"/>
      <c r="L102" s="8"/>
    </row>
    <row r="103" spans="1:12" s="80" customFormat="1">
      <c r="A103" s="8"/>
      <c r="G103" s="83"/>
      <c r="H103" s="8"/>
      <c r="I103" s="8"/>
      <c r="J103" s="8"/>
      <c r="K103" s="8"/>
      <c r="L103" s="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09"/>
  <sheetViews>
    <sheetView topLeftCell="A31" workbookViewId="0">
      <selection activeCell="A47" sqref="A47"/>
    </sheetView>
  </sheetViews>
  <sheetFormatPr defaultColWidth="19.7109375" defaultRowHeight="12.75"/>
  <cols>
    <col min="1" max="1" width="31.5703125" style="8" customWidth="1"/>
    <col min="2" max="2" width="22.7109375" style="8" customWidth="1"/>
    <col min="3" max="3" width="22" style="8" customWidth="1"/>
    <col min="4" max="4" width="22.140625" style="8" customWidth="1"/>
    <col min="5" max="5" width="21.7109375" style="80" customWidth="1"/>
    <col min="6" max="6" width="24.85546875" style="80" customWidth="1"/>
    <col min="7" max="7" width="24.28515625" style="83" customWidth="1"/>
    <col min="8" max="16384" width="19.7109375" style="8"/>
  </cols>
  <sheetData>
    <row r="1" spans="1:12" ht="30.75" thickBo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6" t="s">
        <v>6</v>
      </c>
      <c r="H1" s="7"/>
    </row>
    <row r="2" spans="1:12">
      <c r="A2" s="9" t="s">
        <v>7</v>
      </c>
      <c r="B2" s="10">
        <f>651.07+596.15</f>
        <v>1247.22</v>
      </c>
      <c r="C2" s="10">
        <f>446.97+596.15</f>
        <v>1043.1199999999999</v>
      </c>
      <c r="D2" s="11">
        <f>B2-C2</f>
        <v>204.10000000000014</v>
      </c>
      <c r="E2" s="12"/>
      <c r="F2" s="10"/>
      <c r="G2" s="13">
        <v>17.46</v>
      </c>
    </row>
    <row r="3" spans="1:12" s="19" customFormat="1" ht="13.5" thickBot="1">
      <c r="A3" s="14" t="s">
        <v>8</v>
      </c>
      <c r="B3" s="15"/>
      <c r="C3" s="15"/>
      <c r="D3" s="16">
        <f>B3-C3</f>
        <v>0</v>
      </c>
      <c r="E3" s="15"/>
      <c r="F3" s="15"/>
      <c r="G3" s="17">
        <v>54.98</v>
      </c>
      <c r="H3" s="18"/>
      <c r="I3" s="18"/>
      <c r="J3" s="18"/>
      <c r="K3" s="18"/>
      <c r="L3" s="18"/>
    </row>
    <row r="4" spans="1:12" ht="30">
      <c r="A4" s="20" t="s">
        <v>9</v>
      </c>
      <c r="B4" s="21" t="s">
        <v>1</v>
      </c>
      <c r="C4" s="22" t="s">
        <v>10</v>
      </c>
      <c r="D4" s="23" t="s">
        <v>11</v>
      </c>
      <c r="E4" s="21" t="s">
        <v>4</v>
      </c>
      <c r="F4" s="21" t="s">
        <v>12</v>
      </c>
      <c r="G4" s="24" t="s">
        <v>13</v>
      </c>
      <c r="H4" s="25"/>
    </row>
    <row r="5" spans="1:12" s="19" customFormat="1">
      <c r="A5" s="26" t="s">
        <v>14</v>
      </c>
      <c r="B5" s="27"/>
      <c r="C5" s="28"/>
      <c r="D5" s="28">
        <f t="shared" ref="D5:D34" si="0">B5-C5</f>
        <v>0</v>
      </c>
      <c r="E5" s="28"/>
      <c r="F5" s="29"/>
      <c r="G5" s="30">
        <v>19.97</v>
      </c>
      <c r="H5" s="18"/>
      <c r="I5" s="18"/>
      <c r="J5" s="18"/>
      <c r="K5" s="18"/>
      <c r="L5" s="18"/>
    </row>
    <row r="6" spans="1:12" s="19" customFormat="1">
      <c r="A6" s="26" t="s">
        <v>15</v>
      </c>
      <c r="B6" s="27"/>
      <c r="C6" s="28"/>
      <c r="D6" s="28">
        <f>B6-C6</f>
        <v>0</v>
      </c>
      <c r="E6" s="28"/>
      <c r="F6" s="29"/>
      <c r="G6" s="30">
        <v>146.38999999999999</v>
      </c>
      <c r="H6" s="18"/>
      <c r="I6" s="18"/>
      <c r="J6" s="18"/>
      <c r="K6" s="18"/>
      <c r="L6" s="18"/>
    </row>
    <row r="7" spans="1:12" s="19" customFormat="1" ht="13.5" customHeight="1">
      <c r="A7" s="31" t="s">
        <v>16</v>
      </c>
      <c r="B7" s="32"/>
      <c r="C7" s="28"/>
      <c r="D7" s="28">
        <f t="shared" si="0"/>
        <v>0</v>
      </c>
      <c r="E7" s="28"/>
      <c r="F7" s="29"/>
      <c r="G7" s="33">
        <v>22.32</v>
      </c>
      <c r="H7" s="18"/>
      <c r="I7" s="18"/>
      <c r="J7" s="18"/>
      <c r="K7" s="18"/>
      <c r="L7" s="18"/>
    </row>
    <row r="8" spans="1:12" s="19" customFormat="1">
      <c r="A8" s="31" t="s">
        <v>17</v>
      </c>
      <c r="B8" s="32"/>
      <c r="C8" s="28"/>
      <c r="D8" s="28">
        <f t="shared" si="0"/>
        <v>0</v>
      </c>
      <c r="E8" s="28"/>
      <c r="F8" s="29"/>
      <c r="G8" s="33">
        <v>0.19</v>
      </c>
      <c r="H8" s="18"/>
      <c r="I8" s="18"/>
      <c r="J8" s="18"/>
      <c r="K8" s="18"/>
      <c r="L8" s="18"/>
    </row>
    <row r="9" spans="1:12" s="19" customFormat="1">
      <c r="A9" s="31" t="s">
        <v>18</v>
      </c>
      <c r="B9" s="32">
        <v>136.55000000000001</v>
      </c>
      <c r="C9" s="28">
        <v>0</v>
      </c>
      <c r="D9" s="28">
        <f>B9-C9</f>
        <v>136.55000000000001</v>
      </c>
      <c r="E9" s="28"/>
      <c r="F9" s="29"/>
      <c r="G9" s="33">
        <v>198.5</v>
      </c>
      <c r="H9" s="18"/>
      <c r="I9" s="18"/>
      <c r="J9" s="18"/>
      <c r="K9" s="18"/>
      <c r="L9" s="18"/>
    </row>
    <row r="10" spans="1:12" s="19" customFormat="1">
      <c r="A10" s="31" t="s">
        <v>20</v>
      </c>
      <c r="B10" s="32"/>
      <c r="C10" s="28"/>
      <c r="D10" s="28">
        <f t="shared" si="0"/>
        <v>0</v>
      </c>
      <c r="E10" s="28"/>
      <c r="F10" s="29"/>
      <c r="G10" s="33">
        <v>0.47</v>
      </c>
      <c r="H10" s="18"/>
      <c r="I10" s="18"/>
      <c r="J10" s="18"/>
      <c r="K10" s="18"/>
      <c r="L10" s="18"/>
    </row>
    <row r="11" spans="1:12" s="19" customFormat="1">
      <c r="A11" s="31" t="s">
        <v>492</v>
      </c>
      <c r="B11" s="32"/>
      <c r="C11" s="28"/>
      <c r="D11" s="28">
        <f t="shared" si="0"/>
        <v>0</v>
      </c>
      <c r="E11" s="28"/>
      <c r="F11" s="29"/>
      <c r="G11" s="33">
        <v>0.1</v>
      </c>
      <c r="H11" s="18"/>
      <c r="I11" s="18"/>
      <c r="J11" s="18"/>
      <c r="K11" s="18"/>
      <c r="L11" s="18"/>
    </row>
    <row r="12" spans="1:12" s="19" customFormat="1">
      <c r="A12" s="31" t="s">
        <v>21</v>
      </c>
      <c r="B12" s="32">
        <f>485.5+181.69+227.53</f>
        <v>894.72</v>
      </c>
      <c r="C12" s="28">
        <f>13.54+465.26+213.53+83.15</f>
        <v>775.48</v>
      </c>
      <c r="D12" s="28">
        <f t="shared" si="0"/>
        <v>119.24000000000001</v>
      </c>
      <c r="E12" s="28"/>
      <c r="F12" s="29"/>
      <c r="G12" s="33">
        <v>283.97000000000003</v>
      </c>
      <c r="H12" s="18"/>
      <c r="I12" s="18"/>
      <c r="J12" s="18"/>
      <c r="K12" s="18"/>
      <c r="L12" s="18"/>
    </row>
    <row r="13" spans="1:12" s="19" customFormat="1">
      <c r="A13" s="31" t="s">
        <v>488</v>
      </c>
      <c r="B13" s="32">
        <v>336.15</v>
      </c>
      <c r="C13" s="28">
        <v>0</v>
      </c>
      <c r="D13" s="28">
        <f t="shared" si="0"/>
        <v>336.15</v>
      </c>
      <c r="E13" s="28"/>
      <c r="F13" s="29"/>
      <c r="G13" s="33">
        <v>9.82</v>
      </c>
      <c r="H13" s="18"/>
      <c r="I13" s="18"/>
      <c r="J13" s="18"/>
      <c r="K13" s="18"/>
      <c r="L13" s="18"/>
    </row>
    <row r="14" spans="1:12" s="19" customFormat="1">
      <c r="A14" s="31" t="s">
        <v>22</v>
      </c>
      <c r="B14" s="32"/>
      <c r="C14" s="28"/>
      <c r="D14" s="28">
        <f t="shared" si="0"/>
        <v>0</v>
      </c>
      <c r="E14" s="28"/>
      <c r="F14" s="29"/>
      <c r="G14" s="33">
        <v>0</v>
      </c>
      <c r="H14" s="18"/>
      <c r="I14" s="18"/>
      <c r="J14" s="18"/>
      <c r="K14" s="18"/>
      <c r="L14" s="18"/>
    </row>
    <row r="15" spans="1:12" s="19" customFormat="1">
      <c r="A15" s="31" t="s">
        <v>388</v>
      </c>
      <c r="B15" s="32"/>
      <c r="C15" s="28"/>
      <c r="D15" s="28">
        <f t="shared" si="0"/>
        <v>0</v>
      </c>
      <c r="E15" s="28"/>
      <c r="F15" s="29"/>
      <c r="G15" s="33"/>
      <c r="H15" s="18"/>
      <c r="I15" s="18"/>
      <c r="J15" s="18"/>
      <c r="K15" s="18"/>
      <c r="L15" s="18"/>
    </row>
    <row r="16" spans="1:12" s="19" customFormat="1">
      <c r="A16" s="31" t="s">
        <v>495</v>
      </c>
      <c r="B16" s="32">
        <f>28.78+66.6</f>
        <v>95.38</v>
      </c>
      <c r="C16" s="28">
        <f>33.59-2.47</f>
        <v>31.120000000000005</v>
      </c>
      <c r="D16" s="28">
        <f>B16-C16</f>
        <v>64.259999999999991</v>
      </c>
      <c r="E16" s="28"/>
      <c r="F16" s="29"/>
      <c r="G16" s="33">
        <v>6.72</v>
      </c>
      <c r="H16" s="18"/>
      <c r="I16" s="18"/>
      <c r="J16" s="18"/>
      <c r="K16" s="18"/>
      <c r="L16" s="18"/>
    </row>
    <row r="17" spans="1:12" s="19" customFormat="1">
      <c r="A17" s="31" t="s">
        <v>389</v>
      </c>
      <c r="B17" s="32"/>
      <c r="C17" s="28"/>
      <c r="D17" s="28">
        <f t="shared" si="0"/>
        <v>0</v>
      </c>
      <c r="E17" s="28"/>
      <c r="F17" s="29"/>
      <c r="G17" s="33">
        <v>386.53</v>
      </c>
      <c r="H17" s="18"/>
      <c r="I17" s="18"/>
      <c r="J17" s="18"/>
      <c r="K17" s="18"/>
      <c r="L17" s="18"/>
    </row>
    <row r="18" spans="1:12" s="19" customFormat="1">
      <c r="A18" s="31" t="s">
        <v>25</v>
      </c>
      <c r="B18" s="32"/>
      <c r="C18" s="28"/>
      <c r="D18" s="28">
        <f t="shared" si="0"/>
        <v>0</v>
      </c>
      <c r="E18" s="28"/>
      <c r="F18" s="35"/>
      <c r="G18" s="33">
        <v>169.26</v>
      </c>
      <c r="H18" s="18"/>
      <c r="I18" s="18"/>
      <c r="J18" s="18"/>
      <c r="K18" s="18"/>
      <c r="L18" s="18"/>
    </row>
    <row r="19" spans="1:12" s="19" customFormat="1">
      <c r="A19" s="26" t="s">
        <v>26</v>
      </c>
      <c r="B19" s="27"/>
      <c r="C19" s="28"/>
      <c r="D19" s="28">
        <f t="shared" si="0"/>
        <v>0</v>
      </c>
      <c r="E19" s="28"/>
      <c r="F19" s="35"/>
      <c r="G19" s="36">
        <v>0.53</v>
      </c>
      <c r="H19" s="18"/>
      <c r="I19" s="18"/>
      <c r="J19" s="18"/>
      <c r="K19" s="18"/>
      <c r="L19" s="18"/>
    </row>
    <row r="20" spans="1:12" s="19" customFormat="1">
      <c r="A20" s="26" t="s">
        <v>27</v>
      </c>
      <c r="B20" s="27"/>
      <c r="C20" s="28"/>
      <c r="D20" s="28">
        <f t="shared" si="0"/>
        <v>0</v>
      </c>
      <c r="E20" s="28"/>
      <c r="F20" s="35"/>
      <c r="G20" s="123">
        <v>108.91</v>
      </c>
      <c r="H20" s="18"/>
      <c r="I20" s="18"/>
      <c r="J20" s="18"/>
      <c r="K20" s="18"/>
      <c r="L20" s="18"/>
    </row>
    <row r="21" spans="1:12" s="19" customFormat="1">
      <c r="A21" s="26" t="s">
        <v>28</v>
      </c>
      <c r="B21" s="27"/>
      <c r="C21" s="28"/>
      <c r="D21" s="28">
        <f t="shared" si="0"/>
        <v>0</v>
      </c>
      <c r="E21" s="28"/>
      <c r="F21" s="35"/>
      <c r="G21" s="36">
        <v>0</v>
      </c>
      <c r="H21" s="18"/>
      <c r="I21" s="18"/>
      <c r="J21" s="18"/>
      <c r="K21" s="18"/>
      <c r="L21" s="18"/>
    </row>
    <row r="22" spans="1:12" s="19" customFormat="1">
      <c r="A22" s="26" t="s">
        <v>29</v>
      </c>
      <c r="B22" s="27"/>
      <c r="C22" s="28"/>
      <c r="D22" s="28">
        <f t="shared" si="0"/>
        <v>0</v>
      </c>
      <c r="E22" s="28"/>
      <c r="F22" s="37"/>
      <c r="G22" s="36">
        <v>5.36</v>
      </c>
      <c r="H22" s="18"/>
      <c r="I22" s="18"/>
      <c r="J22" s="18"/>
      <c r="K22" s="18"/>
      <c r="L22" s="18"/>
    </row>
    <row r="23" spans="1:12" s="19" customFormat="1">
      <c r="A23" s="26" t="s">
        <v>30</v>
      </c>
      <c r="B23" s="27"/>
      <c r="C23" s="28"/>
      <c r="D23" s="28">
        <f t="shared" si="0"/>
        <v>0</v>
      </c>
      <c r="E23" s="28"/>
      <c r="F23" s="37"/>
      <c r="G23" s="36">
        <v>0</v>
      </c>
      <c r="H23" s="18"/>
      <c r="I23" s="18"/>
      <c r="J23" s="18"/>
      <c r="K23" s="18"/>
      <c r="L23" s="18"/>
    </row>
    <row r="24" spans="1:12" s="19" customFormat="1">
      <c r="A24" s="26" t="s">
        <v>31</v>
      </c>
      <c r="B24" s="27"/>
      <c r="C24" s="28"/>
      <c r="D24" s="28">
        <f t="shared" si="0"/>
        <v>0</v>
      </c>
      <c r="E24" s="28"/>
      <c r="F24" s="29"/>
      <c r="G24" s="30">
        <v>4.22</v>
      </c>
      <c r="H24" s="18"/>
      <c r="I24" s="18"/>
      <c r="J24" s="18"/>
      <c r="K24" s="18"/>
      <c r="L24" s="18"/>
    </row>
    <row r="25" spans="1:12" s="19" customFormat="1">
      <c r="A25" s="26" t="s">
        <v>476</v>
      </c>
      <c r="B25" s="136">
        <f>134.12+54.78+241.79</f>
        <v>430.69</v>
      </c>
      <c r="C25" s="137">
        <v>0</v>
      </c>
      <c r="D25" s="137">
        <f t="shared" si="0"/>
        <v>430.69</v>
      </c>
      <c r="E25" s="28"/>
      <c r="F25" s="29"/>
      <c r="G25" s="30">
        <v>499.05</v>
      </c>
      <c r="H25" s="18"/>
      <c r="I25" s="18"/>
      <c r="J25" s="18"/>
      <c r="K25" s="18"/>
      <c r="L25" s="18"/>
    </row>
    <row r="26" spans="1:12" s="19" customFormat="1">
      <c r="A26" s="26" t="s">
        <v>493</v>
      </c>
      <c r="B26" s="136">
        <v>1100</v>
      </c>
      <c r="C26" s="137">
        <v>0</v>
      </c>
      <c r="D26" s="28">
        <f t="shared" si="0"/>
        <v>1100</v>
      </c>
      <c r="E26" s="28"/>
      <c r="F26" s="29"/>
      <c r="G26" s="30">
        <v>17.68</v>
      </c>
      <c r="H26" s="18"/>
      <c r="I26" s="18"/>
      <c r="J26" s="18"/>
      <c r="K26" s="18"/>
      <c r="L26" s="18"/>
    </row>
    <row r="27" spans="1:12" s="19" customFormat="1">
      <c r="A27" s="31" t="s">
        <v>320</v>
      </c>
      <c r="B27" s="32"/>
      <c r="C27" s="28"/>
      <c r="D27" s="28">
        <f t="shared" si="0"/>
        <v>0</v>
      </c>
      <c r="E27" s="28"/>
      <c r="F27" s="29"/>
      <c r="G27" s="33">
        <v>3.94</v>
      </c>
      <c r="H27" s="18"/>
      <c r="I27" s="18"/>
      <c r="J27" s="18"/>
      <c r="K27" s="18"/>
      <c r="L27" s="18"/>
    </row>
    <row r="28" spans="1:12" s="19" customFormat="1" ht="12.75" customHeight="1">
      <c r="A28" s="38" t="s">
        <v>33</v>
      </c>
      <c r="B28" s="39">
        <f>71.09+336.92+90.86+673.78</f>
        <v>1172.6500000000001</v>
      </c>
      <c r="C28" s="35">
        <v>0</v>
      </c>
      <c r="D28" s="40">
        <f t="shared" si="0"/>
        <v>1172.6500000000001</v>
      </c>
      <c r="E28" s="28"/>
      <c r="F28" s="29"/>
      <c r="G28" s="41"/>
      <c r="H28" s="42"/>
      <c r="I28" s="18"/>
      <c r="J28" s="18"/>
      <c r="K28" s="18"/>
      <c r="L28" s="18"/>
    </row>
    <row r="29" spans="1:12" s="19" customFormat="1">
      <c r="A29" s="31" t="s">
        <v>34</v>
      </c>
      <c r="B29" s="32"/>
      <c r="C29" s="28"/>
      <c r="D29" s="28">
        <f t="shared" si="0"/>
        <v>0</v>
      </c>
      <c r="E29" s="28"/>
      <c r="F29" s="29"/>
      <c r="G29" s="33">
        <v>12.45</v>
      </c>
      <c r="H29" s="18"/>
      <c r="I29" s="18"/>
      <c r="J29" s="18"/>
      <c r="K29" s="18"/>
      <c r="L29" s="18"/>
    </row>
    <row r="30" spans="1:12" s="19" customFormat="1" ht="12.75" customHeight="1">
      <c r="A30" s="31" t="s">
        <v>35</v>
      </c>
      <c r="B30" s="39">
        <f>82.78+14.69+196.05</f>
        <v>293.52</v>
      </c>
      <c r="C30" s="35">
        <v>0</v>
      </c>
      <c r="D30" s="40">
        <f t="shared" si="0"/>
        <v>293.52</v>
      </c>
      <c r="E30" s="28"/>
      <c r="F30" s="29"/>
      <c r="G30" s="33">
        <v>118.3</v>
      </c>
      <c r="H30" s="42"/>
      <c r="I30" s="18"/>
      <c r="J30" s="18"/>
      <c r="K30" s="18"/>
      <c r="L30" s="18"/>
    </row>
    <row r="31" spans="1:12" s="19" customFormat="1" ht="12.75" customHeight="1">
      <c r="A31" s="38" t="s">
        <v>36</v>
      </c>
      <c r="B31" s="39"/>
      <c r="C31" s="35"/>
      <c r="D31" s="28">
        <f t="shared" si="0"/>
        <v>0</v>
      </c>
      <c r="E31" s="28"/>
      <c r="F31" s="29"/>
      <c r="G31" s="41">
        <v>7.41</v>
      </c>
      <c r="H31" s="42"/>
      <c r="I31" s="18"/>
      <c r="J31" s="18"/>
      <c r="K31" s="18"/>
      <c r="L31" s="18"/>
    </row>
    <row r="32" spans="1:12" s="19" customFormat="1" ht="12.75" customHeight="1">
      <c r="A32" s="38" t="s">
        <v>37</v>
      </c>
      <c r="B32" s="39">
        <f>440.24+52.03+39.7</f>
        <v>531.97</v>
      </c>
      <c r="C32" s="35">
        <f>440.24+52.03+12</f>
        <v>504.27</v>
      </c>
      <c r="D32" s="28">
        <f t="shared" si="0"/>
        <v>27.700000000000045</v>
      </c>
      <c r="E32" s="28"/>
      <c r="F32" s="29"/>
      <c r="G32" s="41">
        <v>186.38</v>
      </c>
      <c r="H32" s="42"/>
      <c r="I32" s="18"/>
      <c r="J32" s="18"/>
      <c r="K32" s="18"/>
      <c r="L32" s="18"/>
    </row>
    <row r="33" spans="1:12" s="19" customFormat="1" ht="12.75" customHeight="1">
      <c r="A33" s="38" t="s">
        <v>494</v>
      </c>
      <c r="B33" s="62"/>
      <c r="C33" s="139"/>
      <c r="D33" s="28">
        <f t="shared" si="0"/>
        <v>0</v>
      </c>
      <c r="E33" s="140"/>
      <c r="F33" s="141"/>
      <c r="G33" s="41">
        <v>6.54</v>
      </c>
      <c r="H33" s="42"/>
      <c r="I33" s="18"/>
      <c r="J33" s="18"/>
      <c r="K33" s="18"/>
      <c r="L33" s="18"/>
    </row>
    <row r="34" spans="1:12" s="19" customFormat="1" ht="13.5" thickBot="1">
      <c r="A34" s="43" t="s">
        <v>38</v>
      </c>
      <c r="B34" s="44">
        <f>463.6+218.08+357.34+375.88</f>
        <v>1414.9</v>
      </c>
      <c r="C34" s="44">
        <f>447.66+187.37+357.34+215.32</f>
        <v>1207.6899999999998</v>
      </c>
      <c r="D34" s="45">
        <f t="shared" si="0"/>
        <v>207.21000000000026</v>
      </c>
      <c r="E34" s="46"/>
      <c r="F34" s="46"/>
      <c r="G34" s="124">
        <v>462.92</v>
      </c>
      <c r="H34" s="18"/>
      <c r="I34" s="18"/>
      <c r="J34" s="18"/>
      <c r="K34" s="18"/>
      <c r="L34" s="18"/>
    </row>
    <row r="35" spans="1:12" s="19" customFormat="1" ht="30.75" thickBot="1">
      <c r="A35" s="47" t="s">
        <v>39</v>
      </c>
      <c r="B35" s="2" t="s">
        <v>1</v>
      </c>
      <c r="C35" s="48" t="s">
        <v>10</v>
      </c>
      <c r="D35" s="4" t="s">
        <v>11</v>
      </c>
      <c r="E35" s="2" t="s">
        <v>4</v>
      </c>
      <c r="F35" s="2" t="s">
        <v>12</v>
      </c>
      <c r="G35" s="6" t="s">
        <v>13</v>
      </c>
      <c r="H35" s="49"/>
    </row>
    <row r="36" spans="1:12" s="19" customFormat="1" ht="15.75" thickBot="1">
      <c r="A36" s="9" t="s">
        <v>40</v>
      </c>
      <c r="B36" s="50">
        <f>462.21</f>
        <v>462.21</v>
      </c>
      <c r="C36" s="51">
        <f>141.87+296.04</f>
        <v>437.91</v>
      </c>
      <c r="D36" s="52">
        <f>B36-C36</f>
        <v>24.299999999999955</v>
      </c>
      <c r="E36" s="53"/>
      <c r="F36" s="54"/>
      <c r="G36" s="55">
        <v>32.880000000000003</v>
      </c>
      <c r="H36" s="18"/>
      <c r="I36" s="18"/>
      <c r="J36" s="18"/>
      <c r="K36" s="18"/>
      <c r="L36" s="18"/>
    </row>
    <row r="37" spans="1:12" s="19" customFormat="1" ht="30.75" thickBot="1">
      <c r="A37" s="47" t="s">
        <v>41</v>
      </c>
      <c r="B37" s="2" t="s">
        <v>1</v>
      </c>
      <c r="C37" s="48" t="s">
        <v>10</v>
      </c>
      <c r="D37" s="4" t="s">
        <v>11</v>
      </c>
      <c r="E37" s="2" t="s">
        <v>4</v>
      </c>
      <c r="F37" s="2" t="s">
        <v>12</v>
      </c>
      <c r="G37" s="6" t="s">
        <v>13</v>
      </c>
      <c r="H37" s="49"/>
    </row>
    <row r="38" spans="1:12" s="19" customFormat="1" ht="15">
      <c r="A38" s="151" t="s">
        <v>42</v>
      </c>
      <c r="B38" s="152">
        <f>310.21+141.06+30.82</f>
        <v>482.09</v>
      </c>
      <c r="C38" s="56">
        <f>310.21+44.2+30.82</f>
        <v>385.22999999999996</v>
      </c>
      <c r="D38" s="57">
        <f>B38-C38</f>
        <v>96.860000000000014</v>
      </c>
      <c r="E38" s="58"/>
      <c r="F38" s="21"/>
      <c r="G38" s="126">
        <f>0.49+228.55</f>
        <v>229.04000000000002</v>
      </c>
      <c r="H38" s="18"/>
      <c r="I38" s="18"/>
      <c r="J38" s="18"/>
      <c r="K38" s="18"/>
      <c r="L38" s="18"/>
    </row>
    <row r="39" spans="1:12" s="19" customFormat="1" ht="17.25" customHeight="1">
      <c r="A39" s="31" t="s">
        <v>43</v>
      </c>
      <c r="B39" s="32">
        <f>14.74+395.33+203.83</f>
        <v>613.9</v>
      </c>
      <c r="C39" s="59">
        <f>14.74+390.74+134.5</f>
        <v>539.98</v>
      </c>
      <c r="D39" s="35">
        <f>B39-C39</f>
        <v>73.919999999999959</v>
      </c>
      <c r="E39" s="39"/>
      <c r="F39" s="32"/>
      <c r="G39" s="33">
        <v>355.19</v>
      </c>
      <c r="H39" s="18"/>
      <c r="I39" s="18"/>
      <c r="J39" s="18"/>
      <c r="K39" s="18"/>
      <c r="L39" s="18"/>
    </row>
    <row r="40" spans="1:12" s="19" customFormat="1">
      <c r="A40" s="38" t="s">
        <v>45</v>
      </c>
      <c r="B40" s="44">
        <f>92.45+582.46+542.58+703.97</f>
        <v>1921.4600000000003</v>
      </c>
      <c r="C40" s="44">
        <f>92.45+571.77+542.58+703.97</f>
        <v>1910.7700000000002</v>
      </c>
      <c r="D40" s="45">
        <f>B40-C40</f>
        <v>10.690000000000055</v>
      </c>
      <c r="E40" s="61"/>
      <c r="F40" s="62"/>
      <c r="G40" s="124">
        <v>464.25</v>
      </c>
      <c r="K40" s="18"/>
      <c r="L40" s="18"/>
    </row>
    <row r="41" spans="1:12" s="19" customFormat="1">
      <c r="A41" s="38" t="s">
        <v>46</v>
      </c>
      <c r="B41" s="39">
        <f>489.11+151.21+362.61+20.45+18.95+147.2</f>
        <v>1189.5300000000002</v>
      </c>
      <c r="C41" s="35">
        <f>18.95+20.45+362.61+151.21+489.11+358.3</f>
        <v>1400.6299999999999</v>
      </c>
      <c r="D41" s="35">
        <f>B41-C41</f>
        <v>-211.09999999999968</v>
      </c>
      <c r="E41" s="61"/>
      <c r="F41" s="62"/>
      <c r="G41" s="63">
        <v>457.27</v>
      </c>
      <c r="K41" s="18"/>
      <c r="L41" s="18"/>
    </row>
    <row r="42" spans="1:12" s="19" customFormat="1" ht="13.5" thickBot="1">
      <c r="A42" s="43" t="s">
        <v>387</v>
      </c>
      <c r="B42" s="64"/>
      <c r="C42" s="65"/>
      <c r="D42" s="64">
        <f>B42</f>
        <v>0</v>
      </c>
      <c r="E42" s="66"/>
      <c r="F42" s="67"/>
      <c r="G42" s="153">
        <v>270.77</v>
      </c>
      <c r="K42" s="18"/>
      <c r="L42" s="18"/>
    </row>
    <row r="43" spans="1:12" ht="34.5" customHeight="1" thickBot="1">
      <c r="A43" s="146" t="s">
        <v>48</v>
      </c>
      <c r="B43" s="147" t="s">
        <v>1</v>
      </c>
      <c r="C43" s="148" t="s">
        <v>10</v>
      </c>
      <c r="D43" s="149" t="s">
        <v>11</v>
      </c>
      <c r="E43" s="147" t="s">
        <v>4</v>
      </c>
      <c r="F43" s="150" t="s">
        <v>5</v>
      </c>
      <c r="G43" s="68"/>
      <c r="H43" s="18"/>
      <c r="I43" s="18"/>
      <c r="J43" s="18"/>
      <c r="K43" s="18"/>
      <c r="L43" s="18"/>
    </row>
    <row r="44" spans="1:12" ht="19.5" customHeight="1" thickBot="1">
      <c r="A44" s="9" t="s">
        <v>49</v>
      </c>
      <c r="B44" s="69">
        <v>94</v>
      </c>
      <c r="C44" s="69">
        <v>0</v>
      </c>
      <c r="D44" s="70">
        <f>B44-C44</f>
        <v>94</v>
      </c>
      <c r="E44" s="71"/>
      <c r="F44" s="72"/>
      <c r="G44" s="68"/>
    </row>
    <row r="45" spans="1:12" ht="19.5" customHeight="1" thickBot="1">
      <c r="A45" s="47" t="s">
        <v>50</v>
      </c>
      <c r="B45" s="73" t="s">
        <v>51</v>
      </c>
      <c r="C45" s="68"/>
      <c r="D45" s="68"/>
      <c r="E45" s="68"/>
      <c r="F45" s="68"/>
      <c r="G45" s="68"/>
      <c r="H45" s="18"/>
      <c r="I45" s="18"/>
      <c r="J45" s="18"/>
      <c r="K45" s="18"/>
      <c r="L45" s="18"/>
    </row>
    <row r="46" spans="1:12" ht="30" customHeight="1">
      <c r="A46" s="74" t="s">
        <v>572</v>
      </c>
      <c r="B46" s="75">
        <v>2.75</v>
      </c>
      <c r="C46" s="68"/>
      <c r="D46" s="68"/>
      <c r="E46" s="68"/>
      <c r="F46" s="68"/>
      <c r="G46" s="68"/>
    </row>
    <row r="47" spans="1:12" ht="15">
      <c r="A47" s="76" t="s">
        <v>573</v>
      </c>
      <c r="B47" s="77">
        <v>0</v>
      </c>
      <c r="C47" s="68"/>
      <c r="D47" s="68"/>
      <c r="E47" s="68"/>
      <c r="F47" s="68"/>
      <c r="G47" s="68"/>
    </row>
    <row r="48" spans="1:12" ht="15">
      <c r="A48" s="143" t="s">
        <v>54</v>
      </c>
      <c r="B48" s="77"/>
      <c r="C48" s="68"/>
      <c r="D48" s="68"/>
      <c r="E48" s="68"/>
      <c r="F48" s="68"/>
      <c r="G48" s="68"/>
    </row>
    <row r="49" spans="1:12" ht="15">
      <c r="A49" s="76" t="s">
        <v>477</v>
      </c>
      <c r="B49" s="77"/>
      <c r="C49" s="68"/>
      <c r="D49" s="68"/>
      <c r="E49" s="68"/>
      <c r="F49" s="68"/>
      <c r="G49" s="68"/>
    </row>
    <row r="50" spans="1:12" ht="15">
      <c r="A50" s="76" t="s">
        <v>188</v>
      </c>
      <c r="B50" s="77"/>
      <c r="C50" s="68"/>
      <c r="D50" s="68"/>
      <c r="E50" s="68"/>
      <c r="F50" s="68"/>
      <c r="G50" s="68"/>
    </row>
    <row r="51" spans="1:12" ht="25.5">
      <c r="A51" s="76" t="s">
        <v>586</v>
      </c>
      <c r="B51" s="77">
        <v>0</v>
      </c>
      <c r="C51" s="68"/>
      <c r="D51" s="68"/>
      <c r="E51" s="68"/>
      <c r="F51" s="68"/>
      <c r="G51" s="68"/>
    </row>
    <row r="52" spans="1:12" ht="25.5">
      <c r="A52" s="76" t="s">
        <v>478</v>
      </c>
      <c r="B52" s="77">
        <v>0.9</v>
      </c>
      <c r="C52" s="68"/>
      <c r="D52" s="68"/>
      <c r="E52" s="68"/>
      <c r="F52" s="68"/>
      <c r="G52" s="68"/>
    </row>
    <row r="53" spans="1:12" ht="25.5">
      <c r="A53" s="76" t="s">
        <v>576</v>
      </c>
      <c r="B53" s="77"/>
      <c r="C53" s="68"/>
      <c r="D53" s="68"/>
      <c r="E53" s="68"/>
      <c r="F53" s="68"/>
      <c r="G53" s="68"/>
    </row>
    <row r="54" spans="1:12" ht="25.5">
      <c r="A54" s="76" t="s">
        <v>577</v>
      </c>
      <c r="B54" s="77"/>
      <c r="C54" s="68"/>
      <c r="D54" s="68"/>
      <c r="E54" s="68"/>
      <c r="F54" s="68"/>
      <c r="G54" s="68"/>
    </row>
    <row r="55" spans="1:12" ht="25.5">
      <c r="A55" s="76" t="s">
        <v>578</v>
      </c>
      <c r="B55" s="77"/>
      <c r="C55" s="68"/>
      <c r="D55" s="68"/>
      <c r="E55" s="68"/>
      <c r="F55" s="68"/>
      <c r="G55" s="68"/>
    </row>
    <row r="56" spans="1:12" ht="14.25" customHeight="1">
      <c r="A56" s="76" t="s">
        <v>579</v>
      </c>
      <c r="B56" s="77"/>
      <c r="C56" s="144" t="s">
        <v>590</v>
      </c>
      <c r="D56" s="68"/>
      <c r="E56" s="68"/>
      <c r="F56" s="68"/>
      <c r="G56" s="68"/>
    </row>
    <row r="57" spans="1:12" ht="26.25" customHeight="1">
      <c r="A57" s="26" t="s">
        <v>60</v>
      </c>
      <c r="B57" s="77"/>
      <c r="C57" s="144" t="s">
        <v>590</v>
      </c>
      <c r="D57" s="68"/>
      <c r="E57" s="68"/>
      <c r="F57" s="68"/>
      <c r="G57" s="68"/>
    </row>
    <row r="58" spans="1:12" ht="33" customHeight="1">
      <c r="A58" s="76" t="s">
        <v>61</v>
      </c>
      <c r="B58" s="77"/>
      <c r="C58" s="68"/>
      <c r="D58" s="68"/>
      <c r="E58" s="68"/>
      <c r="F58" s="68"/>
      <c r="G58" s="68"/>
      <c r="J58" s="18"/>
      <c r="K58" s="18"/>
      <c r="L58" s="18"/>
    </row>
    <row r="59" spans="1:12" ht="32.25" customHeight="1">
      <c r="A59" s="76" t="s">
        <v>62</v>
      </c>
      <c r="B59" s="77"/>
      <c r="C59" s="68"/>
      <c r="D59" s="68"/>
      <c r="E59" s="68"/>
      <c r="F59" s="68"/>
      <c r="G59" s="68"/>
    </row>
    <row r="60" spans="1:12" ht="31.5" customHeight="1">
      <c r="A60" s="76" t="s">
        <v>63</v>
      </c>
      <c r="B60" s="77">
        <v>0</v>
      </c>
      <c r="C60" s="68"/>
      <c r="D60" s="68"/>
      <c r="E60" s="68"/>
      <c r="F60" s="68"/>
      <c r="G60" s="68"/>
    </row>
    <row r="61" spans="1:12" s="19" customFormat="1" ht="15">
      <c r="A61" s="76" t="s">
        <v>64</v>
      </c>
      <c r="B61" s="77"/>
      <c r="C61" s="144" t="s">
        <v>589</v>
      </c>
      <c r="D61" s="68"/>
      <c r="E61" s="68"/>
      <c r="F61" s="68"/>
      <c r="G61" s="68"/>
      <c r="H61" s="8"/>
      <c r="I61" s="8"/>
      <c r="J61" s="18"/>
      <c r="K61" s="18"/>
      <c r="L61" s="18"/>
    </row>
    <row r="62" spans="1:12" s="19" customFormat="1" ht="15">
      <c r="A62" s="76" t="s">
        <v>65</v>
      </c>
      <c r="B62" s="77"/>
      <c r="C62" s="68"/>
      <c r="D62" s="68"/>
      <c r="E62" s="68"/>
      <c r="F62" s="68"/>
      <c r="G62" s="68"/>
      <c r="H62" s="8"/>
      <c r="I62" s="8"/>
      <c r="J62" s="18"/>
      <c r="K62" s="18"/>
      <c r="L62" s="18"/>
    </row>
    <row r="63" spans="1:12" s="19" customFormat="1" ht="15">
      <c r="A63" s="76" t="s">
        <v>66</v>
      </c>
      <c r="B63" s="77"/>
      <c r="C63" s="68"/>
      <c r="D63" s="68"/>
      <c r="E63" s="68"/>
      <c r="F63" s="68"/>
      <c r="G63" s="68"/>
      <c r="H63" s="8"/>
      <c r="I63" s="8"/>
      <c r="J63" s="18"/>
      <c r="K63" s="18"/>
      <c r="L63" s="18"/>
    </row>
    <row r="64" spans="1:12" s="19" customFormat="1" ht="15">
      <c r="A64" s="76" t="s">
        <v>67</v>
      </c>
      <c r="B64" s="77"/>
      <c r="C64" s="144" t="s">
        <v>590</v>
      </c>
      <c r="D64" s="68"/>
      <c r="E64" s="68"/>
      <c r="F64" s="68"/>
      <c r="G64" s="68"/>
      <c r="H64" s="8"/>
      <c r="I64" s="8"/>
      <c r="J64" s="18"/>
      <c r="K64" s="18"/>
      <c r="L64" s="18"/>
    </row>
    <row r="65" spans="1:12" s="19" customFormat="1" ht="15">
      <c r="A65" s="76" t="s">
        <v>482</v>
      </c>
      <c r="B65" s="77">
        <v>0</v>
      </c>
      <c r="C65" s="68"/>
      <c r="D65" s="68"/>
      <c r="E65" s="68"/>
      <c r="F65" s="68"/>
      <c r="G65" s="68"/>
      <c r="H65" s="8"/>
      <c r="I65" s="8"/>
      <c r="J65" s="18"/>
      <c r="K65" s="18"/>
      <c r="L65" s="18"/>
    </row>
    <row r="66" spans="1:12" s="19" customFormat="1" ht="15">
      <c r="A66" s="76" t="s">
        <v>69</v>
      </c>
      <c r="B66" s="77"/>
      <c r="C66" s="144" t="s">
        <v>590</v>
      </c>
      <c r="D66" s="68"/>
      <c r="E66" s="68"/>
      <c r="F66" s="68"/>
      <c r="G66" s="68"/>
      <c r="H66" s="8"/>
      <c r="I66" s="8"/>
      <c r="J66" s="18"/>
      <c r="K66" s="18"/>
      <c r="L66" s="18"/>
    </row>
    <row r="67" spans="1:12" ht="15">
      <c r="A67" s="78" t="s">
        <v>70</v>
      </c>
      <c r="B67" s="77"/>
      <c r="C67" s="144" t="s">
        <v>590</v>
      </c>
      <c r="D67" s="68"/>
      <c r="E67" s="68"/>
      <c r="F67" s="68"/>
      <c r="G67" s="68"/>
    </row>
    <row r="68" spans="1:12" ht="25.5">
      <c r="A68" s="78" t="s">
        <v>71</v>
      </c>
      <c r="B68" s="77"/>
      <c r="C68" s="68"/>
      <c r="D68" s="68"/>
      <c r="E68" s="68"/>
      <c r="F68" s="68"/>
      <c r="G68" s="68"/>
    </row>
    <row r="69" spans="1:12" ht="15">
      <c r="A69" s="79" t="s">
        <v>72</v>
      </c>
      <c r="B69" s="77"/>
      <c r="C69" s="68"/>
      <c r="D69" s="68"/>
      <c r="E69" s="68"/>
      <c r="F69" s="68"/>
      <c r="G69" s="68"/>
    </row>
    <row r="70" spans="1:12" ht="15">
      <c r="A70" s="38" t="s">
        <v>73</v>
      </c>
      <c r="B70" s="77">
        <v>0</v>
      </c>
      <c r="C70" s="68"/>
      <c r="D70" s="68"/>
      <c r="E70" s="68"/>
      <c r="F70" s="68"/>
      <c r="G70" s="68"/>
    </row>
    <row r="71" spans="1:12" s="19" customFormat="1" ht="15">
      <c r="A71" s="78" t="s">
        <v>74</v>
      </c>
      <c r="B71" s="77">
        <v>0</v>
      </c>
      <c r="C71" s="68"/>
      <c r="D71" s="68"/>
      <c r="E71" s="68"/>
      <c r="F71" s="68"/>
      <c r="G71" s="68"/>
      <c r="H71" s="18"/>
      <c r="I71" s="18"/>
      <c r="J71" s="8"/>
      <c r="K71" s="8"/>
      <c r="L71" s="8"/>
    </row>
    <row r="72" spans="1:12" ht="15">
      <c r="A72" s="78" t="s">
        <v>75</v>
      </c>
      <c r="B72" s="77">
        <v>0</v>
      </c>
      <c r="C72" s="68"/>
      <c r="D72" s="68"/>
      <c r="E72" s="68"/>
      <c r="F72" s="68"/>
      <c r="G72" s="68"/>
      <c r="H72" s="18"/>
      <c r="I72" s="18"/>
    </row>
    <row r="73" spans="1:12" ht="15">
      <c r="A73" s="78" t="s">
        <v>76</v>
      </c>
      <c r="B73" s="77"/>
      <c r="C73" s="68"/>
      <c r="D73" s="68"/>
      <c r="E73" s="68"/>
      <c r="F73" s="68"/>
      <c r="G73" s="68"/>
    </row>
    <row r="74" spans="1:12" ht="15">
      <c r="A74" s="78" t="s">
        <v>77</v>
      </c>
      <c r="B74" s="77"/>
      <c r="C74" s="68"/>
      <c r="D74" s="68"/>
      <c r="E74" s="68"/>
      <c r="F74" s="68"/>
      <c r="G74" s="68"/>
    </row>
    <row r="75" spans="1:12" ht="15">
      <c r="A75" s="78" t="s">
        <v>78</v>
      </c>
      <c r="B75" s="77">
        <v>14.88</v>
      </c>
      <c r="C75" s="68"/>
      <c r="D75" s="68"/>
      <c r="E75" s="68"/>
      <c r="F75" s="68"/>
      <c r="G75" s="68"/>
    </row>
    <row r="76" spans="1:12" ht="15">
      <c r="A76" s="145" t="s">
        <v>79</v>
      </c>
      <c r="B76" s="77">
        <v>11.57</v>
      </c>
      <c r="C76" s="80"/>
      <c r="D76" s="81"/>
      <c r="E76" s="82"/>
      <c r="F76" s="82"/>
    </row>
    <row r="77" spans="1:12" ht="15">
      <c r="A77" s="78" t="s">
        <v>80</v>
      </c>
      <c r="B77" s="77">
        <v>19.170000000000002</v>
      </c>
      <c r="C77" s="80"/>
      <c r="D77" s="81"/>
      <c r="E77" s="82"/>
      <c r="F77" s="82"/>
    </row>
    <row r="78" spans="1:12" ht="15">
      <c r="A78" s="78" t="s">
        <v>574</v>
      </c>
      <c r="B78" s="77">
        <v>0</v>
      </c>
      <c r="C78" s="144" t="s">
        <v>590</v>
      </c>
      <c r="D78" s="81"/>
      <c r="E78" s="82"/>
      <c r="F78" s="82"/>
    </row>
    <row r="79" spans="1:12" ht="15">
      <c r="A79" s="78" t="s">
        <v>575</v>
      </c>
      <c r="B79" s="77">
        <v>0</v>
      </c>
      <c r="C79" s="80"/>
      <c r="D79" s="81"/>
      <c r="E79" s="82"/>
      <c r="F79" s="82"/>
    </row>
    <row r="80" spans="1:12" ht="15">
      <c r="A80" s="78" t="s">
        <v>83</v>
      </c>
      <c r="B80" s="77"/>
      <c r="C80" s="80"/>
      <c r="D80" s="81"/>
      <c r="E80" s="82"/>
      <c r="F80" s="82"/>
    </row>
    <row r="81" spans="1:12" ht="15">
      <c r="A81" s="78" t="s">
        <v>84</v>
      </c>
      <c r="B81" s="77"/>
      <c r="C81" s="80"/>
      <c r="D81" s="81"/>
      <c r="E81" s="82"/>
      <c r="F81" s="82"/>
    </row>
    <row r="82" spans="1:12" ht="15">
      <c r="A82" s="78" t="s">
        <v>85</v>
      </c>
      <c r="B82" s="77"/>
      <c r="C82" s="80"/>
      <c r="D82" s="81"/>
      <c r="E82" s="82"/>
      <c r="F82" s="82"/>
    </row>
    <row r="83" spans="1:12" ht="15">
      <c r="A83" s="78" t="s">
        <v>582</v>
      </c>
      <c r="B83" s="77">
        <v>0</v>
      </c>
      <c r="C83" s="80"/>
      <c r="D83" s="81"/>
      <c r="E83" s="82"/>
      <c r="F83" s="82"/>
    </row>
    <row r="84" spans="1:12" ht="15">
      <c r="A84" s="78" t="s">
        <v>86</v>
      </c>
      <c r="B84" s="77"/>
      <c r="C84" s="80"/>
      <c r="D84" s="81"/>
      <c r="E84" s="82"/>
      <c r="F84" s="82"/>
    </row>
    <row r="85" spans="1:12" ht="15">
      <c r="A85" s="78" t="s">
        <v>87</v>
      </c>
      <c r="B85" s="77"/>
      <c r="C85" s="80"/>
      <c r="D85" s="81"/>
      <c r="E85" s="82"/>
      <c r="F85" s="82"/>
    </row>
    <row r="86" spans="1:12" ht="25.5">
      <c r="A86" s="78" t="s">
        <v>88</v>
      </c>
      <c r="B86" s="77"/>
      <c r="C86" s="80"/>
      <c r="D86" s="81"/>
      <c r="E86" s="82"/>
      <c r="F86" s="82"/>
    </row>
    <row r="87" spans="1:12" ht="25.5">
      <c r="A87" s="78" t="s">
        <v>89</v>
      </c>
      <c r="B87" s="77"/>
      <c r="C87" s="80"/>
      <c r="D87" s="81"/>
      <c r="E87" s="82"/>
      <c r="F87" s="82"/>
    </row>
    <row r="88" spans="1:12" ht="25.5">
      <c r="A88" s="78" t="s">
        <v>90</v>
      </c>
      <c r="B88" s="77"/>
      <c r="C88" s="80"/>
      <c r="D88" s="81"/>
      <c r="E88" s="82"/>
      <c r="F88" s="82"/>
    </row>
    <row r="89" spans="1:12" ht="15">
      <c r="A89" s="78" t="s">
        <v>91</v>
      </c>
      <c r="B89" s="77"/>
      <c r="C89" s="80"/>
      <c r="D89" s="81"/>
      <c r="E89" s="82"/>
      <c r="F89" s="82"/>
    </row>
    <row r="90" spans="1:12" ht="15">
      <c r="A90" s="78" t="s">
        <v>92</v>
      </c>
      <c r="B90" s="77">
        <v>0</v>
      </c>
      <c r="C90" s="80"/>
      <c r="D90" s="81"/>
      <c r="E90" s="82"/>
      <c r="F90" s="82"/>
    </row>
    <row r="91" spans="1:12" ht="25.5">
      <c r="A91" s="142" t="s">
        <v>581</v>
      </c>
      <c r="B91" s="77">
        <v>0</v>
      </c>
      <c r="C91" s="80"/>
      <c r="D91" s="81"/>
      <c r="E91" s="82"/>
      <c r="F91" s="82"/>
    </row>
    <row r="92" spans="1:12" ht="25.5">
      <c r="A92" s="142" t="s">
        <v>584</v>
      </c>
      <c r="B92" s="77">
        <v>19.170000000000002</v>
      </c>
      <c r="C92" s="80"/>
      <c r="D92" s="81"/>
      <c r="E92" s="82"/>
      <c r="F92" s="82"/>
    </row>
    <row r="93" spans="1:12" ht="15">
      <c r="A93" s="142" t="s">
        <v>588</v>
      </c>
      <c r="B93" s="77"/>
      <c r="C93" s="80"/>
      <c r="D93" s="81"/>
      <c r="E93" s="82"/>
      <c r="F93" s="82"/>
    </row>
    <row r="94" spans="1:12" ht="15">
      <c r="A94" s="142" t="s">
        <v>585</v>
      </c>
      <c r="B94" s="77"/>
      <c r="C94" s="80"/>
      <c r="D94" s="81"/>
      <c r="E94" s="82"/>
      <c r="F94" s="82"/>
    </row>
    <row r="95" spans="1:12" ht="15">
      <c r="A95" s="142" t="s">
        <v>583</v>
      </c>
      <c r="B95" s="77"/>
      <c r="C95" s="80"/>
      <c r="D95" s="81"/>
      <c r="E95" s="82"/>
      <c r="F95" s="82"/>
    </row>
    <row r="96" spans="1:12" s="19" customFormat="1" ht="15">
      <c r="A96" s="142" t="s">
        <v>580</v>
      </c>
      <c r="B96" s="77"/>
      <c r="C96" s="92"/>
      <c r="D96" s="93"/>
      <c r="E96" s="68"/>
      <c r="F96" s="68"/>
      <c r="G96" s="93"/>
      <c r="H96" s="18"/>
      <c r="I96" s="18"/>
      <c r="J96" s="18"/>
      <c r="K96" s="18"/>
      <c r="L96" s="18"/>
    </row>
    <row r="97" spans="1:12" s="19" customFormat="1" ht="15">
      <c r="A97" s="84" t="s">
        <v>93</v>
      </c>
      <c r="B97" s="77"/>
      <c r="C97" s="93"/>
      <c r="D97" s="93"/>
      <c r="E97" s="68"/>
      <c r="F97" s="68"/>
      <c r="G97" s="96"/>
      <c r="H97" s="18"/>
      <c r="I97" s="18"/>
      <c r="J97" s="18"/>
      <c r="K97" s="18"/>
      <c r="L97" s="18"/>
    </row>
    <row r="98" spans="1:12" ht="15">
      <c r="A98" s="84" t="s">
        <v>94</v>
      </c>
      <c r="B98" s="77">
        <v>25</v>
      </c>
      <c r="C98" s="80"/>
      <c r="D98" s="81"/>
      <c r="E98" s="82"/>
      <c r="F98" s="82"/>
    </row>
    <row r="99" spans="1:12">
      <c r="A99" s="84" t="s">
        <v>95</v>
      </c>
      <c r="B99" s="77"/>
      <c r="C99" s="80"/>
      <c r="D99" s="81"/>
    </row>
    <row r="100" spans="1:12">
      <c r="A100" s="84" t="s">
        <v>96</v>
      </c>
      <c r="B100" s="77"/>
      <c r="C100" s="80"/>
      <c r="D100" s="81"/>
    </row>
    <row r="101" spans="1:12">
      <c r="A101" s="84" t="s">
        <v>97</v>
      </c>
      <c r="B101" s="77">
        <v>2.96</v>
      </c>
      <c r="C101" s="80"/>
      <c r="D101" s="81"/>
    </row>
    <row r="102" spans="1:12">
      <c r="A102" s="84" t="s">
        <v>587</v>
      </c>
      <c r="B102" s="77"/>
      <c r="C102" s="80"/>
      <c r="D102" s="80"/>
    </row>
    <row r="103" spans="1:12" ht="25.5">
      <c r="A103" s="85" t="s">
        <v>98</v>
      </c>
      <c r="B103" s="77"/>
      <c r="C103" s="80"/>
      <c r="D103" s="80"/>
    </row>
    <row r="104" spans="1:12" ht="26.25" thickBot="1">
      <c r="A104" s="86" t="s">
        <v>99</v>
      </c>
      <c r="B104" s="87"/>
      <c r="C104" s="80"/>
      <c r="D104" s="80"/>
    </row>
    <row r="105" spans="1:12" ht="13.5" thickBot="1">
      <c r="B105" s="80"/>
      <c r="C105" s="80"/>
      <c r="D105" s="80"/>
    </row>
    <row r="106" spans="1:12" s="80" customFormat="1" ht="15.75" thickBot="1">
      <c r="A106" s="90" t="s">
        <v>100</v>
      </c>
      <c r="B106" s="91">
        <f>SUM(B2:B44)</f>
        <v>12416.940000000002</v>
      </c>
      <c r="G106" s="83"/>
      <c r="H106" s="8"/>
      <c r="I106" s="8"/>
      <c r="J106" s="8"/>
      <c r="K106" s="8"/>
      <c r="L106" s="8"/>
    </row>
    <row r="107" spans="1:12" s="80" customFormat="1" ht="15.75" thickBot="1">
      <c r="A107" s="94" t="s">
        <v>101</v>
      </c>
      <c r="B107" s="95">
        <f>SUM(G2:G42)</f>
        <v>4559.7700000000004</v>
      </c>
      <c r="G107" s="83"/>
      <c r="H107" s="8"/>
      <c r="I107" s="8"/>
      <c r="J107" s="8"/>
      <c r="K107" s="8"/>
      <c r="L107" s="8"/>
    </row>
    <row r="108" spans="1:12" ht="15.75" thickBot="1">
      <c r="A108" s="97" t="s">
        <v>102</v>
      </c>
      <c r="B108" s="91">
        <f>SUM(B46:B104)</f>
        <v>96.399999999999991</v>
      </c>
    </row>
    <row r="109" spans="1:12" ht="15.75" thickBot="1">
      <c r="A109" s="98" t="s">
        <v>103</v>
      </c>
      <c r="B109" s="91">
        <f>B106+B107+B108</f>
        <v>17073.110000000004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07"/>
  <sheetViews>
    <sheetView workbookViewId="0">
      <selection activeCell="A6" sqref="A6"/>
    </sheetView>
  </sheetViews>
  <sheetFormatPr defaultColWidth="19.7109375" defaultRowHeight="12.75"/>
  <cols>
    <col min="1" max="1" width="31.5703125" style="8" customWidth="1"/>
    <col min="2" max="2" width="22.7109375" style="8" customWidth="1"/>
    <col min="3" max="3" width="22" style="8" customWidth="1"/>
    <col min="4" max="4" width="22.140625" style="8" customWidth="1"/>
    <col min="5" max="5" width="21.7109375" style="80" customWidth="1"/>
    <col min="6" max="6" width="24.85546875" style="80" customWidth="1"/>
    <col min="7" max="7" width="24.28515625" style="83" customWidth="1"/>
    <col min="8" max="16384" width="19.7109375" style="8"/>
  </cols>
  <sheetData>
    <row r="1" spans="1:12" ht="30.75" thickBo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6" t="s">
        <v>6</v>
      </c>
      <c r="H1" s="7"/>
    </row>
    <row r="2" spans="1:12">
      <c r="A2" s="9" t="s">
        <v>7</v>
      </c>
      <c r="B2" s="10">
        <f>7.48+1009.69</f>
        <v>1017.1700000000001</v>
      </c>
      <c r="C2" s="10">
        <f>7.48+1009.69</f>
        <v>1017.1700000000001</v>
      </c>
      <c r="D2" s="11">
        <f>B2-C2</f>
        <v>0</v>
      </c>
      <c r="E2" s="12"/>
      <c r="F2" s="10"/>
      <c r="G2" s="13"/>
    </row>
    <row r="3" spans="1:12" s="19" customFormat="1" ht="13.5" thickBot="1">
      <c r="A3" s="14" t="s">
        <v>8</v>
      </c>
      <c r="B3" s="15"/>
      <c r="C3" s="15"/>
      <c r="D3" s="16">
        <f>B3-C3</f>
        <v>0</v>
      </c>
      <c r="E3" s="15"/>
      <c r="F3" s="15"/>
      <c r="G3" s="17">
        <v>45.38</v>
      </c>
      <c r="H3" s="18"/>
      <c r="I3" s="18"/>
      <c r="J3" s="18"/>
      <c r="K3" s="18"/>
      <c r="L3" s="18"/>
    </row>
    <row r="4" spans="1:12" ht="30">
      <c r="A4" s="20" t="s">
        <v>9</v>
      </c>
      <c r="B4" s="21" t="s">
        <v>1</v>
      </c>
      <c r="C4" s="22" t="s">
        <v>10</v>
      </c>
      <c r="D4" s="23" t="s">
        <v>11</v>
      </c>
      <c r="E4" s="21" t="s">
        <v>4</v>
      </c>
      <c r="F4" s="21" t="s">
        <v>12</v>
      </c>
      <c r="G4" s="24" t="s">
        <v>13</v>
      </c>
      <c r="H4" s="25"/>
    </row>
    <row r="5" spans="1:12" s="19" customFormat="1">
      <c r="A5" s="26" t="s">
        <v>14</v>
      </c>
      <c r="B5" s="27"/>
      <c r="C5" s="28"/>
      <c r="D5" s="28">
        <f t="shared" ref="D5:D34" si="0">B5-C5</f>
        <v>0</v>
      </c>
      <c r="E5" s="28"/>
      <c r="F5" s="29"/>
      <c r="G5" s="30">
        <v>4.4560000000000004</v>
      </c>
      <c r="H5" s="18"/>
      <c r="I5" s="18"/>
      <c r="J5" s="18"/>
      <c r="K5" s="18"/>
      <c r="L5" s="18"/>
    </row>
    <row r="6" spans="1:12" s="19" customFormat="1">
      <c r="A6" s="26" t="s">
        <v>15</v>
      </c>
      <c r="B6" s="27"/>
      <c r="C6" s="28"/>
      <c r="D6" s="28">
        <f>B6-C6</f>
        <v>0</v>
      </c>
      <c r="E6" s="28"/>
      <c r="F6" s="29"/>
      <c r="G6" s="30"/>
      <c r="H6" s="18"/>
      <c r="I6" s="18"/>
      <c r="J6" s="18"/>
      <c r="K6" s="18"/>
      <c r="L6" s="18"/>
    </row>
    <row r="7" spans="1:12" s="19" customFormat="1" ht="13.5" customHeight="1">
      <c r="A7" s="26" t="s">
        <v>15</v>
      </c>
      <c r="B7" s="32">
        <f>988.18+204.95</f>
        <v>1193.1299999999999</v>
      </c>
      <c r="C7" s="28">
        <f>995.71+24.95</f>
        <v>1020.6600000000001</v>
      </c>
      <c r="D7" s="28">
        <f t="shared" si="0"/>
        <v>172.4699999999998</v>
      </c>
      <c r="E7" s="28"/>
      <c r="F7" s="29"/>
      <c r="G7" s="33"/>
      <c r="H7" s="18"/>
      <c r="I7" s="18"/>
      <c r="J7" s="18"/>
      <c r="K7" s="18"/>
      <c r="L7" s="18"/>
    </row>
    <row r="8" spans="1:12" s="19" customFormat="1">
      <c r="A8" s="31" t="s">
        <v>17</v>
      </c>
      <c r="B8" s="32"/>
      <c r="C8" s="28"/>
      <c r="D8" s="28">
        <f t="shared" si="0"/>
        <v>0</v>
      </c>
      <c r="E8" s="28"/>
      <c r="F8" s="29"/>
      <c r="G8" s="33"/>
      <c r="H8" s="18"/>
      <c r="I8" s="18"/>
      <c r="J8" s="18"/>
      <c r="K8" s="18"/>
      <c r="L8" s="18"/>
    </row>
    <row r="9" spans="1:12" s="19" customFormat="1">
      <c r="A9" s="31" t="s">
        <v>18</v>
      </c>
      <c r="B9" s="32"/>
      <c r="C9" s="28"/>
      <c r="D9" s="28">
        <f>B9-C9</f>
        <v>0</v>
      </c>
      <c r="E9" s="28"/>
      <c r="F9" s="29"/>
      <c r="G9" s="33"/>
      <c r="H9" s="18"/>
      <c r="I9" s="18"/>
      <c r="J9" s="18"/>
      <c r="K9" s="18"/>
      <c r="L9" s="18"/>
    </row>
    <row r="10" spans="1:12" s="19" customFormat="1">
      <c r="A10" s="31" t="s">
        <v>20</v>
      </c>
      <c r="B10" s="32"/>
      <c r="C10" s="28"/>
      <c r="D10" s="28">
        <f t="shared" si="0"/>
        <v>0</v>
      </c>
      <c r="E10" s="28"/>
      <c r="F10" s="29"/>
      <c r="G10" s="33"/>
      <c r="H10" s="18"/>
      <c r="I10" s="18"/>
      <c r="J10" s="18"/>
      <c r="K10" s="18"/>
      <c r="L10" s="18"/>
    </row>
    <row r="11" spans="1:12" s="19" customFormat="1">
      <c r="A11" s="31" t="s">
        <v>492</v>
      </c>
      <c r="B11" s="32"/>
      <c r="C11" s="28"/>
      <c r="D11" s="28">
        <f t="shared" si="0"/>
        <v>0</v>
      </c>
      <c r="E11" s="28"/>
      <c r="F11" s="29"/>
      <c r="G11" s="33">
        <v>4.24</v>
      </c>
      <c r="H11" s="18"/>
      <c r="I11" s="18"/>
      <c r="J11" s="18"/>
      <c r="K11" s="18"/>
      <c r="L11" s="18"/>
    </row>
    <row r="12" spans="1:12" s="19" customFormat="1">
      <c r="A12" s="31" t="s">
        <v>21</v>
      </c>
      <c r="B12" s="32">
        <f>208.39+52.1+207.1</f>
        <v>467.59000000000003</v>
      </c>
      <c r="C12" s="28">
        <f>208.39+52.1+709.5</f>
        <v>969.99</v>
      </c>
      <c r="D12" s="28">
        <f t="shared" si="0"/>
        <v>-502.4</v>
      </c>
      <c r="E12" s="28"/>
      <c r="F12" s="29"/>
      <c r="G12" s="33"/>
      <c r="H12" s="18"/>
      <c r="I12" s="18"/>
      <c r="J12" s="18"/>
      <c r="K12" s="18"/>
      <c r="L12" s="18"/>
    </row>
    <row r="13" spans="1:12" s="19" customFormat="1">
      <c r="A13" s="31" t="s">
        <v>488</v>
      </c>
      <c r="B13" s="32">
        <v>580.79999999999995</v>
      </c>
      <c r="C13" s="28">
        <v>0</v>
      </c>
      <c r="D13" s="28">
        <f t="shared" si="0"/>
        <v>580.79999999999995</v>
      </c>
      <c r="E13" s="28"/>
      <c r="F13" s="29"/>
      <c r="G13" s="33"/>
      <c r="H13" s="18"/>
      <c r="I13" s="18"/>
      <c r="J13" s="18"/>
      <c r="K13" s="18"/>
      <c r="L13" s="18"/>
    </row>
    <row r="14" spans="1:12" s="19" customFormat="1">
      <c r="A14" s="31" t="s">
        <v>22</v>
      </c>
      <c r="B14" s="32"/>
      <c r="C14" s="28"/>
      <c r="D14" s="28">
        <f t="shared" si="0"/>
        <v>0</v>
      </c>
      <c r="E14" s="28"/>
      <c r="F14" s="29"/>
      <c r="G14" s="33"/>
      <c r="H14" s="18"/>
      <c r="I14" s="18"/>
      <c r="J14" s="18"/>
      <c r="K14" s="18"/>
      <c r="L14" s="18"/>
    </row>
    <row r="15" spans="1:12" s="19" customFormat="1">
      <c r="A15" s="31" t="s">
        <v>388</v>
      </c>
      <c r="B15" s="32"/>
      <c r="C15" s="28"/>
      <c r="D15" s="28">
        <f t="shared" si="0"/>
        <v>0</v>
      </c>
      <c r="E15" s="28"/>
      <c r="F15" s="29"/>
      <c r="G15" s="33"/>
      <c r="H15" s="18"/>
      <c r="I15" s="18"/>
      <c r="J15" s="18"/>
      <c r="K15" s="18"/>
      <c r="L15" s="18"/>
    </row>
    <row r="16" spans="1:12" s="19" customFormat="1">
      <c r="A16" s="31" t="s">
        <v>495</v>
      </c>
      <c r="B16" s="32"/>
      <c r="C16" s="28"/>
      <c r="D16" s="28">
        <f>B16-C16</f>
        <v>0</v>
      </c>
      <c r="E16" s="28"/>
      <c r="F16" s="29"/>
      <c r="G16" s="33"/>
      <c r="H16" s="18"/>
      <c r="I16" s="18"/>
      <c r="J16" s="18"/>
      <c r="K16" s="18"/>
      <c r="L16" s="18"/>
    </row>
    <row r="17" spans="1:12" s="19" customFormat="1">
      <c r="A17" s="31" t="s">
        <v>389</v>
      </c>
      <c r="B17" s="32"/>
      <c r="C17" s="28"/>
      <c r="D17" s="28">
        <f t="shared" si="0"/>
        <v>0</v>
      </c>
      <c r="E17" s="28"/>
      <c r="F17" s="29"/>
      <c r="G17" s="33"/>
      <c r="H17" s="18"/>
      <c r="I17" s="18"/>
      <c r="J17" s="18"/>
      <c r="K17" s="18"/>
      <c r="L17" s="18"/>
    </row>
    <row r="18" spans="1:12" s="19" customFormat="1">
      <c r="A18" s="31" t="s">
        <v>25</v>
      </c>
      <c r="B18" s="32"/>
      <c r="C18" s="28"/>
      <c r="D18" s="28">
        <f t="shared" si="0"/>
        <v>0</v>
      </c>
      <c r="E18" s="28"/>
      <c r="F18" s="35"/>
      <c r="G18" s="33"/>
      <c r="H18" s="18"/>
      <c r="I18" s="18"/>
      <c r="J18" s="18"/>
      <c r="K18" s="18"/>
      <c r="L18" s="18"/>
    </row>
    <row r="19" spans="1:12" s="19" customFormat="1">
      <c r="A19" s="26" t="s">
        <v>26</v>
      </c>
      <c r="B19" s="27"/>
      <c r="C19" s="28"/>
      <c r="D19" s="28">
        <f t="shared" si="0"/>
        <v>0</v>
      </c>
      <c r="E19" s="28"/>
      <c r="F19" s="35"/>
      <c r="G19" s="36">
        <v>0.51</v>
      </c>
      <c r="H19" s="18"/>
      <c r="I19" s="18"/>
      <c r="J19" s="18"/>
      <c r="K19" s="18"/>
      <c r="L19" s="18"/>
    </row>
    <row r="20" spans="1:12" s="19" customFormat="1">
      <c r="A20" s="26" t="s">
        <v>27</v>
      </c>
      <c r="B20" s="27">
        <f>864.52+505.72</f>
        <v>1370.24</v>
      </c>
      <c r="C20" s="28">
        <f>43.9+820.62+517.67</f>
        <v>1382.19</v>
      </c>
      <c r="D20" s="28">
        <f t="shared" si="0"/>
        <v>-11.950000000000045</v>
      </c>
      <c r="E20" s="28"/>
      <c r="F20" s="35"/>
      <c r="G20" s="123">
        <v>93.34</v>
      </c>
      <c r="H20" s="18"/>
      <c r="I20" s="18"/>
      <c r="J20" s="18"/>
      <c r="K20" s="18"/>
      <c r="L20" s="18"/>
    </row>
    <row r="21" spans="1:12" s="19" customFormat="1">
      <c r="A21" s="26" t="s">
        <v>28</v>
      </c>
      <c r="B21" s="27"/>
      <c r="C21" s="28"/>
      <c r="D21" s="28">
        <f t="shared" si="0"/>
        <v>0</v>
      </c>
      <c r="E21" s="28"/>
      <c r="F21" s="35"/>
      <c r="G21" s="36">
        <v>0</v>
      </c>
      <c r="H21" s="18"/>
      <c r="I21" s="18"/>
      <c r="J21" s="18"/>
      <c r="K21" s="18"/>
      <c r="L21" s="18"/>
    </row>
    <row r="22" spans="1:12" s="19" customFormat="1">
      <c r="A22" s="26" t="s">
        <v>29</v>
      </c>
      <c r="B22" s="27"/>
      <c r="C22" s="28"/>
      <c r="D22" s="28">
        <f t="shared" si="0"/>
        <v>0</v>
      </c>
      <c r="E22" s="28"/>
      <c r="F22" s="37"/>
      <c r="G22" s="36">
        <v>5.28</v>
      </c>
      <c r="H22" s="18"/>
      <c r="I22" s="18"/>
      <c r="J22" s="18"/>
      <c r="K22" s="18"/>
      <c r="L22" s="18"/>
    </row>
    <row r="23" spans="1:12" s="19" customFormat="1">
      <c r="A23" s="26" t="s">
        <v>30</v>
      </c>
      <c r="B23" s="27"/>
      <c r="C23" s="28"/>
      <c r="D23" s="28">
        <f t="shared" si="0"/>
        <v>0</v>
      </c>
      <c r="E23" s="28"/>
      <c r="F23" s="37"/>
      <c r="G23" s="36"/>
      <c r="H23" s="18"/>
      <c r="I23" s="18"/>
      <c r="J23" s="18"/>
      <c r="K23" s="18"/>
      <c r="L23" s="18"/>
    </row>
    <row r="24" spans="1:12" s="19" customFormat="1">
      <c r="A24" s="26" t="s">
        <v>31</v>
      </c>
      <c r="B24" s="27"/>
      <c r="C24" s="28"/>
      <c r="D24" s="28">
        <f t="shared" si="0"/>
        <v>0</v>
      </c>
      <c r="E24" s="28"/>
      <c r="F24" s="29"/>
      <c r="G24" s="30"/>
      <c r="H24" s="18"/>
      <c r="I24" s="18"/>
      <c r="J24" s="18"/>
      <c r="K24" s="18"/>
      <c r="L24" s="18"/>
    </row>
    <row r="25" spans="1:12" s="19" customFormat="1">
      <c r="A25" s="26" t="s">
        <v>476</v>
      </c>
      <c r="B25" s="136">
        <f>611.99+46.6</f>
        <v>658.59</v>
      </c>
      <c r="C25" s="137">
        <v>0</v>
      </c>
      <c r="D25" s="137">
        <f t="shared" si="0"/>
        <v>658.59</v>
      </c>
      <c r="E25" s="28"/>
      <c r="F25" s="29"/>
      <c r="G25" s="30"/>
      <c r="H25" s="18"/>
      <c r="I25" s="18"/>
      <c r="J25" s="18"/>
      <c r="K25" s="18"/>
      <c r="L25" s="18"/>
    </row>
    <row r="26" spans="1:12" s="19" customFormat="1">
      <c r="A26" s="26" t="s">
        <v>493</v>
      </c>
      <c r="B26" s="39">
        <v>1184.06</v>
      </c>
      <c r="C26" s="35">
        <v>0</v>
      </c>
      <c r="D26" s="40">
        <f t="shared" si="0"/>
        <v>1184.06</v>
      </c>
      <c r="E26" s="28"/>
      <c r="F26" s="29"/>
      <c r="G26" s="30"/>
      <c r="H26" s="18"/>
      <c r="I26" s="18"/>
      <c r="J26" s="18"/>
      <c r="K26" s="18"/>
      <c r="L26" s="18"/>
    </row>
    <row r="27" spans="1:12" s="19" customFormat="1">
      <c r="A27" s="31" t="s">
        <v>320</v>
      </c>
      <c r="B27" s="32"/>
      <c r="C27" s="28"/>
      <c r="D27" s="28">
        <f t="shared" si="0"/>
        <v>0</v>
      </c>
      <c r="E27" s="28"/>
      <c r="F27" s="29"/>
      <c r="G27" s="33">
        <v>1.37</v>
      </c>
      <c r="H27" s="18"/>
      <c r="I27" s="18"/>
      <c r="J27" s="18"/>
      <c r="K27" s="18"/>
      <c r="L27" s="18"/>
    </row>
    <row r="28" spans="1:12" s="19" customFormat="1" ht="12.75" customHeight="1">
      <c r="A28" s="38" t="s">
        <v>33</v>
      </c>
      <c r="B28" s="39">
        <f>178.84+1397.56</f>
        <v>1576.3999999999999</v>
      </c>
      <c r="C28" s="35">
        <v>0</v>
      </c>
      <c r="D28" s="40">
        <f t="shared" si="0"/>
        <v>1576.3999999999999</v>
      </c>
      <c r="E28" s="28"/>
      <c r="F28" s="29"/>
      <c r="G28" s="41">
        <v>306.62</v>
      </c>
      <c r="H28" s="42"/>
      <c r="I28" s="18"/>
      <c r="J28" s="18"/>
      <c r="K28" s="18"/>
      <c r="L28" s="18"/>
    </row>
    <row r="29" spans="1:12" s="19" customFormat="1">
      <c r="A29" s="31" t="s">
        <v>34</v>
      </c>
      <c r="B29" s="32"/>
      <c r="C29" s="28"/>
      <c r="D29" s="28">
        <f t="shared" si="0"/>
        <v>0</v>
      </c>
      <c r="E29" s="28"/>
      <c r="F29" s="29"/>
      <c r="G29" s="33"/>
      <c r="H29" s="18"/>
      <c r="I29" s="18"/>
      <c r="J29" s="18"/>
      <c r="K29" s="18"/>
      <c r="L29" s="18"/>
    </row>
    <row r="30" spans="1:12" s="19" customFormat="1" ht="12.75" customHeight="1">
      <c r="A30" s="31" t="s">
        <v>35</v>
      </c>
      <c r="B30" s="39">
        <f>17.58+76+424.81+131.85</f>
        <v>650.24</v>
      </c>
      <c r="C30" s="35">
        <f>76+424.81</f>
        <v>500.81</v>
      </c>
      <c r="D30" s="40">
        <f t="shared" si="0"/>
        <v>149.43</v>
      </c>
      <c r="E30" s="28"/>
      <c r="F30" s="29"/>
      <c r="G30" s="33"/>
      <c r="H30" s="42"/>
      <c r="I30" s="18"/>
      <c r="J30" s="18"/>
      <c r="K30" s="18"/>
      <c r="L30" s="18"/>
    </row>
    <row r="31" spans="1:12" s="19" customFormat="1" ht="12.75" customHeight="1">
      <c r="A31" s="38" t="s">
        <v>36</v>
      </c>
      <c r="B31" s="39"/>
      <c r="C31" s="35"/>
      <c r="D31" s="28">
        <f t="shared" si="0"/>
        <v>0</v>
      </c>
      <c r="E31" s="28"/>
      <c r="F31" s="29"/>
      <c r="G31" s="41"/>
      <c r="H31" s="42"/>
      <c r="I31" s="18"/>
      <c r="J31" s="18"/>
      <c r="K31" s="18"/>
      <c r="L31" s="18"/>
    </row>
    <row r="32" spans="1:12" s="19" customFormat="1" ht="12.75" customHeight="1">
      <c r="A32" s="38" t="s">
        <v>37</v>
      </c>
      <c r="B32" s="39"/>
      <c r="C32" s="35"/>
      <c r="D32" s="28">
        <f t="shared" si="0"/>
        <v>0</v>
      </c>
      <c r="E32" s="28"/>
      <c r="F32" s="29"/>
      <c r="G32" s="41"/>
      <c r="H32" s="42"/>
      <c r="I32" s="18"/>
      <c r="J32" s="18"/>
      <c r="K32" s="18"/>
      <c r="L32" s="18"/>
    </row>
    <row r="33" spans="1:12" s="19" customFormat="1" ht="12.75" customHeight="1">
      <c r="A33" s="38" t="s">
        <v>494</v>
      </c>
      <c r="B33" s="62"/>
      <c r="C33" s="139"/>
      <c r="D33" s="28">
        <f t="shared" si="0"/>
        <v>0</v>
      </c>
      <c r="E33" s="140"/>
      <c r="F33" s="141"/>
      <c r="G33" s="41"/>
      <c r="H33" s="42"/>
      <c r="I33" s="18"/>
      <c r="J33" s="18"/>
      <c r="K33" s="18"/>
      <c r="L33" s="18"/>
    </row>
    <row r="34" spans="1:12" s="19" customFormat="1" ht="13.5" thickBot="1">
      <c r="A34" s="43" t="s">
        <v>38</v>
      </c>
      <c r="B34" s="44">
        <f>595.66+177.75</f>
        <v>773.41</v>
      </c>
      <c r="C34" s="44">
        <f>55.41+168.8</f>
        <v>224.21</v>
      </c>
      <c r="D34" s="45">
        <f t="shared" si="0"/>
        <v>549.19999999999993</v>
      </c>
      <c r="E34" s="46"/>
      <c r="F34" s="46"/>
      <c r="G34" s="124">
        <v>315.08</v>
      </c>
      <c r="H34" s="18"/>
      <c r="I34" s="18"/>
      <c r="J34" s="18"/>
      <c r="K34" s="18"/>
      <c r="L34" s="18"/>
    </row>
    <row r="35" spans="1:12" s="19" customFormat="1" ht="30.75" thickBot="1">
      <c r="A35" s="47" t="s">
        <v>39</v>
      </c>
      <c r="B35" s="2" t="s">
        <v>1</v>
      </c>
      <c r="C35" s="48" t="s">
        <v>10</v>
      </c>
      <c r="D35" s="4" t="s">
        <v>11</v>
      </c>
      <c r="E35" s="2" t="s">
        <v>4</v>
      </c>
      <c r="F35" s="2" t="s">
        <v>12</v>
      </c>
      <c r="G35" s="6" t="s">
        <v>13</v>
      </c>
      <c r="H35" s="49"/>
    </row>
    <row r="36" spans="1:12" s="19" customFormat="1" ht="15.75" thickBot="1">
      <c r="A36" s="9" t="s">
        <v>40</v>
      </c>
      <c r="B36" s="50"/>
      <c r="C36" s="51"/>
      <c r="D36" s="52">
        <f>B36-C36</f>
        <v>0</v>
      </c>
      <c r="E36" s="53"/>
      <c r="F36" s="54"/>
      <c r="G36" s="55">
        <v>50.96</v>
      </c>
      <c r="H36" s="18"/>
      <c r="I36" s="18"/>
      <c r="J36" s="18"/>
      <c r="K36" s="18"/>
      <c r="L36" s="18"/>
    </row>
    <row r="37" spans="1:12" s="19" customFormat="1" ht="30.75" thickBot="1">
      <c r="A37" s="47" t="s">
        <v>41</v>
      </c>
      <c r="B37" s="2" t="s">
        <v>1</v>
      </c>
      <c r="C37" s="48" t="s">
        <v>10</v>
      </c>
      <c r="D37" s="4" t="s">
        <v>11</v>
      </c>
      <c r="E37" s="2" t="s">
        <v>4</v>
      </c>
      <c r="F37" s="2" t="s">
        <v>12</v>
      </c>
      <c r="G37" s="6" t="s">
        <v>13</v>
      </c>
      <c r="H37" s="49"/>
    </row>
    <row r="38" spans="1:12" s="19" customFormat="1" ht="15">
      <c r="A38" s="9" t="s">
        <v>42</v>
      </c>
      <c r="B38" s="10"/>
      <c r="C38" s="56"/>
      <c r="D38" s="57">
        <f>B38-C38</f>
        <v>0</v>
      </c>
      <c r="E38" s="58"/>
      <c r="F38" s="21"/>
      <c r="G38" s="126"/>
      <c r="H38" s="18"/>
      <c r="I38" s="18"/>
      <c r="J38" s="18"/>
      <c r="K38" s="18"/>
      <c r="L38" s="18"/>
    </row>
    <row r="39" spans="1:12" s="19" customFormat="1" ht="17.25" customHeight="1">
      <c r="A39" s="31" t="s">
        <v>43</v>
      </c>
      <c r="B39" s="32"/>
      <c r="C39" s="59"/>
      <c r="D39" s="35">
        <f>B39-C39</f>
        <v>0</v>
      </c>
      <c r="E39" s="39"/>
      <c r="F39" s="32"/>
      <c r="G39" s="33"/>
      <c r="H39" s="18"/>
      <c r="I39" s="18"/>
      <c r="J39" s="18"/>
      <c r="K39" s="18"/>
      <c r="L39" s="18"/>
    </row>
    <row r="40" spans="1:12" s="19" customFormat="1">
      <c r="A40" s="38" t="s">
        <v>45</v>
      </c>
      <c r="B40" s="44">
        <f>223.65+635.58</f>
        <v>859.23</v>
      </c>
      <c r="C40" s="44">
        <f>203.3+635.58</f>
        <v>838.88000000000011</v>
      </c>
      <c r="D40" s="45">
        <f>B40-C40</f>
        <v>20.349999999999909</v>
      </c>
      <c r="E40" s="61"/>
      <c r="F40" s="62"/>
      <c r="G40" s="125">
        <v>743.58</v>
      </c>
      <c r="K40" s="18"/>
      <c r="L40" s="18"/>
    </row>
    <row r="41" spans="1:12" s="19" customFormat="1">
      <c r="A41" s="38" t="s">
        <v>46</v>
      </c>
      <c r="B41" s="39">
        <f>49.3+43.94+311.56+558.72</f>
        <v>963.52</v>
      </c>
      <c r="C41" s="35">
        <f>133.8+43.94+48.6+262.96+560.99</f>
        <v>1050.29</v>
      </c>
      <c r="D41" s="35">
        <f>B41-C41</f>
        <v>-86.769999999999982</v>
      </c>
      <c r="E41" s="61"/>
      <c r="F41" s="62"/>
      <c r="G41" s="63"/>
      <c r="K41" s="18"/>
      <c r="L41" s="18"/>
    </row>
    <row r="42" spans="1:12" s="19" customFormat="1" ht="13.5" thickBot="1">
      <c r="A42" s="43" t="s">
        <v>387</v>
      </c>
      <c r="B42" s="64">
        <v>3278.07</v>
      </c>
      <c r="C42" s="65">
        <v>0</v>
      </c>
      <c r="D42" s="64">
        <f>B42</f>
        <v>3278.07</v>
      </c>
      <c r="E42" s="66"/>
      <c r="F42" s="67"/>
      <c r="G42" s="154">
        <v>124.44</v>
      </c>
      <c r="K42" s="18"/>
      <c r="L42" s="18"/>
    </row>
    <row r="43" spans="1:12" ht="34.5" customHeight="1" thickBot="1">
      <c r="A43" s="47" t="s">
        <v>48</v>
      </c>
      <c r="B43" s="2" t="s">
        <v>1</v>
      </c>
      <c r="C43" s="48" t="s">
        <v>10</v>
      </c>
      <c r="D43" s="4" t="s">
        <v>11</v>
      </c>
      <c r="E43" s="2" t="s">
        <v>4</v>
      </c>
      <c r="F43" s="5" t="s">
        <v>5</v>
      </c>
      <c r="G43" s="68"/>
      <c r="H43" s="18"/>
      <c r="I43" s="18"/>
      <c r="J43" s="18"/>
      <c r="K43" s="18"/>
      <c r="L43" s="18"/>
    </row>
    <row r="44" spans="1:12" ht="19.5" customHeight="1" thickBot="1">
      <c r="A44" s="9" t="s">
        <v>49</v>
      </c>
      <c r="B44" s="69"/>
      <c r="C44" s="69"/>
      <c r="D44" s="70">
        <f>B44-C44</f>
        <v>0</v>
      </c>
      <c r="E44" s="71"/>
      <c r="F44" s="72"/>
      <c r="G44" s="68"/>
    </row>
    <row r="45" spans="1:12" ht="19.5" customHeight="1" thickBot="1">
      <c r="A45" s="47" t="s">
        <v>50</v>
      </c>
      <c r="B45" s="73" t="s">
        <v>51</v>
      </c>
      <c r="C45" s="68"/>
      <c r="D45" s="68"/>
      <c r="E45" s="68"/>
      <c r="F45" s="68"/>
      <c r="G45" s="68"/>
      <c r="H45" s="18"/>
      <c r="I45" s="18"/>
      <c r="J45" s="18"/>
      <c r="K45" s="18"/>
      <c r="L45" s="18"/>
    </row>
    <row r="46" spans="1:12" ht="30" customHeight="1">
      <c r="A46" s="74" t="s">
        <v>572</v>
      </c>
      <c r="B46" s="75">
        <v>0</v>
      </c>
      <c r="C46" s="68"/>
      <c r="D46" s="68"/>
      <c r="E46" s="68"/>
      <c r="F46" s="68"/>
      <c r="G46" s="68"/>
    </row>
    <row r="47" spans="1:12" ht="15">
      <c r="A47" s="76" t="s">
        <v>53</v>
      </c>
      <c r="B47" s="77"/>
      <c r="C47" s="68"/>
      <c r="D47" s="68"/>
      <c r="E47" s="68"/>
      <c r="F47" s="68"/>
      <c r="G47" s="68"/>
    </row>
    <row r="48" spans="1:12" ht="15">
      <c r="A48" s="76" t="s">
        <v>54</v>
      </c>
      <c r="B48" s="77"/>
      <c r="C48" s="68"/>
      <c r="D48" s="68"/>
      <c r="E48" s="68"/>
      <c r="F48" s="68"/>
      <c r="G48" s="68"/>
    </row>
    <row r="49" spans="1:12" ht="15">
      <c r="A49" s="76" t="s">
        <v>55</v>
      </c>
      <c r="B49" s="77"/>
      <c r="C49" s="68"/>
      <c r="D49" s="68"/>
      <c r="E49" s="68"/>
      <c r="F49" s="68"/>
      <c r="G49" s="68"/>
    </row>
    <row r="50" spans="1:12" ht="15">
      <c r="A50" s="31" t="s">
        <v>56</v>
      </c>
      <c r="B50" s="77"/>
      <c r="C50" s="68"/>
      <c r="D50" s="68"/>
      <c r="E50" s="68"/>
      <c r="F50" s="68"/>
      <c r="G50" s="68"/>
    </row>
    <row r="51" spans="1:12" ht="15">
      <c r="A51" s="31" t="s">
        <v>188</v>
      </c>
      <c r="B51" s="77"/>
      <c r="C51" s="68"/>
      <c r="D51" s="68"/>
      <c r="E51" s="68"/>
      <c r="F51" s="68"/>
      <c r="G51" s="68"/>
    </row>
    <row r="52" spans="1:12" ht="25.5">
      <c r="A52" s="78" t="s">
        <v>586</v>
      </c>
      <c r="B52" s="77">
        <v>0</v>
      </c>
      <c r="C52" s="68"/>
      <c r="D52" s="68"/>
      <c r="E52" s="68"/>
      <c r="F52" s="68"/>
      <c r="G52" s="68"/>
    </row>
    <row r="53" spans="1:12" ht="25.5">
      <c r="A53" s="78" t="s">
        <v>58</v>
      </c>
      <c r="B53" s="77"/>
      <c r="C53" s="68"/>
      <c r="D53" s="68"/>
      <c r="E53" s="68"/>
      <c r="F53" s="68"/>
      <c r="G53" s="68"/>
    </row>
    <row r="54" spans="1:12" ht="25.5">
      <c r="A54" s="78" t="s">
        <v>478</v>
      </c>
      <c r="B54" s="77">
        <v>0.03</v>
      </c>
      <c r="C54" s="68"/>
      <c r="D54" s="68"/>
      <c r="E54" s="68"/>
      <c r="F54" s="68"/>
      <c r="G54" s="68"/>
    </row>
    <row r="55" spans="1:12" ht="15">
      <c r="A55" s="26" t="s">
        <v>60</v>
      </c>
      <c r="B55" s="77"/>
      <c r="C55" s="68"/>
      <c r="D55" s="68"/>
      <c r="E55" s="68"/>
      <c r="F55" s="68"/>
      <c r="G55" s="68"/>
    </row>
    <row r="56" spans="1:12" ht="14.25" customHeight="1">
      <c r="A56" s="76" t="s">
        <v>61</v>
      </c>
      <c r="B56" s="77"/>
      <c r="C56" s="144" t="s">
        <v>590</v>
      </c>
      <c r="D56" s="68"/>
      <c r="E56" s="68"/>
      <c r="F56" s="68"/>
      <c r="G56" s="68"/>
    </row>
    <row r="57" spans="1:12" ht="26.25" customHeight="1">
      <c r="A57" s="76" t="s">
        <v>62</v>
      </c>
      <c r="B57" s="77"/>
      <c r="C57" s="144" t="s">
        <v>590</v>
      </c>
      <c r="D57" s="68"/>
      <c r="E57" s="68"/>
      <c r="F57" s="68"/>
      <c r="G57" s="68"/>
    </row>
    <row r="58" spans="1:12" ht="33" customHeight="1">
      <c r="A58" s="76" t="s">
        <v>63</v>
      </c>
      <c r="B58" s="77">
        <v>0</v>
      </c>
      <c r="C58" s="68"/>
      <c r="D58" s="68"/>
      <c r="E58" s="68"/>
      <c r="F58" s="68"/>
      <c r="G58" s="68"/>
      <c r="J58" s="18"/>
      <c r="K58" s="18"/>
      <c r="L58" s="18"/>
    </row>
    <row r="59" spans="1:12" ht="32.25" customHeight="1">
      <c r="A59" s="76" t="s">
        <v>64</v>
      </c>
      <c r="B59" s="77"/>
      <c r="C59" s="68"/>
      <c r="D59" s="68"/>
      <c r="E59" s="68"/>
      <c r="F59" s="68"/>
      <c r="G59" s="68"/>
    </row>
    <row r="60" spans="1:12" ht="31.5" customHeight="1">
      <c r="A60" s="76" t="s">
        <v>65</v>
      </c>
      <c r="B60" s="77"/>
      <c r="C60" s="68"/>
      <c r="D60" s="68"/>
      <c r="E60" s="68"/>
      <c r="F60" s="68"/>
      <c r="G60" s="68"/>
    </row>
    <row r="61" spans="1:12" s="19" customFormat="1" ht="15">
      <c r="A61" s="76" t="s">
        <v>66</v>
      </c>
      <c r="B61" s="77"/>
      <c r="C61" s="144" t="s">
        <v>589</v>
      </c>
      <c r="D61" s="68"/>
      <c r="E61" s="68"/>
      <c r="F61" s="68"/>
      <c r="G61" s="68"/>
      <c r="H61" s="8"/>
      <c r="I61" s="8"/>
      <c r="J61" s="18"/>
      <c r="K61" s="18"/>
      <c r="L61" s="18"/>
    </row>
    <row r="62" spans="1:12" s="19" customFormat="1" ht="15">
      <c r="A62" s="76" t="s">
        <v>67</v>
      </c>
      <c r="B62" s="77"/>
      <c r="C62" s="68"/>
      <c r="D62" s="68"/>
      <c r="E62" s="68"/>
      <c r="F62" s="68"/>
      <c r="G62" s="68"/>
      <c r="H62" s="8"/>
      <c r="I62" s="8"/>
      <c r="J62" s="18"/>
      <c r="K62" s="18"/>
      <c r="L62" s="18"/>
    </row>
    <row r="63" spans="1:12" s="19" customFormat="1" ht="15">
      <c r="A63" s="76" t="s">
        <v>68</v>
      </c>
      <c r="B63" s="77"/>
      <c r="C63" s="68"/>
      <c r="D63" s="68"/>
      <c r="E63" s="68"/>
      <c r="F63" s="68"/>
      <c r="G63" s="68"/>
      <c r="H63" s="8"/>
      <c r="I63" s="8"/>
      <c r="J63" s="18"/>
      <c r="K63" s="18"/>
      <c r="L63" s="18"/>
    </row>
    <row r="64" spans="1:12" s="19" customFormat="1" ht="15">
      <c r="A64" s="76" t="s">
        <v>69</v>
      </c>
      <c r="B64" s="77"/>
      <c r="C64" s="144" t="s">
        <v>590</v>
      </c>
      <c r="D64" s="68"/>
      <c r="E64" s="68"/>
      <c r="F64" s="68"/>
      <c r="G64" s="68"/>
      <c r="H64" s="8"/>
      <c r="I64" s="8"/>
      <c r="J64" s="18"/>
      <c r="K64" s="18"/>
      <c r="L64" s="18"/>
    </row>
    <row r="65" spans="1:12" s="19" customFormat="1" ht="15">
      <c r="A65" s="78" t="s">
        <v>70</v>
      </c>
      <c r="B65" s="77">
        <v>0</v>
      </c>
      <c r="C65" s="68"/>
      <c r="D65" s="68"/>
      <c r="E65" s="68"/>
      <c r="F65" s="68"/>
      <c r="G65" s="68"/>
      <c r="H65" s="8"/>
      <c r="I65" s="8"/>
      <c r="J65" s="18"/>
      <c r="K65" s="18"/>
      <c r="L65" s="18"/>
    </row>
    <row r="66" spans="1:12" s="19" customFormat="1" ht="25.5">
      <c r="A66" s="78" t="s">
        <v>71</v>
      </c>
      <c r="B66" s="77"/>
      <c r="C66" s="144" t="s">
        <v>590</v>
      </c>
      <c r="D66" s="68"/>
      <c r="E66" s="68"/>
      <c r="F66" s="68"/>
      <c r="G66" s="68"/>
      <c r="H66" s="8"/>
      <c r="I66" s="8"/>
      <c r="J66" s="18"/>
      <c r="K66" s="18"/>
      <c r="L66" s="18"/>
    </row>
    <row r="67" spans="1:12" ht="15">
      <c r="A67" s="79" t="s">
        <v>72</v>
      </c>
      <c r="B67" s="77"/>
      <c r="C67" s="144" t="s">
        <v>590</v>
      </c>
      <c r="D67" s="68"/>
      <c r="E67" s="68"/>
      <c r="F67" s="68"/>
      <c r="G67" s="68"/>
    </row>
    <row r="68" spans="1:12" ht="15">
      <c r="A68" s="38" t="s">
        <v>73</v>
      </c>
      <c r="B68" s="77">
        <v>0</v>
      </c>
      <c r="C68" s="68"/>
      <c r="D68" s="68"/>
      <c r="E68" s="68"/>
      <c r="F68" s="68"/>
      <c r="G68" s="68"/>
    </row>
    <row r="69" spans="1:12" ht="15">
      <c r="A69" s="78" t="s">
        <v>74</v>
      </c>
      <c r="B69" s="77">
        <v>0</v>
      </c>
      <c r="C69" s="68"/>
      <c r="D69" s="68"/>
      <c r="E69" s="68"/>
      <c r="F69" s="68"/>
      <c r="G69" s="68"/>
    </row>
    <row r="70" spans="1:12" ht="15">
      <c r="A70" s="78" t="s">
        <v>75</v>
      </c>
      <c r="B70" s="77">
        <v>0</v>
      </c>
      <c r="C70" s="68"/>
      <c r="D70" s="68"/>
      <c r="E70" s="68"/>
      <c r="F70" s="68"/>
      <c r="G70" s="68"/>
    </row>
    <row r="71" spans="1:12" s="19" customFormat="1" ht="15">
      <c r="A71" s="78" t="s">
        <v>680</v>
      </c>
      <c r="B71" s="77">
        <v>0</v>
      </c>
      <c r="C71" s="68"/>
      <c r="D71" s="68"/>
      <c r="E71" s="68"/>
      <c r="F71" s="68"/>
      <c r="G71" s="68"/>
      <c r="H71" s="18"/>
      <c r="I71" s="18"/>
      <c r="J71" s="8"/>
      <c r="K71" s="8"/>
      <c r="L71" s="8"/>
    </row>
    <row r="72" spans="1:12" ht="15">
      <c r="A72" s="78" t="s">
        <v>77</v>
      </c>
      <c r="B72" s="77"/>
      <c r="C72" s="68"/>
      <c r="D72" s="68"/>
      <c r="E72" s="68"/>
      <c r="F72" s="68"/>
      <c r="G72" s="68"/>
      <c r="H72" s="18"/>
      <c r="I72" s="18"/>
    </row>
    <row r="73" spans="1:12" ht="15">
      <c r="A73" s="78" t="s">
        <v>78</v>
      </c>
      <c r="B73" s="77">
        <v>8.26</v>
      </c>
      <c r="C73" s="68"/>
      <c r="D73" s="68"/>
      <c r="E73" s="68"/>
      <c r="F73" s="68"/>
      <c r="G73" s="68"/>
    </row>
    <row r="74" spans="1:12" ht="25.5">
      <c r="A74" s="78" t="s">
        <v>679</v>
      </c>
      <c r="B74" s="77">
        <v>14.46</v>
      </c>
      <c r="C74" s="68"/>
      <c r="D74" s="68"/>
      <c r="E74" s="68"/>
      <c r="F74" s="68"/>
      <c r="G74" s="68"/>
    </row>
    <row r="75" spans="1:12" ht="15">
      <c r="A75" s="78" t="s">
        <v>80</v>
      </c>
      <c r="B75" s="77">
        <v>17.5</v>
      </c>
      <c r="C75" s="68"/>
      <c r="D75" s="68"/>
      <c r="E75" s="68"/>
      <c r="F75" s="68"/>
      <c r="G75" s="68"/>
    </row>
    <row r="76" spans="1:12" ht="15">
      <c r="A76" s="78" t="s">
        <v>574</v>
      </c>
      <c r="B76" s="77">
        <v>0</v>
      </c>
      <c r="C76" s="80"/>
      <c r="D76" s="81"/>
      <c r="E76" s="82"/>
      <c r="F76" s="82"/>
    </row>
    <row r="77" spans="1:12" ht="15">
      <c r="A77" s="78" t="s">
        <v>575</v>
      </c>
      <c r="B77" s="77">
        <v>0</v>
      </c>
      <c r="C77" s="80"/>
      <c r="D77" s="81"/>
      <c r="E77" s="82"/>
      <c r="F77" s="82"/>
    </row>
    <row r="78" spans="1:12" ht="15">
      <c r="A78" s="78" t="s">
        <v>83</v>
      </c>
      <c r="B78" s="77"/>
      <c r="C78" s="144" t="s">
        <v>590</v>
      </c>
      <c r="D78" s="81"/>
      <c r="E78" s="82"/>
      <c r="F78" s="82"/>
    </row>
    <row r="79" spans="1:12" ht="15">
      <c r="A79" s="78" t="s">
        <v>681</v>
      </c>
      <c r="B79" s="77">
        <v>0</v>
      </c>
      <c r="C79" s="80"/>
      <c r="D79" s="81"/>
      <c r="E79" s="82"/>
      <c r="F79" s="82"/>
    </row>
    <row r="80" spans="1:12" ht="15">
      <c r="A80" s="78" t="s">
        <v>85</v>
      </c>
      <c r="B80" s="77"/>
      <c r="C80" s="80"/>
      <c r="D80" s="81"/>
      <c r="E80" s="82"/>
      <c r="F80" s="82"/>
    </row>
    <row r="81" spans="1:12" ht="15">
      <c r="A81" s="78" t="s">
        <v>86</v>
      </c>
      <c r="B81" s="77"/>
      <c r="C81" s="80"/>
      <c r="D81" s="81"/>
      <c r="E81" s="82"/>
      <c r="F81" s="82"/>
    </row>
    <row r="82" spans="1:12" ht="15">
      <c r="A82" s="78" t="s">
        <v>87</v>
      </c>
      <c r="B82" s="77"/>
      <c r="C82" s="80"/>
      <c r="D82" s="81"/>
      <c r="E82" s="82"/>
      <c r="F82" s="82"/>
    </row>
    <row r="83" spans="1:12" ht="25.5">
      <c r="A83" s="78" t="s">
        <v>88</v>
      </c>
      <c r="B83" s="77"/>
      <c r="C83" s="80"/>
      <c r="D83" s="81"/>
      <c r="E83" s="82"/>
      <c r="F83" s="82"/>
    </row>
    <row r="84" spans="1:12" ht="25.5">
      <c r="A84" s="78" t="s">
        <v>89</v>
      </c>
      <c r="B84" s="77"/>
      <c r="C84" s="80"/>
      <c r="D84" s="81"/>
      <c r="E84" s="82"/>
      <c r="F84" s="82"/>
    </row>
    <row r="85" spans="1:12" ht="25.5">
      <c r="A85" s="78" t="s">
        <v>90</v>
      </c>
      <c r="B85" s="77"/>
      <c r="C85" s="80"/>
      <c r="D85" s="81"/>
      <c r="E85" s="82"/>
      <c r="F85" s="82"/>
    </row>
    <row r="86" spans="1:12" ht="15">
      <c r="A86" s="78" t="s">
        <v>91</v>
      </c>
      <c r="B86" s="77"/>
      <c r="C86" s="80"/>
      <c r="D86" s="81"/>
      <c r="E86" s="82"/>
      <c r="F86" s="82"/>
    </row>
    <row r="87" spans="1:12" ht="15">
      <c r="A87" s="78" t="s">
        <v>92</v>
      </c>
      <c r="B87" s="77">
        <v>0</v>
      </c>
      <c r="C87" s="80"/>
      <c r="D87" s="81"/>
      <c r="E87" s="82"/>
      <c r="F87" s="82"/>
    </row>
    <row r="88" spans="1:12" ht="15">
      <c r="A88" s="84" t="s">
        <v>93</v>
      </c>
      <c r="B88" s="77"/>
      <c r="C88" s="80"/>
      <c r="D88" s="81"/>
      <c r="E88" s="82"/>
      <c r="F88" s="82"/>
    </row>
    <row r="89" spans="1:12" ht="15">
      <c r="A89" s="84" t="s">
        <v>94</v>
      </c>
      <c r="B89" s="77">
        <v>45</v>
      </c>
      <c r="C89" s="80"/>
      <c r="D89" s="81"/>
      <c r="E89" s="82"/>
      <c r="F89" s="82"/>
    </row>
    <row r="90" spans="1:12" ht="15">
      <c r="A90" s="84" t="s">
        <v>95</v>
      </c>
      <c r="B90" s="77"/>
      <c r="C90" s="80"/>
      <c r="D90" s="81"/>
      <c r="E90" s="82"/>
      <c r="F90" s="82"/>
    </row>
    <row r="91" spans="1:12" ht="15">
      <c r="A91" s="84" t="s">
        <v>96</v>
      </c>
      <c r="B91" s="77">
        <v>0.13</v>
      </c>
      <c r="C91" s="80"/>
      <c r="D91" s="81"/>
      <c r="E91" s="82"/>
      <c r="F91" s="82"/>
    </row>
    <row r="92" spans="1:12" ht="15">
      <c r="A92" s="84" t="s">
        <v>97</v>
      </c>
      <c r="B92" s="77">
        <v>0.13</v>
      </c>
      <c r="C92" s="80"/>
      <c r="D92" s="81"/>
      <c r="E92" s="82"/>
      <c r="F92" s="82"/>
    </row>
    <row r="93" spans="1:12" ht="25.5">
      <c r="A93" s="85" t="s">
        <v>98</v>
      </c>
      <c r="B93" s="77"/>
      <c r="C93" s="80"/>
      <c r="D93" s="81"/>
      <c r="E93" s="82"/>
      <c r="F93" s="82"/>
    </row>
    <row r="94" spans="1:12" ht="26.25" thickBot="1">
      <c r="A94" s="86" t="s">
        <v>99</v>
      </c>
      <c r="B94" s="87"/>
      <c r="C94" s="80"/>
      <c r="D94" s="81"/>
      <c r="E94" s="82"/>
      <c r="F94" s="82"/>
    </row>
    <row r="95" spans="1:12" ht="15.75" thickBot="1">
      <c r="A95" s="88"/>
      <c r="B95" s="89"/>
      <c r="C95" s="80"/>
      <c r="D95" s="81"/>
      <c r="E95" s="82"/>
      <c r="F95" s="82"/>
    </row>
    <row r="96" spans="1:12" s="19" customFormat="1" ht="15.75" thickBot="1">
      <c r="A96" s="90" t="s">
        <v>100</v>
      </c>
      <c r="B96" s="91">
        <f>SUM(B2:B44)</f>
        <v>14572.449999999999</v>
      </c>
      <c r="C96" s="92"/>
      <c r="D96" s="93"/>
      <c r="E96" s="68"/>
      <c r="F96" s="68"/>
      <c r="G96" s="93"/>
      <c r="H96" s="18"/>
      <c r="I96" s="18"/>
      <c r="J96" s="18"/>
      <c r="K96" s="18"/>
      <c r="L96" s="18"/>
    </row>
    <row r="97" spans="1:12" s="19" customFormat="1" ht="15.75" thickBot="1">
      <c r="A97" s="94" t="s">
        <v>101</v>
      </c>
      <c r="B97" s="95">
        <f>SUM(G2:G42)</f>
        <v>1695.2560000000003</v>
      </c>
      <c r="C97" s="93"/>
      <c r="D97" s="93"/>
      <c r="E97" s="68"/>
      <c r="F97" s="68"/>
      <c r="G97" s="96"/>
      <c r="H97" s="18"/>
      <c r="I97" s="18"/>
      <c r="J97" s="18"/>
      <c r="K97" s="18"/>
      <c r="L97" s="18"/>
    </row>
    <row r="98" spans="1:12" ht="15.75" thickBot="1">
      <c r="A98" s="97" t="s">
        <v>102</v>
      </c>
      <c r="B98" s="91">
        <f>SUM(B46:B94)</f>
        <v>85.509999999999991</v>
      </c>
      <c r="C98" s="80"/>
      <c r="D98" s="81"/>
      <c r="E98" s="82"/>
      <c r="F98" s="82"/>
    </row>
    <row r="99" spans="1:12" ht="15.75" thickBot="1">
      <c r="A99" s="98" t="s">
        <v>103</v>
      </c>
      <c r="B99" s="91">
        <f>B96+B97+B98</f>
        <v>16353.215999999999</v>
      </c>
      <c r="C99" s="80"/>
      <c r="D99" s="81"/>
    </row>
    <row r="100" spans="1:12">
      <c r="B100" s="80"/>
      <c r="C100" s="80"/>
      <c r="D100" s="81"/>
    </row>
    <row r="101" spans="1:12">
      <c r="B101" s="80"/>
      <c r="C101" s="80"/>
      <c r="D101" s="81"/>
    </row>
    <row r="102" spans="1:12">
      <c r="B102" s="80"/>
      <c r="C102" s="80"/>
      <c r="D102" s="80"/>
    </row>
    <row r="103" spans="1:12">
      <c r="B103" s="80"/>
      <c r="C103" s="80"/>
      <c r="D103" s="80"/>
    </row>
    <row r="104" spans="1:12">
      <c r="B104" s="80"/>
      <c r="C104" s="80"/>
      <c r="D104" s="80"/>
    </row>
    <row r="105" spans="1:12">
      <c r="B105" s="80"/>
      <c r="C105" s="80"/>
      <c r="D105" s="80"/>
    </row>
    <row r="106" spans="1:12" s="80" customFormat="1">
      <c r="A106" s="8"/>
      <c r="G106" s="83"/>
      <c r="H106" s="8"/>
      <c r="I106" s="8"/>
      <c r="J106" s="8"/>
      <c r="K106" s="8"/>
      <c r="L106" s="8"/>
    </row>
    <row r="107" spans="1:12" s="80" customFormat="1">
      <c r="A107" s="8"/>
      <c r="G107" s="83"/>
      <c r="H107" s="8"/>
      <c r="I107" s="8"/>
      <c r="J107" s="8"/>
      <c r="K107" s="8"/>
      <c r="L107" s="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107"/>
  <sheetViews>
    <sheetView workbookViewId="0">
      <selection activeCell="C42" sqref="C42"/>
    </sheetView>
  </sheetViews>
  <sheetFormatPr defaultColWidth="19.7109375" defaultRowHeight="12.75"/>
  <cols>
    <col min="1" max="1" width="31.5703125" style="8" customWidth="1"/>
    <col min="2" max="2" width="22.7109375" style="8" customWidth="1"/>
    <col min="3" max="3" width="22" style="8" customWidth="1"/>
    <col min="4" max="4" width="22.140625" style="8" customWidth="1"/>
    <col min="5" max="5" width="21.7109375" style="80" customWidth="1"/>
    <col min="6" max="6" width="24.85546875" style="80" customWidth="1"/>
    <col min="7" max="7" width="24.28515625" style="83" customWidth="1"/>
    <col min="8" max="16384" width="19.7109375" style="8"/>
  </cols>
  <sheetData>
    <row r="1" spans="1:12" ht="30.75" thickBo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6" t="s">
        <v>6</v>
      </c>
      <c r="H1" s="7"/>
    </row>
    <row r="2" spans="1:12">
      <c r="A2" s="9" t="s">
        <v>7</v>
      </c>
      <c r="B2" s="10">
        <f>537.21+22.94+1382.35</f>
        <v>1942.5</v>
      </c>
      <c r="C2" s="10">
        <f>537.21+22.94+1377.45</f>
        <v>1937.6000000000001</v>
      </c>
      <c r="D2" s="11">
        <f>B2-C2</f>
        <v>4.8999999999998636</v>
      </c>
      <c r="E2" s="12"/>
      <c r="F2" s="10"/>
      <c r="G2" s="13">
        <v>365.52</v>
      </c>
    </row>
    <row r="3" spans="1:12" s="19" customFormat="1" ht="13.5" thickBot="1">
      <c r="A3" s="14" t="s">
        <v>8</v>
      </c>
      <c r="B3" s="15"/>
      <c r="C3" s="15"/>
      <c r="D3" s="16">
        <f>B3-C3</f>
        <v>0</v>
      </c>
      <c r="E3" s="15"/>
      <c r="F3" s="15"/>
      <c r="G3" s="17">
        <v>104.82</v>
      </c>
      <c r="H3" s="18"/>
      <c r="I3" s="18"/>
      <c r="J3" s="18"/>
      <c r="K3" s="18"/>
      <c r="L3" s="18"/>
    </row>
    <row r="4" spans="1:12" ht="30">
      <c r="A4" s="20" t="s">
        <v>9</v>
      </c>
      <c r="B4" s="21" t="s">
        <v>1</v>
      </c>
      <c r="C4" s="22" t="s">
        <v>10</v>
      </c>
      <c r="D4" s="23" t="s">
        <v>11</v>
      </c>
      <c r="E4" s="21" t="s">
        <v>4</v>
      </c>
      <c r="F4" s="21" t="s">
        <v>12</v>
      </c>
      <c r="G4" s="24" t="s">
        <v>13</v>
      </c>
      <c r="H4" s="25"/>
    </row>
    <row r="5" spans="1:12" s="19" customFormat="1">
      <c r="A5" s="26" t="s">
        <v>14</v>
      </c>
      <c r="B5" s="27"/>
      <c r="C5" s="28"/>
      <c r="D5" s="28">
        <f t="shared" ref="D5:D33" si="0">B5-C5</f>
        <v>0</v>
      </c>
      <c r="E5" s="28"/>
      <c r="F5" s="29"/>
      <c r="G5" s="30">
        <v>6.08</v>
      </c>
      <c r="H5" s="18"/>
      <c r="I5" s="18"/>
      <c r="J5" s="18"/>
      <c r="K5" s="18"/>
      <c r="L5" s="18"/>
    </row>
    <row r="6" spans="1:12" s="19" customFormat="1" ht="13.5" customHeight="1">
      <c r="A6" s="31" t="s">
        <v>16</v>
      </c>
      <c r="B6" s="32"/>
      <c r="C6" s="28"/>
      <c r="D6" s="28">
        <f t="shared" ref="D6" si="1">B6-C6</f>
        <v>0</v>
      </c>
      <c r="E6" s="28"/>
      <c r="F6" s="29"/>
      <c r="G6" s="33">
        <v>26.94</v>
      </c>
      <c r="H6" s="18"/>
      <c r="I6" s="18"/>
      <c r="J6" s="18"/>
      <c r="K6" s="18"/>
      <c r="L6" s="18"/>
    </row>
    <row r="7" spans="1:12" s="19" customFormat="1">
      <c r="A7" s="31" t="s">
        <v>17</v>
      </c>
      <c r="B7" s="32"/>
      <c r="C7" s="28"/>
      <c r="D7" s="28">
        <f t="shared" si="0"/>
        <v>0</v>
      </c>
      <c r="E7" s="28"/>
      <c r="F7" s="29"/>
      <c r="G7" s="33">
        <v>0.13</v>
      </c>
      <c r="H7" s="18"/>
      <c r="I7" s="18"/>
      <c r="J7" s="18"/>
      <c r="K7" s="18"/>
      <c r="L7" s="18"/>
    </row>
    <row r="8" spans="1:12" s="19" customFormat="1">
      <c r="A8" s="31" t="s">
        <v>18</v>
      </c>
      <c r="B8" s="32"/>
      <c r="C8" s="28"/>
      <c r="D8" s="28">
        <f>B8-C8</f>
        <v>0</v>
      </c>
      <c r="E8" s="28"/>
      <c r="F8" s="29"/>
      <c r="G8" s="33">
        <v>5.55</v>
      </c>
      <c r="H8" s="18"/>
      <c r="I8" s="18"/>
      <c r="J8" s="18"/>
      <c r="K8" s="18"/>
      <c r="L8" s="18"/>
    </row>
    <row r="9" spans="1:12" s="19" customFormat="1">
      <c r="A9" s="31" t="s">
        <v>20</v>
      </c>
      <c r="B9" s="32"/>
      <c r="C9" s="28"/>
      <c r="D9" s="28">
        <f t="shared" si="0"/>
        <v>0</v>
      </c>
      <c r="E9" s="28"/>
      <c r="F9" s="29"/>
      <c r="G9" s="33">
        <v>1.76</v>
      </c>
      <c r="H9" s="18"/>
      <c r="I9" s="18"/>
      <c r="J9" s="18"/>
      <c r="K9" s="18"/>
      <c r="L9" s="18"/>
    </row>
    <row r="10" spans="1:12" s="19" customFormat="1">
      <c r="A10" s="31" t="s">
        <v>492</v>
      </c>
      <c r="B10" s="32"/>
      <c r="C10" s="28"/>
      <c r="D10" s="28">
        <f t="shared" si="0"/>
        <v>0</v>
      </c>
      <c r="E10" s="28"/>
      <c r="F10" s="29"/>
      <c r="G10" s="33">
        <v>0.25</v>
      </c>
      <c r="H10" s="18"/>
      <c r="I10" s="18"/>
      <c r="J10" s="18"/>
      <c r="K10" s="18"/>
      <c r="L10" s="18"/>
    </row>
    <row r="11" spans="1:12" s="19" customFormat="1">
      <c r="A11" s="31" t="s">
        <v>21</v>
      </c>
      <c r="B11" s="32">
        <f>216.27+601.35</f>
        <v>817.62</v>
      </c>
      <c r="C11" s="28">
        <f>53.85+81.26+597.2</f>
        <v>732.31000000000006</v>
      </c>
      <c r="D11" s="28">
        <f t="shared" si="0"/>
        <v>85.309999999999945</v>
      </c>
      <c r="E11" s="28"/>
      <c r="F11" s="29"/>
      <c r="G11" s="33">
        <v>66.900000000000006</v>
      </c>
      <c r="H11" s="18"/>
      <c r="I11" s="18"/>
      <c r="J11" s="18"/>
      <c r="K11" s="18"/>
      <c r="L11" s="18"/>
    </row>
    <row r="12" spans="1:12" s="19" customFormat="1">
      <c r="A12" s="31" t="s">
        <v>488</v>
      </c>
      <c r="B12" s="32"/>
      <c r="C12" s="28"/>
      <c r="D12" s="28">
        <f t="shared" si="0"/>
        <v>0</v>
      </c>
      <c r="E12" s="28"/>
      <c r="F12" s="29"/>
      <c r="G12" s="33">
        <v>13.56</v>
      </c>
      <c r="H12" s="18"/>
      <c r="I12" s="18"/>
      <c r="J12" s="18"/>
      <c r="K12" s="18"/>
      <c r="L12" s="18"/>
    </row>
    <row r="13" spans="1:12" s="19" customFormat="1">
      <c r="A13" s="31" t="s">
        <v>22</v>
      </c>
      <c r="B13" s="32"/>
      <c r="C13" s="28"/>
      <c r="D13" s="28">
        <f t="shared" si="0"/>
        <v>0</v>
      </c>
      <c r="E13" s="28"/>
      <c r="F13" s="29"/>
      <c r="G13" s="33">
        <v>0</v>
      </c>
      <c r="H13" s="18"/>
      <c r="I13" s="18"/>
      <c r="J13" s="18"/>
      <c r="K13" s="18"/>
      <c r="L13" s="18"/>
    </row>
    <row r="14" spans="1:12" s="19" customFormat="1">
      <c r="A14" s="31" t="s">
        <v>388</v>
      </c>
      <c r="B14" s="32"/>
      <c r="C14" s="28"/>
      <c r="D14" s="28">
        <f t="shared" si="0"/>
        <v>0</v>
      </c>
      <c r="E14" s="28"/>
      <c r="F14" s="29"/>
      <c r="G14" s="33">
        <v>0</v>
      </c>
      <c r="H14" s="18"/>
      <c r="I14" s="18"/>
      <c r="J14" s="18"/>
      <c r="K14" s="18"/>
      <c r="L14" s="18"/>
    </row>
    <row r="15" spans="1:12" s="19" customFormat="1">
      <c r="A15" s="31" t="s">
        <v>495</v>
      </c>
      <c r="B15" s="32">
        <f>156.43+72.42+233.08</f>
        <v>461.93000000000006</v>
      </c>
      <c r="C15" s="28">
        <f>156.43+72.42+14.8</f>
        <v>243.65000000000003</v>
      </c>
      <c r="D15" s="28">
        <f>B15-C15</f>
        <v>218.28000000000003</v>
      </c>
      <c r="E15" s="28"/>
      <c r="F15" s="29"/>
      <c r="G15" s="33">
        <v>12.52</v>
      </c>
      <c r="H15" s="18"/>
      <c r="I15" s="18"/>
      <c r="J15" s="18"/>
      <c r="K15" s="18"/>
      <c r="L15" s="18"/>
    </row>
    <row r="16" spans="1:12" s="19" customFormat="1">
      <c r="A16" s="31" t="s">
        <v>389</v>
      </c>
      <c r="B16" s="32"/>
      <c r="C16" s="28"/>
      <c r="D16" s="28">
        <f t="shared" si="0"/>
        <v>0</v>
      </c>
      <c r="E16" s="28"/>
      <c r="F16" s="29"/>
      <c r="G16" s="33">
        <v>0</v>
      </c>
      <c r="H16" s="18"/>
      <c r="I16" s="18"/>
      <c r="J16" s="18"/>
      <c r="K16" s="18"/>
      <c r="L16" s="18"/>
    </row>
    <row r="17" spans="1:12" s="19" customFormat="1">
      <c r="A17" s="31" t="s">
        <v>25</v>
      </c>
      <c r="B17" s="32"/>
      <c r="C17" s="28"/>
      <c r="D17" s="28">
        <f t="shared" si="0"/>
        <v>0</v>
      </c>
      <c r="E17" s="28"/>
      <c r="F17" s="35"/>
      <c r="G17" s="33">
        <v>64.67</v>
      </c>
      <c r="H17" s="18"/>
      <c r="I17" s="18"/>
      <c r="J17" s="18"/>
      <c r="K17" s="18"/>
      <c r="L17" s="18"/>
    </row>
    <row r="18" spans="1:12" s="19" customFormat="1">
      <c r="A18" s="26" t="s">
        <v>26</v>
      </c>
      <c r="B18" s="27"/>
      <c r="C18" s="28"/>
      <c r="D18" s="28">
        <f t="shared" si="0"/>
        <v>0</v>
      </c>
      <c r="E18" s="28"/>
      <c r="F18" s="35"/>
      <c r="G18" s="36">
        <v>1.22</v>
      </c>
      <c r="H18" s="18"/>
      <c r="I18" s="18"/>
      <c r="J18" s="18"/>
      <c r="K18" s="18"/>
      <c r="L18" s="18"/>
    </row>
    <row r="19" spans="1:12" s="19" customFormat="1">
      <c r="A19" s="26" t="s">
        <v>27</v>
      </c>
      <c r="B19" s="27">
        <f>266.64+95.47+38.5+412.52</f>
        <v>813.13</v>
      </c>
      <c r="C19" s="28">
        <f>252.88+95.47+38.5+404.36</f>
        <v>791.21</v>
      </c>
      <c r="D19" s="28">
        <f t="shared" si="0"/>
        <v>21.919999999999959</v>
      </c>
      <c r="E19" s="28"/>
      <c r="F19" s="35"/>
      <c r="G19" s="155">
        <v>464.7</v>
      </c>
      <c r="H19" s="18"/>
      <c r="I19" s="18"/>
      <c r="J19" s="18"/>
      <c r="K19" s="18"/>
      <c r="L19" s="18"/>
    </row>
    <row r="20" spans="1:12" s="19" customFormat="1">
      <c r="A20" s="26" t="s">
        <v>28</v>
      </c>
      <c r="B20" s="27"/>
      <c r="C20" s="28"/>
      <c r="D20" s="28">
        <f t="shared" si="0"/>
        <v>0</v>
      </c>
      <c r="E20" s="28"/>
      <c r="F20" s="35"/>
      <c r="G20" s="36">
        <v>0</v>
      </c>
      <c r="H20" s="18"/>
      <c r="I20" s="18"/>
      <c r="J20" s="18"/>
      <c r="K20" s="18"/>
      <c r="L20" s="18"/>
    </row>
    <row r="21" spans="1:12" s="19" customFormat="1">
      <c r="A21" s="26" t="s">
        <v>29</v>
      </c>
      <c r="B21" s="27"/>
      <c r="C21" s="28"/>
      <c r="D21" s="28">
        <f t="shared" si="0"/>
        <v>0</v>
      </c>
      <c r="E21" s="28"/>
      <c r="F21" s="37"/>
      <c r="G21" s="36">
        <v>2.6</v>
      </c>
      <c r="H21" s="18"/>
      <c r="I21" s="18"/>
      <c r="J21" s="18"/>
      <c r="K21" s="18"/>
      <c r="L21" s="18"/>
    </row>
    <row r="22" spans="1:12" s="19" customFormat="1">
      <c r="A22" s="26" t="s">
        <v>30</v>
      </c>
      <c r="B22" s="27"/>
      <c r="C22" s="28"/>
      <c r="D22" s="28">
        <f t="shared" si="0"/>
        <v>0</v>
      </c>
      <c r="E22" s="28"/>
      <c r="F22" s="37"/>
      <c r="G22" s="36">
        <v>0</v>
      </c>
      <c r="H22" s="18"/>
      <c r="I22" s="18"/>
      <c r="J22" s="18"/>
      <c r="K22" s="18"/>
      <c r="L22" s="18"/>
    </row>
    <row r="23" spans="1:12" s="19" customFormat="1">
      <c r="A23" s="26" t="s">
        <v>31</v>
      </c>
      <c r="B23" s="27"/>
      <c r="C23" s="28"/>
      <c r="D23" s="28">
        <f t="shared" si="0"/>
        <v>0</v>
      </c>
      <c r="E23" s="28"/>
      <c r="F23" s="29"/>
      <c r="G23" s="30">
        <v>1.49</v>
      </c>
      <c r="H23" s="18"/>
      <c r="I23" s="18"/>
      <c r="J23" s="18"/>
      <c r="K23" s="18"/>
      <c r="L23" s="18"/>
    </row>
    <row r="24" spans="1:12" s="19" customFormat="1">
      <c r="A24" s="26" t="s">
        <v>476</v>
      </c>
      <c r="B24" s="136">
        <f>166.78+113.28+139.4</f>
        <v>419.46000000000004</v>
      </c>
      <c r="C24" s="137">
        <v>0</v>
      </c>
      <c r="D24" s="137">
        <f t="shared" si="0"/>
        <v>419.46000000000004</v>
      </c>
      <c r="E24" s="28"/>
      <c r="F24" s="29"/>
      <c r="G24" s="131">
        <v>2383.0500000000002</v>
      </c>
      <c r="H24" s="18"/>
      <c r="I24" s="18"/>
      <c r="J24" s="18"/>
      <c r="K24" s="18"/>
      <c r="L24" s="18"/>
    </row>
    <row r="25" spans="1:12" s="19" customFormat="1">
      <c r="A25" s="26" t="s">
        <v>493</v>
      </c>
      <c r="B25" s="32">
        <v>1283.52</v>
      </c>
      <c r="C25" s="28">
        <v>0</v>
      </c>
      <c r="D25" s="28">
        <f t="shared" si="0"/>
        <v>1283.52</v>
      </c>
      <c r="E25" s="28"/>
      <c r="F25" s="29"/>
      <c r="G25" s="30">
        <v>0.02</v>
      </c>
      <c r="H25" s="18"/>
      <c r="I25" s="18"/>
      <c r="J25" s="18"/>
      <c r="K25" s="18"/>
      <c r="L25" s="18"/>
    </row>
    <row r="26" spans="1:12" s="19" customFormat="1">
      <c r="A26" s="31" t="s">
        <v>320</v>
      </c>
      <c r="B26" s="32" t="s">
        <v>824</v>
      </c>
      <c r="C26" s="28"/>
      <c r="D26" s="28" t="e">
        <f t="shared" si="0"/>
        <v>#VALUE!</v>
      </c>
      <c r="E26" s="28"/>
      <c r="F26" s="29"/>
      <c r="G26" s="33">
        <v>4.04</v>
      </c>
      <c r="H26" s="18"/>
      <c r="I26" s="18"/>
      <c r="J26" s="18"/>
      <c r="K26" s="18"/>
      <c r="L26" s="18"/>
    </row>
    <row r="27" spans="1:12" s="19" customFormat="1" ht="12.75" customHeight="1">
      <c r="A27" s="38" t="s">
        <v>33</v>
      </c>
      <c r="B27" s="39">
        <f>454.6+522.93+33.53</f>
        <v>1011.06</v>
      </c>
      <c r="C27" s="35">
        <v>0</v>
      </c>
      <c r="D27" s="40">
        <f t="shared" si="0"/>
        <v>1011.06</v>
      </c>
      <c r="E27" s="28"/>
      <c r="F27" s="29"/>
      <c r="G27" s="41"/>
      <c r="H27" s="42"/>
      <c r="I27" s="18"/>
      <c r="J27" s="18"/>
      <c r="K27" s="18"/>
      <c r="L27" s="18"/>
    </row>
    <row r="28" spans="1:12" s="19" customFormat="1">
      <c r="A28" s="31" t="s">
        <v>34</v>
      </c>
      <c r="B28" s="32"/>
      <c r="C28" s="28"/>
      <c r="D28" s="28">
        <f t="shared" si="0"/>
        <v>0</v>
      </c>
      <c r="E28" s="28"/>
      <c r="F28" s="29"/>
      <c r="G28" s="33">
        <v>9.1999999999999993</v>
      </c>
      <c r="H28" s="18"/>
      <c r="I28" s="18"/>
      <c r="J28" s="18"/>
      <c r="K28" s="18"/>
      <c r="L28" s="18"/>
    </row>
    <row r="29" spans="1:12" s="19" customFormat="1" ht="12.75" customHeight="1">
      <c r="A29" s="31" t="s">
        <v>35</v>
      </c>
      <c r="B29" s="39">
        <f>111.11+7.2+258.23+119+132.91</f>
        <v>628.45000000000005</v>
      </c>
      <c r="C29" s="35">
        <f>111.11+119+132.91</f>
        <v>363.02</v>
      </c>
      <c r="D29" s="40">
        <f t="shared" si="0"/>
        <v>265.43000000000006</v>
      </c>
      <c r="E29" s="28"/>
      <c r="F29" s="29"/>
      <c r="G29" s="33">
        <v>193.03</v>
      </c>
      <c r="H29" s="42"/>
      <c r="I29" s="18"/>
      <c r="J29" s="18"/>
      <c r="K29" s="18"/>
      <c r="L29" s="18"/>
    </row>
    <row r="30" spans="1:12" s="19" customFormat="1" ht="12.75" customHeight="1">
      <c r="A30" s="38" t="s">
        <v>36</v>
      </c>
      <c r="B30" s="39"/>
      <c r="C30" s="35"/>
      <c r="D30" s="28">
        <f t="shared" si="0"/>
        <v>0</v>
      </c>
      <c r="E30" s="28"/>
      <c r="F30" s="29"/>
      <c r="G30" s="41">
        <v>23.95</v>
      </c>
      <c r="H30" s="42"/>
      <c r="I30" s="18"/>
      <c r="J30" s="18"/>
      <c r="K30" s="18"/>
      <c r="L30" s="18"/>
    </row>
    <row r="31" spans="1:12" s="19" customFormat="1" ht="12.75" customHeight="1">
      <c r="A31" s="38" t="s">
        <v>37</v>
      </c>
      <c r="B31" s="39"/>
      <c r="C31" s="35"/>
      <c r="D31" s="28">
        <f t="shared" si="0"/>
        <v>0</v>
      </c>
      <c r="E31" s="28"/>
      <c r="F31" s="29"/>
      <c r="G31" s="41">
        <v>62.37</v>
      </c>
      <c r="H31" s="42"/>
      <c r="I31" s="18"/>
      <c r="J31" s="18"/>
      <c r="K31" s="18"/>
      <c r="L31" s="18"/>
    </row>
    <row r="32" spans="1:12" s="19" customFormat="1" ht="12.75" customHeight="1">
      <c r="A32" s="38" t="s">
        <v>494</v>
      </c>
      <c r="B32" s="62"/>
      <c r="C32" s="139"/>
      <c r="D32" s="28">
        <f t="shared" si="0"/>
        <v>0</v>
      </c>
      <c r="E32" s="140"/>
      <c r="F32" s="141"/>
      <c r="G32" s="41">
        <v>0.8</v>
      </c>
      <c r="H32" s="42"/>
      <c r="I32" s="18"/>
      <c r="J32" s="18"/>
      <c r="K32" s="18"/>
      <c r="L32" s="18"/>
    </row>
    <row r="33" spans="1:12" s="19" customFormat="1" ht="13.5" thickBot="1">
      <c r="A33" s="43" t="s">
        <v>38</v>
      </c>
      <c r="B33" s="44">
        <f>282.39+189.23</f>
        <v>471.62</v>
      </c>
      <c r="C33" s="44">
        <f>87.39+189.23</f>
        <v>276.62</v>
      </c>
      <c r="D33" s="45">
        <f t="shared" si="0"/>
        <v>195</v>
      </c>
      <c r="E33" s="46"/>
      <c r="F33" s="46"/>
      <c r="G33" s="124">
        <v>407.12</v>
      </c>
      <c r="H33" s="18"/>
      <c r="I33" s="18"/>
      <c r="J33" s="18"/>
      <c r="K33" s="18"/>
      <c r="L33" s="18"/>
    </row>
    <row r="34" spans="1:12" s="19" customFormat="1" ht="30.75" thickBot="1">
      <c r="A34" s="47" t="s">
        <v>39</v>
      </c>
      <c r="B34" s="2" t="s">
        <v>1</v>
      </c>
      <c r="C34" s="48" t="s">
        <v>10</v>
      </c>
      <c r="D34" s="4" t="s">
        <v>11</v>
      </c>
      <c r="E34" s="2" t="s">
        <v>4</v>
      </c>
      <c r="F34" s="2" t="s">
        <v>12</v>
      </c>
      <c r="G34" s="6" t="s">
        <v>13</v>
      </c>
      <c r="H34" s="49"/>
    </row>
    <row r="35" spans="1:12" s="19" customFormat="1" ht="15.75" thickBot="1">
      <c r="A35" s="9" t="s">
        <v>40</v>
      </c>
      <c r="B35" s="50">
        <f>311.89+650.65+1776.83</f>
        <v>2739.37</v>
      </c>
      <c r="C35" s="51">
        <f>25.25+293.55+540.75+23.95+1752.18</f>
        <v>2635.6800000000003</v>
      </c>
      <c r="D35" s="52">
        <f>B35-C35</f>
        <v>103.6899999999996</v>
      </c>
      <c r="E35" s="53"/>
      <c r="F35" s="54"/>
      <c r="G35" s="55">
        <v>120.53</v>
      </c>
      <c r="H35" s="18"/>
      <c r="I35" s="18"/>
      <c r="J35" s="18"/>
      <c r="K35" s="18"/>
      <c r="L35" s="18"/>
    </row>
    <row r="36" spans="1:12" s="19" customFormat="1" ht="30.75" thickBot="1">
      <c r="A36" s="47" t="s">
        <v>41</v>
      </c>
      <c r="B36" s="2" t="s">
        <v>1</v>
      </c>
      <c r="C36" s="48" t="s">
        <v>10</v>
      </c>
      <c r="D36" s="4" t="s">
        <v>11</v>
      </c>
      <c r="E36" s="2" t="s">
        <v>4</v>
      </c>
      <c r="F36" s="2" t="s">
        <v>12</v>
      </c>
      <c r="G36" s="6" t="s">
        <v>13</v>
      </c>
      <c r="H36" s="49"/>
    </row>
    <row r="37" spans="1:12" s="19" customFormat="1" ht="15">
      <c r="A37" s="9" t="s">
        <v>42</v>
      </c>
      <c r="B37" s="10">
        <f>786.75+41.94</f>
        <v>828.69</v>
      </c>
      <c r="C37" s="56">
        <f>531.6+41.94</f>
        <v>573.54</v>
      </c>
      <c r="D37" s="57">
        <f>B37-C37</f>
        <v>255.15000000000009</v>
      </c>
      <c r="E37" s="58"/>
      <c r="F37" s="21"/>
      <c r="G37" s="126">
        <f>314.76</f>
        <v>314.76</v>
      </c>
      <c r="H37" s="18"/>
      <c r="I37" s="18"/>
      <c r="J37" s="18"/>
      <c r="K37" s="18"/>
      <c r="L37" s="18"/>
    </row>
    <row r="38" spans="1:12" s="19" customFormat="1" ht="17.25" customHeight="1">
      <c r="A38" s="31" t="s">
        <v>43</v>
      </c>
      <c r="B38" s="32"/>
      <c r="C38" s="59"/>
      <c r="D38" s="35">
        <f>B38-C38</f>
        <v>0</v>
      </c>
      <c r="E38" s="39"/>
      <c r="F38" s="32"/>
      <c r="G38" s="34">
        <v>315.05</v>
      </c>
      <c r="H38" s="18"/>
      <c r="I38" s="18"/>
      <c r="J38" s="18"/>
      <c r="K38" s="18"/>
      <c r="L38" s="18"/>
    </row>
    <row r="39" spans="1:12" s="19" customFormat="1">
      <c r="A39" s="38" t="s">
        <v>45</v>
      </c>
      <c r="B39" s="44">
        <f>282.47+2328.2</f>
        <v>2610.67</v>
      </c>
      <c r="C39" s="44">
        <f>265.47+789.43</f>
        <v>1054.9000000000001</v>
      </c>
      <c r="D39" s="45">
        <f>B39-C39</f>
        <v>1555.77</v>
      </c>
      <c r="E39" s="61"/>
      <c r="F39" s="62"/>
      <c r="G39" s="125">
        <v>797.82</v>
      </c>
      <c r="K39" s="18"/>
      <c r="L39" s="18"/>
    </row>
    <row r="40" spans="1:12" s="19" customFormat="1">
      <c r="A40" s="38" t="s">
        <v>46</v>
      </c>
      <c r="B40" s="39">
        <f>1421.91+130.04+829.22</f>
        <v>2381.17</v>
      </c>
      <c r="C40" s="35">
        <f>1488.46+45.61+72.23+70.49+761.03</f>
        <v>2437.8199999999997</v>
      </c>
      <c r="D40" s="35">
        <f>B40-C40</f>
        <v>-56.649999999999636</v>
      </c>
      <c r="E40" s="61"/>
      <c r="F40" s="62"/>
      <c r="G40" s="129">
        <v>497.06</v>
      </c>
      <c r="K40" s="18"/>
      <c r="L40" s="18"/>
    </row>
    <row r="41" spans="1:12" s="19" customFormat="1" ht="13.5" thickBot="1">
      <c r="A41" s="43" t="s">
        <v>387</v>
      </c>
      <c r="B41" s="64">
        <f>295.32+144.13+958.27</f>
        <v>1397.72</v>
      </c>
      <c r="C41" s="65">
        <v>0</v>
      </c>
      <c r="D41" s="64">
        <f>B41</f>
        <v>1397.72</v>
      </c>
      <c r="E41" s="66"/>
      <c r="F41" s="67"/>
      <c r="G41" s="154">
        <v>197.6</v>
      </c>
      <c r="K41" s="18"/>
      <c r="L41" s="18"/>
    </row>
    <row r="42" spans="1:12" ht="34.5" customHeight="1" thickBot="1">
      <c r="A42" s="47" t="s">
        <v>48</v>
      </c>
      <c r="B42" s="2" t="s">
        <v>1</v>
      </c>
      <c r="C42" s="48" t="s">
        <v>10</v>
      </c>
      <c r="D42" s="4" t="s">
        <v>11</v>
      </c>
      <c r="E42" s="2" t="s">
        <v>4</v>
      </c>
      <c r="F42" s="5" t="s">
        <v>5</v>
      </c>
      <c r="G42" s="68"/>
      <c r="H42" s="18"/>
      <c r="I42" s="18"/>
      <c r="J42" s="18"/>
      <c r="K42" s="18"/>
      <c r="L42" s="18"/>
    </row>
    <row r="43" spans="1:12" ht="19.5" customHeight="1" thickBot="1">
      <c r="A43" s="9" t="s">
        <v>49</v>
      </c>
      <c r="B43" s="69"/>
      <c r="C43" s="69"/>
      <c r="D43" s="70">
        <f>B43-C43</f>
        <v>0</v>
      </c>
      <c r="E43" s="71"/>
      <c r="F43" s="72"/>
      <c r="G43" s="68"/>
    </row>
    <row r="44" spans="1:12" ht="19.5" customHeight="1" thickBot="1">
      <c r="A44" s="47" t="s">
        <v>50</v>
      </c>
      <c r="B44" s="73" t="s">
        <v>51</v>
      </c>
      <c r="C44" s="68"/>
      <c r="D44" s="68"/>
      <c r="E44" s="68"/>
      <c r="F44" s="68"/>
      <c r="G44" s="68"/>
      <c r="H44" s="18"/>
      <c r="I44" s="18"/>
      <c r="J44" s="18"/>
      <c r="K44" s="18"/>
      <c r="L44" s="18"/>
    </row>
    <row r="45" spans="1:12" ht="30" customHeight="1">
      <c r="A45" s="74" t="s">
        <v>572</v>
      </c>
      <c r="B45" s="75">
        <v>0</v>
      </c>
      <c r="C45" s="68"/>
      <c r="D45" s="68"/>
      <c r="E45" s="68"/>
      <c r="F45" s="68"/>
      <c r="G45" s="68"/>
    </row>
    <row r="46" spans="1:12" ht="15">
      <c r="A46" s="76" t="s">
        <v>53</v>
      </c>
      <c r="B46" s="77"/>
      <c r="C46" s="68"/>
      <c r="D46" s="68"/>
      <c r="E46" s="68"/>
      <c r="F46" s="68"/>
      <c r="G46" s="68"/>
    </row>
    <row r="47" spans="1:12" ht="15">
      <c r="A47" s="76" t="s">
        <v>54</v>
      </c>
      <c r="B47" s="77">
        <v>0</v>
      </c>
      <c r="C47" s="68"/>
      <c r="D47" s="68"/>
      <c r="E47" s="68"/>
      <c r="F47" s="68"/>
      <c r="G47" s="68"/>
    </row>
    <row r="48" spans="1:12" ht="15">
      <c r="A48" s="76" t="s">
        <v>55</v>
      </c>
      <c r="B48" s="77"/>
      <c r="C48" s="68"/>
      <c r="D48" s="68"/>
      <c r="E48" s="68"/>
      <c r="F48" s="68"/>
      <c r="G48" s="68"/>
    </row>
    <row r="49" spans="1:12" ht="15">
      <c r="A49" s="31" t="s">
        <v>56</v>
      </c>
      <c r="B49" s="77"/>
      <c r="C49" s="68"/>
      <c r="D49" s="68"/>
      <c r="E49" s="68"/>
      <c r="F49" s="68"/>
      <c r="G49" s="68"/>
    </row>
    <row r="50" spans="1:12" ht="15">
      <c r="A50" s="31" t="s">
        <v>188</v>
      </c>
      <c r="B50" s="77">
        <v>9.92</v>
      </c>
      <c r="C50" s="68"/>
      <c r="D50" s="68"/>
      <c r="E50" s="68"/>
      <c r="F50" s="68"/>
      <c r="G50" s="68"/>
    </row>
    <row r="51" spans="1:12" ht="25.5">
      <c r="A51" s="78" t="s">
        <v>586</v>
      </c>
      <c r="B51" s="77">
        <v>0</v>
      </c>
      <c r="C51" s="68"/>
      <c r="D51" s="68"/>
      <c r="E51" s="68"/>
      <c r="F51" s="68"/>
      <c r="G51" s="68"/>
    </row>
    <row r="52" spans="1:12" ht="25.5">
      <c r="A52" s="78" t="s">
        <v>58</v>
      </c>
      <c r="B52" s="77"/>
      <c r="C52" s="68"/>
      <c r="D52" s="68"/>
      <c r="E52" s="68"/>
      <c r="F52" s="68"/>
      <c r="G52" s="68"/>
    </row>
    <row r="53" spans="1:12" ht="25.5">
      <c r="A53" s="78" t="s">
        <v>478</v>
      </c>
      <c r="B53" s="77">
        <v>0</v>
      </c>
      <c r="C53" s="68"/>
      <c r="D53" s="68"/>
      <c r="E53" s="68"/>
      <c r="F53" s="68"/>
      <c r="G53" s="68"/>
    </row>
    <row r="54" spans="1:12" ht="15">
      <c r="A54" s="26" t="s">
        <v>60</v>
      </c>
      <c r="B54" s="77"/>
      <c r="C54" s="68"/>
      <c r="D54" s="68"/>
      <c r="E54" s="68"/>
      <c r="F54" s="68"/>
      <c r="G54" s="68"/>
    </row>
    <row r="55" spans="1:12" ht="14.25" customHeight="1">
      <c r="A55" s="76" t="s">
        <v>61</v>
      </c>
      <c r="B55" s="77"/>
      <c r="C55" s="144" t="s">
        <v>590</v>
      </c>
      <c r="D55" s="68"/>
      <c r="E55" s="68"/>
      <c r="F55" s="68"/>
      <c r="G55" s="68"/>
    </row>
    <row r="56" spans="1:12" ht="26.25" customHeight="1">
      <c r="A56" s="76" t="s">
        <v>62</v>
      </c>
      <c r="B56" s="77"/>
      <c r="C56" s="144" t="s">
        <v>590</v>
      </c>
      <c r="D56" s="68"/>
      <c r="E56" s="68"/>
      <c r="F56" s="68"/>
      <c r="G56" s="68"/>
    </row>
    <row r="57" spans="1:12" ht="33" customHeight="1">
      <c r="A57" s="76" t="s">
        <v>63</v>
      </c>
      <c r="B57" s="77">
        <v>0</v>
      </c>
      <c r="C57" s="68"/>
      <c r="D57" s="68"/>
      <c r="E57" s="68"/>
      <c r="F57" s="68"/>
      <c r="G57" s="68"/>
      <c r="J57" s="18"/>
      <c r="K57" s="18"/>
      <c r="L57" s="18"/>
    </row>
    <row r="58" spans="1:12" ht="32.25" customHeight="1">
      <c r="A58" s="76" t="s">
        <v>64</v>
      </c>
      <c r="B58" s="77"/>
      <c r="C58" s="68"/>
      <c r="D58" s="68"/>
      <c r="E58" s="68"/>
      <c r="F58" s="68"/>
      <c r="G58" s="68"/>
    </row>
    <row r="59" spans="1:12" ht="31.5" customHeight="1">
      <c r="A59" s="76" t="s">
        <v>65</v>
      </c>
      <c r="B59" s="77">
        <v>0</v>
      </c>
      <c r="C59" s="68"/>
      <c r="D59" s="68"/>
      <c r="E59" s="68"/>
      <c r="F59" s="68"/>
      <c r="G59" s="68"/>
    </row>
    <row r="60" spans="1:12" s="19" customFormat="1" ht="15">
      <c r="A60" s="76" t="s">
        <v>66</v>
      </c>
      <c r="B60" s="77"/>
      <c r="C60" s="144" t="s">
        <v>589</v>
      </c>
      <c r="D60" s="68"/>
      <c r="E60" s="68"/>
      <c r="F60" s="68"/>
      <c r="G60" s="68"/>
      <c r="H60" s="8"/>
      <c r="I60" s="8"/>
      <c r="J60" s="18"/>
      <c r="K60" s="18"/>
      <c r="L60" s="18"/>
    </row>
    <row r="61" spans="1:12" s="19" customFormat="1" ht="15">
      <c r="A61" s="76" t="s">
        <v>67</v>
      </c>
      <c r="B61" s="77"/>
      <c r="C61" s="68"/>
      <c r="D61" s="68"/>
      <c r="E61" s="68"/>
      <c r="F61" s="68"/>
      <c r="G61" s="68"/>
      <c r="H61" s="8"/>
      <c r="I61" s="8"/>
      <c r="J61" s="18"/>
      <c r="K61" s="18"/>
      <c r="L61" s="18"/>
    </row>
    <row r="62" spans="1:12" s="19" customFormat="1" ht="15">
      <c r="A62" s="76" t="s">
        <v>68</v>
      </c>
      <c r="B62" s="77"/>
      <c r="C62" s="68"/>
      <c r="D62" s="68"/>
      <c r="E62" s="68"/>
      <c r="F62" s="68"/>
      <c r="G62" s="68"/>
      <c r="H62" s="8"/>
      <c r="I62" s="8"/>
      <c r="J62" s="18"/>
      <c r="K62" s="18"/>
      <c r="L62" s="18"/>
    </row>
    <row r="63" spans="1:12" s="19" customFormat="1" ht="15">
      <c r="A63" s="76" t="s">
        <v>69</v>
      </c>
      <c r="B63" s="77"/>
      <c r="C63" s="144" t="s">
        <v>590</v>
      </c>
      <c r="D63" s="68"/>
      <c r="E63" s="68"/>
      <c r="F63" s="68"/>
      <c r="G63" s="68"/>
      <c r="H63" s="8"/>
      <c r="I63" s="8"/>
      <c r="J63" s="18"/>
      <c r="K63" s="18"/>
      <c r="L63" s="18"/>
    </row>
    <row r="64" spans="1:12" s="19" customFormat="1" ht="15">
      <c r="A64" s="78" t="s">
        <v>70</v>
      </c>
      <c r="B64" s="77"/>
      <c r="C64" s="68"/>
      <c r="D64" s="68"/>
      <c r="E64" s="68"/>
      <c r="F64" s="68"/>
      <c r="G64" s="68"/>
      <c r="H64" s="8"/>
      <c r="I64" s="8"/>
      <c r="J64" s="18"/>
      <c r="K64" s="18"/>
      <c r="L64" s="18"/>
    </row>
    <row r="65" spans="1:12" s="19" customFormat="1" ht="25.5">
      <c r="A65" s="78" t="s">
        <v>71</v>
      </c>
      <c r="B65" s="77"/>
      <c r="C65" s="144" t="s">
        <v>590</v>
      </c>
      <c r="D65" s="68"/>
      <c r="E65" s="68"/>
      <c r="F65" s="68"/>
      <c r="G65" s="68"/>
      <c r="H65" s="8"/>
      <c r="I65" s="8"/>
      <c r="J65" s="18"/>
      <c r="K65" s="18"/>
      <c r="L65" s="18"/>
    </row>
    <row r="66" spans="1:12" ht="15">
      <c r="A66" s="79" t="s">
        <v>72</v>
      </c>
      <c r="B66" s="77"/>
      <c r="C66" s="144" t="s">
        <v>590</v>
      </c>
      <c r="D66" s="68"/>
      <c r="E66" s="68"/>
      <c r="F66" s="68"/>
      <c r="G66" s="68"/>
    </row>
    <row r="67" spans="1:12" ht="15">
      <c r="A67" s="38" t="s">
        <v>73</v>
      </c>
      <c r="B67" s="77">
        <v>0</v>
      </c>
      <c r="C67" s="68"/>
      <c r="D67" s="68"/>
      <c r="E67" s="68"/>
      <c r="F67" s="68"/>
      <c r="G67" s="68"/>
    </row>
    <row r="68" spans="1:12" ht="15">
      <c r="A68" s="78" t="s">
        <v>74</v>
      </c>
      <c r="B68" s="77">
        <v>0</v>
      </c>
      <c r="C68" s="68"/>
      <c r="D68" s="68"/>
      <c r="E68" s="68"/>
      <c r="F68" s="68"/>
      <c r="G68" s="68"/>
    </row>
    <row r="69" spans="1:12" ht="15">
      <c r="A69" s="78" t="s">
        <v>75</v>
      </c>
      <c r="B69" s="77">
        <v>0</v>
      </c>
      <c r="C69" s="68"/>
      <c r="D69" s="68"/>
      <c r="E69" s="68"/>
      <c r="F69" s="68"/>
      <c r="G69" s="68"/>
    </row>
    <row r="70" spans="1:12" s="19" customFormat="1" ht="15">
      <c r="A70" s="78" t="s">
        <v>680</v>
      </c>
      <c r="B70" s="77">
        <v>0</v>
      </c>
      <c r="C70" s="68"/>
      <c r="D70" s="68"/>
      <c r="E70" s="68"/>
      <c r="F70" s="68"/>
      <c r="G70" s="68"/>
      <c r="H70" s="18"/>
      <c r="I70" s="18"/>
      <c r="J70" s="8"/>
      <c r="K70" s="8"/>
      <c r="L70" s="8"/>
    </row>
    <row r="71" spans="1:12" ht="15">
      <c r="A71" s="78" t="s">
        <v>77</v>
      </c>
      <c r="B71" s="77">
        <v>0</v>
      </c>
      <c r="C71" s="68"/>
      <c r="D71" s="68"/>
      <c r="E71" s="68"/>
      <c r="F71" s="68"/>
      <c r="G71" s="68"/>
      <c r="H71" s="18"/>
      <c r="I71" s="18"/>
    </row>
    <row r="72" spans="1:12" ht="15">
      <c r="A72" s="78" t="s">
        <v>78</v>
      </c>
      <c r="B72" s="77">
        <v>13.23</v>
      </c>
      <c r="C72" s="68"/>
      <c r="D72" s="68"/>
      <c r="E72" s="68"/>
      <c r="F72" s="68"/>
      <c r="G72" s="68"/>
    </row>
    <row r="73" spans="1:12" ht="25.5">
      <c r="A73" s="78" t="s">
        <v>679</v>
      </c>
      <c r="B73" s="77">
        <v>11.57</v>
      </c>
      <c r="C73" s="68"/>
      <c r="D73" s="68"/>
      <c r="E73" s="68"/>
      <c r="F73" s="68"/>
      <c r="G73" s="68"/>
    </row>
    <row r="74" spans="1:12" ht="15">
      <c r="A74" s="78" t="s">
        <v>80</v>
      </c>
      <c r="B74" s="77">
        <v>17.5</v>
      </c>
      <c r="C74" s="68"/>
      <c r="D74" s="68"/>
      <c r="E74" s="68"/>
      <c r="F74" s="68"/>
      <c r="G74" s="68"/>
    </row>
    <row r="75" spans="1:12" ht="15">
      <c r="A75" s="78" t="s">
        <v>574</v>
      </c>
      <c r="B75" s="77">
        <v>0</v>
      </c>
      <c r="C75" s="80"/>
      <c r="D75" s="81"/>
      <c r="E75" s="82"/>
      <c r="F75" s="82"/>
    </row>
    <row r="76" spans="1:12" ht="15">
      <c r="A76" s="78" t="s">
        <v>575</v>
      </c>
      <c r="B76" s="77">
        <v>0</v>
      </c>
      <c r="C76" s="80"/>
      <c r="D76" s="81"/>
      <c r="E76" s="82"/>
      <c r="F76" s="82"/>
    </row>
    <row r="77" spans="1:12" ht="15">
      <c r="A77" s="78" t="s">
        <v>83</v>
      </c>
      <c r="B77" s="77"/>
      <c r="C77" s="144" t="s">
        <v>590</v>
      </c>
      <c r="D77" s="81"/>
      <c r="E77" s="82"/>
      <c r="F77" s="82"/>
    </row>
    <row r="78" spans="1:12" ht="15">
      <c r="A78" s="78" t="s">
        <v>681</v>
      </c>
      <c r="B78" s="77">
        <v>0</v>
      </c>
      <c r="C78" s="80"/>
      <c r="D78" s="81"/>
      <c r="E78" s="82"/>
      <c r="F78" s="82"/>
    </row>
    <row r="79" spans="1:12" ht="15">
      <c r="A79" s="78" t="s">
        <v>85</v>
      </c>
      <c r="B79" s="77"/>
      <c r="C79" s="80"/>
      <c r="D79" s="81"/>
      <c r="E79" s="82"/>
      <c r="F79" s="82"/>
    </row>
    <row r="80" spans="1:12" ht="15">
      <c r="A80" s="78" t="s">
        <v>86</v>
      </c>
      <c r="B80" s="77"/>
      <c r="C80" s="80"/>
      <c r="D80" s="81"/>
      <c r="E80" s="82"/>
      <c r="F80" s="82"/>
    </row>
    <row r="81" spans="1:12" ht="15">
      <c r="A81" s="78" t="s">
        <v>87</v>
      </c>
      <c r="B81" s="77"/>
      <c r="C81" s="80"/>
      <c r="D81" s="81"/>
      <c r="E81" s="82"/>
      <c r="F81" s="82"/>
    </row>
    <row r="82" spans="1:12" ht="25.5">
      <c r="A82" s="78" t="s">
        <v>88</v>
      </c>
      <c r="B82" s="77"/>
      <c r="C82" s="80"/>
      <c r="D82" s="81"/>
      <c r="E82" s="82"/>
      <c r="F82" s="82"/>
    </row>
    <row r="83" spans="1:12" ht="25.5">
      <c r="A83" s="78" t="s">
        <v>89</v>
      </c>
      <c r="B83" s="77"/>
      <c r="C83" s="80"/>
      <c r="D83" s="81"/>
      <c r="E83" s="82"/>
      <c r="F83" s="82"/>
    </row>
    <row r="84" spans="1:12" ht="25.5">
      <c r="A84" s="78" t="s">
        <v>90</v>
      </c>
      <c r="B84" s="77"/>
      <c r="C84" s="80"/>
      <c r="D84" s="81"/>
      <c r="E84" s="82"/>
      <c r="F84" s="82"/>
    </row>
    <row r="85" spans="1:12" ht="15">
      <c r="A85" s="78" t="s">
        <v>91</v>
      </c>
      <c r="B85" s="77"/>
      <c r="C85" s="80"/>
      <c r="D85" s="81"/>
      <c r="E85" s="82"/>
      <c r="F85" s="82"/>
    </row>
    <row r="86" spans="1:12" ht="15">
      <c r="A86" s="78" t="s">
        <v>92</v>
      </c>
      <c r="B86" s="77">
        <v>0</v>
      </c>
      <c r="C86" s="80"/>
      <c r="D86" s="81"/>
      <c r="E86" s="82"/>
      <c r="F86" s="82"/>
    </row>
    <row r="87" spans="1:12" ht="15">
      <c r="A87" s="84" t="s">
        <v>93</v>
      </c>
      <c r="B87" s="77"/>
      <c r="C87" s="80"/>
      <c r="D87" s="81"/>
      <c r="E87" s="82"/>
      <c r="F87" s="82"/>
    </row>
    <row r="88" spans="1:12" ht="15">
      <c r="A88" s="84" t="s">
        <v>94</v>
      </c>
      <c r="B88" s="122">
        <v>38.39</v>
      </c>
      <c r="C88" s="80"/>
      <c r="D88" s="81"/>
      <c r="E88" s="82"/>
      <c r="F88" s="82"/>
    </row>
    <row r="89" spans="1:12" ht="15">
      <c r="A89" s="84" t="s">
        <v>95</v>
      </c>
      <c r="B89" s="77"/>
      <c r="C89" s="80"/>
      <c r="D89" s="81"/>
      <c r="E89" s="82"/>
      <c r="F89" s="82"/>
    </row>
    <row r="90" spans="1:12" ht="15">
      <c r="A90" s="84" t="s">
        <v>96</v>
      </c>
      <c r="B90" s="77">
        <v>0.5</v>
      </c>
      <c r="C90" s="80"/>
      <c r="D90" s="81"/>
      <c r="E90" s="82"/>
      <c r="F90" s="82"/>
    </row>
    <row r="91" spans="1:12" ht="15">
      <c r="A91" s="84" t="s">
        <v>97</v>
      </c>
      <c r="B91" s="77"/>
      <c r="C91" s="80"/>
      <c r="D91" s="81"/>
      <c r="E91" s="82"/>
      <c r="F91" s="82"/>
    </row>
    <row r="92" spans="1:12" ht="15">
      <c r="A92" s="84" t="s">
        <v>804</v>
      </c>
      <c r="B92" s="77">
        <v>0.5</v>
      </c>
      <c r="C92" s="80"/>
      <c r="D92" s="81"/>
      <c r="E92" s="82"/>
      <c r="F92" s="82"/>
    </row>
    <row r="93" spans="1:12" ht="25.5">
      <c r="A93" s="85" t="s">
        <v>98</v>
      </c>
      <c r="B93" s="77"/>
      <c r="C93" s="80"/>
      <c r="D93" s="81"/>
      <c r="E93" s="82"/>
      <c r="F93" s="82"/>
    </row>
    <row r="94" spans="1:12" ht="26.25" thickBot="1">
      <c r="A94" s="86" t="s">
        <v>99</v>
      </c>
      <c r="B94" s="87">
        <v>0.25</v>
      </c>
      <c r="C94" s="80"/>
      <c r="D94" s="81"/>
      <c r="E94" s="82"/>
      <c r="F94" s="82"/>
    </row>
    <row r="95" spans="1:12" ht="15.75" thickBot="1">
      <c r="A95" s="88"/>
      <c r="B95" s="89"/>
      <c r="C95" s="80"/>
      <c r="D95" s="81"/>
      <c r="E95" s="82"/>
      <c r="F95" s="82"/>
    </row>
    <row r="96" spans="1:12" s="19" customFormat="1" ht="15.75" thickBot="1">
      <c r="A96" s="90" t="s">
        <v>100</v>
      </c>
      <c r="B96" s="91">
        <f>SUM(B2:B43)</f>
        <v>17806.910000000003</v>
      </c>
      <c r="C96" s="92"/>
      <c r="D96" s="93"/>
      <c r="E96" s="68"/>
      <c r="F96" s="68"/>
      <c r="G96" s="93"/>
      <c r="H96" s="18"/>
      <c r="I96" s="18"/>
      <c r="J96" s="18"/>
      <c r="K96" s="18"/>
      <c r="L96" s="18"/>
    </row>
    <row r="97" spans="1:12" s="19" customFormat="1" ht="15.75" thickBot="1">
      <c r="A97" s="94" t="s">
        <v>101</v>
      </c>
      <c r="B97" s="95">
        <f>SUM(G2:G41)</f>
        <v>6465.1100000000006</v>
      </c>
      <c r="C97" s="93"/>
      <c r="D97" s="93"/>
      <c r="E97" s="68"/>
      <c r="F97" s="68"/>
      <c r="G97" s="96"/>
      <c r="H97" s="18"/>
      <c r="I97" s="18"/>
      <c r="J97" s="18"/>
      <c r="K97" s="18"/>
      <c r="L97" s="18"/>
    </row>
    <row r="98" spans="1:12" ht="15.75" thickBot="1">
      <c r="A98" s="97" t="s">
        <v>102</v>
      </c>
      <c r="B98" s="91">
        <f>SUM(B45:B94)</f>
        <v>91.86</v>
      </c>
      <c r="C98" s="80"/>
      <c r="D98" s="81"/>
      <c r="E98" s="82"/>
      <c r="F98" s="82"/>
    </row>
    <row r="99" spans="1:12" ht="15.75" thickBot="1">
      <c r="A99" s="98" t="s">
        <v>103</v>
      </c>
      <c r="B99" s="91">
        <f>B96+B97+B98</f>
        <v>24363.880000000005</v>
      </c>
      <c r="C99" s="80"/>
      <c r="D99" s="81"/>
    </row>
    <row r="100" spans="1:12">
      <c r="B100" s="80"/>
      <c r="C100" s="80"/>
      <c r="D100" s="81"/>
    </row>
    <row r="101" spans="1:12">
      <c r="B101" s="80"/>
      <c r="C101" s="80"/>
      <c r="D101" s="81"/>
    </row>
    <row r="102" spans="1:12">
      <c r="B102" s="80"/>
      <c r="C102" s="80"/>
      <c r="D102" s="80"/>
    </row>
    <row r="103" spans="1:12">
      <c r="B103" s="80"/>
      <c r="C103" s="80"/>
      <c r="D103" s="80"/>
    </row>
    <row r="104" spans="1:12">
      <c r="B104" s="80"/>
      <c r="C104" s="80"/>
      <c r="D104" s="80"/>
    </row>
    <row r="105" spans="1:12">
      <c r="B105" s="80"/>
      <c r="C105" s="80"/>
      <c r="D105" s="80"/>
    </row>
    <row r="106" spans="1:12" s="80" customFormat="1">
      <c r="A106" s="8"/>
      <c r="G106" s="83"/>
      <c r="H106" s="8"/>
      <c r="I106" s="8"/>
      <c r="J106" s="8"/>
      <c r="K106" s="8"/>
      <c r="L106" s="8"/>
    </row>
    <row r="107" spans="1:12" s="80" customFormat="1">
      <c r="A107" s="8"/>
      <c r="G107" s="83"/>
      <c r="H107" s="8"/>
      <c r="I107" s="8"/>
      <c r="J107" s="8"/>
      <c r="K107" s="8"/>
      <c r="L107" s="8"/>
    </row>
  </sheetData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45"/>
  <sheetViews>
    <sheetView workbookViewId="0">
      <pane xSplit="4" ySplit="1" topLeftCell="I2" activePane="bottomRight" state="frozen"/>
      <selection pane="topRight" activeCell="E1" sqref="E1"/>
      <selection pane="bottomLeft" activeCell="A2" sqref="A2"/>
      <selection pane="bottomRight" sqref="A1:XFD1048576"/>
    </sheetView>
  </sheetViews>
  <sheetFormatPr defaultRowHeight="12.75"/>
  <cols>
    <col min="1" max="1" width="47.140625" style="8" customWidth="1"/>
    <col min="2" max="2" width="29" style="8" hidden="1" customWidth="1"/>
    <col min="3" max="3" width="24.42578125" style="8" hidden="1" customWidth="1"/>
    <col min="4" max="4" width="24.5703125" style="8" hidden="1" customWidth="1"/>
    <col min="5" max="5" width="29" style="8" customWidth="1"/>
    <col min="6" max="6" width="24.42578125" style="8" customWidth="1"/>
    <col min="7" max="7" width="24.5703125" style="8" customWidth="1"/>
    <col min="8" max="8" width="29" style="8" customWidth="1"/>
    <col min="9" max="9" width="24.42578125" style="8" customWidth="1"/>
    <col min="10" max="10" width="24.5703125" style="8" customWidth="1"/>
    <col min="11" max="11" width="29" style="8" customWidth="1"/>
    <col min="12" max="12" width="24.42578125" style="8" customWidth="1"/>
    <col min="13" max="13" width="24.5703125" style="8" customWidth="1"/>
    <col min="14" max="16384" width="9.140625" style="8"/>
  </cols>
  <sheetData>
    <row r="1" spans="1:17" ht="46.5" customHeight="1" thickBot="1">
      <c r="A1" s="99" t="s">
        <v>104</v>
      </c>
      <c r="B1" s="99" t="s">
        <v>105</v>
      </c>
      <c r="C1" s="99" t="s">
        <v>106</v>
      </c>
      <c r="D1" s="100" t="s">
        <v>107</v>
      </c>
      <c r="E1" s="99" t="s">
        <v>591</v>
      </c>
      <c r="F1" s="99" t="s">
        <v>592</v>
      </c>
      <c r="G1" s="100" t="s">
        <v>593</v>
      </c>
      <c r="H1" s="99" t="s">
        <v>682</v>
      </c>
      <c r="I1" s="99" t="s">
        <v>683</v>
      </c>
      <c r="J1" s="100" t="s">
        <v>684</v>
      </c>
      <c r="K1" s="99" t="s">
        <v>753</v>
      </c>
      <c r="L1" s="99" t="s">
        <v>754</v>
      </c>
      <c r="M1" s="100" t="s">
        <v>755</v>
      </c>
    </row>
    <row r="2" spans="1:17" ht="53.25" customHeight="1">
      <c r="A2" s="101" t="s">
        <v>7</v>
      </c>
      <c r="B2" s="102" t="s">
        <v>108</v>
      </c>
      <c r="C2" s="102" t="s">
        <v>109</v>
      </c>
      <c r="D2" s="103" t="s">
        <v>110</v>
      </c>
      <c r="E2" s="102" t="s">
        <v>649</v>
      </c>
      <c r="F2" s="102" t="s">
        <v>407</v>
      </c>
      <c r="G2" s="102" t="s">
        <v>640</v>
      </c>
      <c r="H2" s="102" t="s">
        <v>729</v>
      </c>
      <c r="I2" s="102" t="s">
        <v>407</v>
      </c>
      <c r="J2" s="102" t="s">
        <v>730</v>
      </c>
      <c r="K2" s="102" t="s">
        <v>801</v>
      </c>
      <c r="L2" s="102" t="s">
        <v>802</v>
      </c>
      <c r="M2" s="102" t="s">
        <v>803</v>
      </c>
    </row>
    <row r="3" spans="1:17" ht="53.25" customHeight="1">
      <c r="A3" s="101" t="s">
        <v>8</v>
      </c>
      <c r="B3" s="104"/>
      <c r="C3" s="104"/>
      <c r="D3" s="103"/>
      <c r="E3" s="104" t="s">
        <v>616</v>
      </c>
      <c r="F3" s="104" t="s">
        <v>468</v>
      </c>
      <c r="G3" s="104" t="s">
        <v>617</v>
      </c>
      <c r="H3" s="104" t="s">
        <v>706</v>
      </c>
      <c r="I3" s="104" t="s">
        <v>707</v>
      </c>
      <c r="J3" s="104" t="s">
        <v>701</v>
      </c>
      <c r="K3" s="104" t="s">
        <v>773</v>
      </c>
      <c r="L3" s="104" t="s">
        <v>774</v>
      </c>
      <c r="M3" s="104" t="s">
        <v>760</v>
      </c>
      <c r="N3" s="105"/>
      <c r="O3" s="106"/>
      <c r="P3" s="107"/>
      <c r="Q3"/>
    </row>
    <row r="4" spans="1:17" ht="53.25" customHeight="1">
      <c r="A4" s="78" t="s">
        <v>14</v>
      </c>
      <c r="B4" s="104"/>
      <c r="C4" s="104"/>
      <c r="D4" s="103"/>
      <c r="E4" s="104" t="s">
        <v>610</v>
      </c>
      <c r="F4" s="104" t="s">
        <v>611</v>
      </c>
      <c r="G4" s="104" t="s">
        <v>471</v>
      </c>
      <c r="H4" s="104" t="s">
        <v>700</v>
      </c>
      <c r="I4" s="104" t="s">
        <v>468</v>
      </c>
      <c r="J4" s="104" t="s">
        <v>701</v>
      </c>
      <c r="K4" s="104" t="s">
        <v>769</v>
      </c>
      <c r="L4" s="104" t="s">
        <v>189</v>
      </c>
      <c r="M4" s="104" t="s">
        <v>757</v>
      </c>
      <c r="N4" s="106"/>
      <c r="O4" s="106"/>
      <c r="P4" s="106"/>
      <c r="Q4" s="107"/>
    </row>
    <row r="5" spans="1:17" ht="53.25" customHeight="1">
      <c r="A5" s="78" t="s">
        <v>112</v>
      </c>
      <c r="B5" s="104"/>
      <c r="C5" s="104"/>
      <c r="D5" s="103"/>
      <c r="E5" s="104" t="s">
        <v>666</v>
      </c>
      <c r="F5" s="104" t="s">
        <v>667</v>
      </c>
      <c r="G5" s="104" t="s">
        <v>658</v>
      </c>
      <c r="H5" s="104" t="s">
        <v>745</v>
      </c>
      <c r="I5" s="104" t="s">
        <v>746</v>
      </c>
      <c r="J5" s="104" t="s">
        <v>701</v>
      </c>
      <c r="K5" s="104" t="s">
        <v>819</v>
      </c>
      <c r="L5" s="104" t="s">
        <v>189</v>
      </c>
      <c r="M5" s="104" t="s">
        <v>757</v>
      </c>
      <c r="N5" s="106"/>
      <c r="O5" s="106"/>
      <c r="P5" s="106"/>
      <c r="Q5" s="107"/>
    </row>
    <row r="6" spans="1:17" ht="53.25" customHeight="1">
      <c r="A6" s="78" t="s">
        <v>15</v>
      </c>
      <c r="B6" s="104"/>
      <c r="C6" s="104"/>
      <c r="D6" s="103"/>
      <c r="E6" s="104" t="s">
        <v>652</v>
      </c>
      <c r="F6" s="104" t="s">
        <v>653</v>
      </c>
      <c r="G6" s="104" t="s">
        <v>600</v>
      </c>
      <c r="H6" s="104" t="s">
        <v>734</v>
      </c>
      <c r="I6" s="104" t="s">
        <v>735</v>
      </c>
      <c r="J6" s="104" t="s">
        <v>686</v>
      </c>
      <c r="K6" s="104" t="s">
        <v>756</v>
      </c>
      <c r="L6" s="104" t="s">
        <v>189</v>
      </c>
      <c r="M6" s="104" t="s">
        <v>757</v>
      </c>
    </row>
    <row r="7" spans="1:17" ht="53.25" customHeight="1">
      <c r="A7" s="109" t="s">
        <v>16</v>
      </c>
      <c r="B7" s="104"/>
      <c r="C7" s="110"/>
      <c r="D7" s="103"/>
      <c r="E7" s="104" t="s">
        <v>618</v>
      </c>
      <c r="F7" s="104" t="s">
        <v>468</v>
      </c>
      <c r="G7" s="104" t="s">
        <v>405</v>
      </c>
      <c r="H7" s="104" t="s">
        <v>708</v>
      </c>
      <c r="I7" s="104" t="s">
        <v>468</v>
      </c>
      <c r="J7" s="104" t="s">
        <v>701</v>
      </c>
      <c r="K7" s="104" t="s">
        <v>775</v>
      </c>
      <c r="L7" s="104" t="s">
        <v>189</v>
      </c>
      <c r="M7" s="104" t="s">
        <v>757</v>
      </c>
    </row>
    <row r="8" spans="1:17" ht="53.25" customHeight="1">
      <c r="A8" s="109" t="s">
        <v>17</v>
      </c>
      <c r="B8" s="104"/>
      <c r="C8" s="110"/>
      <c r="D8" s="103"/>
      <c r="E8" s="104" t="s">
        <v>635</v>
      </c>
      <c r="F8" s="104" t="s">
        <v>636</v>
      </c>
      <c r="G8" s="104" t="s">
        <v>396</v>
      </c>
      <c r="H8" s="104" t="s">
        <v>718</v>
      </c>
      <c r="I8" s="104" t="s">
        <v>468</v>
      </c>
      <c r="J8" s="104" t="s">
        <v>686</v>
      </c>
      <c r="K8" s="104" t="s">
        <v>788</v>
      </c>
      <c r="L8" s="104" t="s">
        <v>189</v>
      </c>
      <c r="M8" s="104" t="s">
        <v>757</v>
      </c>
    </row>
    <row r="9" spans="1:17" ht="53.25" customHeight="1">
      <c r="A9" s="109" t="s">
        <v>18</v>
      </c>
      <c r="B9" s="104"/>
      <c r="C9" s="110"/>
      <c r="D9" s="111"/>
      <c r="E9" s="104" t="s">
        <v>659</v>
      </c>
      <c r="F9" s="104" t="s">
        <v>660</v>
      </c>
      <c r="G9" s="104" t="s">
        <v>661</v>
      </c>
      <c r="H9" s="104" t="s">
        <v>740</v>
      </c>
      <c r="I9" s="104" t="s">
        <v>468</v>
      </c>
      <c r="J9" s="104" t="s">
        <v>686</v>
      </c>
      <c r="K9" s="104" t="s">
        <v>810</v>
      </c>
      <c r="L9" s="104" t="s">
        <v>811</v>
      </c>
      <c r="M9" s="104" t="s">
        <v>812</v>
      </c>
    </row>
    <row r="10" spans="1:17" ht="53.25" customHeight="1">
      <c r="A10" s="109" t="s">
        <v>20</v>
      </c>
      <c r="B10" s="104"/>
      <c r="C10" s="110"/>
      <c r="D10" s="103"/>
      <c r="E10" s="104" t="s">
        <v>648</v>
      </c>
      <c r="F10" s="104" t="s">
        <v>407</v>
      </c>
      <c r="G10" s="104" t="s">
        <v>509</v>
      </c>
      <c r="H10" s="104" t="s">
        <v>728</v>
      </c>
      <c r="I10" s="104" t="s">
        <v>468</v>
      </c>
      <c r="J10" s="104" t="s">
        <v>686</v>
      </c>
      <c r="K10" s="104" t="s">
        <v>800</v>
      </c>
      <c r="L10" s="104" t="s">
        <v>189</v>
      </c>
      <c r="M10" s="104" t="s">
        <v>757</v>
      </c>
    </row>
    <row r="11" spans="1:17" ht="53.25" customHeight="1">
      <c r="A11" s="109" t="s">
        <v>492</v>
      </c>
      <c r="B11" s="104"/>
      <c r="C11" s="110"/>
      <c r="D11" s="103"/>
      <c r="E11" s="104" t="s">
        <v>605</v>
      </c>
      <c r="F11" s="104" t="s">
        <v>606</v>
      </c>
      <c r="G11" s="104" t="s">
        <v>111</v>
      </c>
      <c r="H11" s="104" t="s">
        <v>696</v>
      </c>
      <c r="I11" s="104" t="s">
        <v>697</v>
      </c>
      <c r="J11" s="104" t="s">
        <v>686</v>
      </c>
      <c r="K11" s="104" t="s">
        <v>766</v>
      </c>
      <c r="L11" s="104" t="s">
        <v>189</v>
      </c>
      <c r="M11" s="104" t="s">
        <v>757</v>
      </c>
    </row>
    <row r="12" spans="1:17" ht="53.25" customHeight="1">
      <c r="A12" s="109" t="s">
        <v>21</v>
      </c>
      <c r="B12" s="104"/>
      <c r="C12" s="110"/>
      <c r="D12" s="103"/>
      <c r="E12" s="104" t="s">
        <v>674</v>
      </c>
      <c r="F12" s="108" t="s">
        <v>675</v>
      </c>
      <c r="G12" s="104" t="s">
        <v>676</v>
      </c>
      <c r="H12" s="104" t="s">
        <v>749</v>
      </c>
      <c r="I12" s="108" t="s">
        <v>750</v>
      </c>
      <c r="J12" s="104" t="s">
        <v>701</v>
      </c>
      <c r="K12" s="104" t="s">
        <v>822</v>
      </c>
      <c r="L12" s="104" t="s">
        <v>823</v>
      </c>
      <c r="M12" s="104" t="s">
        <v>757</v>
      </c>
    </row>
    <row r="13" spans="1:17" ht="53.25" customHeight="1">
      <c r="A13" s="109" t="s">
        <v>114</v>
      </c>
      <c r="B13" s="113"/>
      <c r="C13" s="114"/>
      <c r="D13" s="103"/>
      <c r="E13" s="104" t="s">
        <v>677</v>
      </c>
      <c r="F13" s="104" t="s">
        <v>678</v>
      </c>
      <c r="G13" s="104" t="s">
        <v>405</v>
      </c>
      <c r="H13" s="104" t="s">
        <v>751</v>
      </c>
      <c r="I13" s="104" t="s">
        <v>752</v>
      </c>
      <c r="J13" s="104" t="s">
        <v>686</v>
      </c>
      <c r="K13" s="104" t="s">
        <v>756</v>
      </c>
      <c r="L13" s="104" t="s">
        <v>189</v>
      </c>
      <c r="M13" s="104" t="s">
        <v>757</v>
      </c>
    </row>
    <row r="14" spans="1:17" ht="53.25" customHeight="1">
      <c r="A14" s="109" t="s">
        <v>22</v>
      </c>
      <c r="B14" s="104"/>
      <c r="C14" s="110"/>
      <c r="D14" s="103"/>
      <c r="E14" s="104" t="s">
        <v>671</v>
      </c>
      <c r="F14" s="104" t="s">
        <v>672</v>
      </c>
      <c r="G14" s="104" t="s">
        <v>673</v>
      </c>
      <c r="H14" s="104" t="s">
        <v>685</v>
      </c>
      <c r="I14" s="104" t="s">
        <v>468</v>
      </c>
      <c r="J14" s="104" t="s">
        <v>686</v>
      </c>
      <c r="K14" s="104" t="s">
        <v>756</v>
      </c>
      <c r="L14" s="104" t="s">
        <v>470</v>
      </c>
      <c r="M14" s="104" t="s">
        <v>757</v>
      </c>
    </row>
    <row r="15" spans="1:17" ht="53.25" customHeight="1">
      <c r="A15" s="109" t="s">
        <v>258</v>
      </c>
      <c r="B15" s="104"/>
      <c r="C15" s="110"/>
      <c r="D15" s="103"/>
      <c r="E15" s="104" t="s">
        <v>594</v>
      </c>
      <c r="F15" s="104" t="s">
        <v>189</v>
      </c>
      <c r="G15" s="104" t="s">
        <v>110</v>
      </c>
      <c r="H15" s="104" t="s">
        <v>685</v>
      </c>
      <c r="I15" s="104" t="s">
        <v>468</v>
      </c>
      <c r="J15" s="104" t="s">
        <v>686</v>
      </c>
      <c r="K15" s="104" t="s">
        <v>756</v>
      </c>
      <c r="L15" s="104" t="s">
        <v>189</v>
      </c>
      <c r="M15" s="104" t="s">
        <v>757</v>
      </c>
    </row>
    <row r="16" spans="1:17" ht="38.25">
      <c r="A16" s="109" t="s">
        <v>495</v>
      </c>
      <c r="B16" s="104"/>
      <c r="C16" s="110"/>
      <c r="D16" s="103"/>
      <c r="E16" s="104" t="s">
        <v>656</v>
      </c>
      <c r="F16" s="104" t="s">
        <v>657</v>
      </c>
      <c r="G16" s="104" t="s">
        <v>658</v>
      </c>
      <c r="H16" s="104" t="s">
        <v>738</v>
      </c>
      <c r="I16" s="104" t="s">
        <v>739</v>
      </c>
      <c r="J16" s="104" t="s">
        <v>686</v>
      </c>
      <c r="K16" s="104" t="s">
        <v>807</v>
      </c>
      <c r="L16" s="104" t="s">
        <v>808</v>
      </c>
      <c r="M16" s="104" t="s">
        <v>809</v>
      </c>
    </row>
    <row r="17" spans="1:13" ht="38.25">
      <c r="A17" s="109" t="s">
        <v>389</v>
      </c>
      <c r="B17" s="104"/>
      <c r="C17" s="110"/>
      <c r="D17" s="103"/>
      <c r="E17" s="104" t="s">
        <v>650</v>
      </c>
      <c r="F17" s="108" t="s">
        <v>651</v>
      </c>
      <c r="G17" s="104" t="s">
        <v>110</v>
      </c>
      <c r="H17" s="104" t="s">
        <v>731</v>
      </c>
      <c r="I17" s="108" t="s">
        <v>733</v>
      </c>
      <c r="J17" s="104" t="s">
        <v>732</v>
      </c>
      <c r="K17" s="104" t="s">
        <v>756</v>
      </c>
      <c r="L17" s="104" t="s">
        <v>189</v>
      </c>
      <c r="M17" s="104" t="s">
        <v>757</v>
      </c>
    </row>
    <row r="18" spans="1:13" ht="38.25">
      <c r="A18" s="109" t="s">
        <v>25</v>
      </c>
      <c r="B18" s="104"/>
      <c r="C18" s="110"/>
      <c r="D18" s="103"/>
      <c r="E18" s="104" t="s">
        <v>641</v>
      </c>
      <c r="F18" s="104" t="s">
        <v>642</v>
      </c>
      <c r="G18" s="104" t="s">
        <v>455</v>
      </c>
      <c r="H18" s="104" t="s">
        <v>722</v>
      </c>
      <c r="I18" s="104" t="s">
        <v>723</v>
      </c>
      <c r="J18" s="104" t="s">
        <v>701</v>
      </c>
      <c r="K18" s="104" t="s">
        <v>792</v>
      </c>
      <c r="L18" s="104" t="s">
        <v>793</v>
      </c>
      <c r="M18" s="104" t="s">
        <v>757</v>
      </c>
    </row>
    <row r="19" spans="1:13" ht="38.25">
      <c r="A19" s="109" t="s">
        <v>26</v>
      </c>
      <c r="B19" s="104"/>
      <c r="C19" s="110"/>
      <c r="D19" s="103"/>
      <c r="E19" s="104" t="s">
        <v>598</v>
      </c>
      <c r="F19" s="104" t="s">
        <v>599</v>
      </c>
      <c r="G19" s="104" t="s">
        <v>600</v>
      </c>
      <c r="H19" s="104" t="s">
        <v>690</v>
      </c>
      <c r="I19" s="104" t="s">
        <v>691</v>
      </c>
      <c r="J19" s="104" t="s">
        <v>686</v>
      </c>
      <c r="K19" s="104" t="s">
        <v>761</v>
      </c>
      <c r="L19" s="104" t="s">
        <v>762</v>
      </c>
      <c r="M19" s="104" t="s">
        <v>757</v>
      </c>
    </row>
    <row r="20" spans="1:13" ht="38.25">
      <c r="A20" s="109" t="s">
        <v>27</v>
      </c>
      <c r="B20" s="104"/>
      <c r="C20" s="110"/>
      <c r="D20" s="103"/>
      <c r="E20" s="104" t="s">
        <v>603</v>
      </c>
      <c r="F20" s="104" t="s">
        <v>604</v>
      </c>
      <c r="G20" s="104" t="s">
        <v>411</v>
      </c>
      <c r="H20" s="104" t="s">
        <v>694</v>
      </c>
      <c r="I20" s="104" t="s">
        <v>695</v>
      </c>
      <c r="J20" s="104" t="s">
        <v>686</v>
      </c>
      <c r="K20" s="108" t="s">
        <v>763</v>
      </c>
      <c r="L20" s="104" t="s">
        <v>764</v>
      </c>
      <c r="M20" s="104" t="s">
        <v>765</v>
      </c>
    </row>
    <row r="21" spans="1:13" ht="38.25">
      <c r="A21" s="109" t="s">
        <v>28</v>
      </c>
      <c r="B21" s="104"/>
      <c r="C21" s="110"/>
      <c r="D21" s="103"/>
      <c r="E21" s="104" t="s">
        <v>601</v>
      </c>
      <c r="F21" s="104" t="s">
        <v>602</v>
      </c>
      <c r="G21" s="104" t="s">
        <v>396</v>
      </c>
      <c r="H21" s="104" t="s">
        <v>685</v>
      </c>
      <c r="I21" s="104" t="s">
        <v>692</v>
      </c>
      <c r="J21" s="104" t="s">
        <v>693</v>
      </c>
      <c r="K21" s="104" t="s">
        <v>756</v>
      </c>
      <c r="L21" s="104" t="s">
        <v>189</v>
      </c>
      <c r="M21" s="104" t="s">
        <v>757</v>
      </c>
    </row>
    <row r="22" spans="1:13" ht="38.25">
      <c r="A22" s="109" t="s">
        <v>29</v>
      </c>
      <c r="B22" s="104"/>
      <c r="C22" s="110"/>
      <c r="D22" s="103"/>
      <c r="E22" s="104" t="s">
        <v>607</v>
      </c>
      <c r="F22" s="104" t="s">
        <v>608</v>
      </c>
      <c r="G22" s="104" t="s">
        <v>609</v>
      </c>
      <c r="H22" s="104" t="s">
        <v>698</v>
      </c>
      <c r="I22" s="104" t="s">
        <v>699</v>
      </c>
      <c r="J22" s="104" t="s">
        <v>686</v>
      </c>
      <c r="K22" s="104" t="s">
        <v>767</v>
      </c>
      <c r="L22" s="104" t="s">
        <v>768</v>
      </c>
      <c r="M22" s="104" t="s">
        <v>757</v>
      </c>
    </row>
    <row r="23" spans="1:13" ht="38.25">
      <c r="A23" s="109" t="s">
        <v>30</v>
      </c>
      <c r="B23" s="104"/>
      <c r="C23" s="110"/>
      <c r="D23" s="103"/>
      <c r="E23" s="104" t="s">
        <v>630</v>
      </c>
      <c r="F23" s="104" t="s">
        <v>631</v>
      </c>
      <c r="G23" s="104" t="s">
        <v>632</v>
      </c>
      <c r="H23" s="104" t="s">
        <v>685</v>
      </c>
      <c r="I23" s="104" t="s">
        <v>468</v>
      </c>
      <c r="J23" s="104" t="s">
        <v>686</v>
      </c>
      <c r="K23" s="104" t="s">
        <v>783</v>
      </c>
      <c r="L23" s="104" t="s">
        <v>784</v>
      </c>
      <c r="M23" s="104" t="s">
        <v>757</v>
      </c>
    </row>
    <row r="24" spans="1:13" ht="38.25">
      <c r="A24" s="109" t="s">
        <v>31</v>
      </c>
      <c r="B24" s="104"/>
      <c r="C24" s="110"/>
      <c r="D24" s="103"/>
      <c r="E24" s="104" t="s">
        <v>637</v>
      </c>
      <c r="F24" s="104" t="s">
        <v>638</v>
      </c>
      <c r="G24" s="104" t="s">
        <v>626</v>
      </c>
      <c r="H24" s="104" t="s">
        <v>719</v>
      </c>
      <c r="I24" s="104" t="s">
        <v>720</v>
      </c>
      <c r="J24" s="104" t="s">
        <v>701</v>
      </c>
      <c r="K24" s="104" t="s">
        <v>789</v>
      </c>
      <c r="L24" s="104" t="s">
        <v>189</v>
      </c>
      <c r="M24" s="104" t="s">
        <v>790</v>
      </c>
    </row>
    <row r="25" spans="1:13" ht="38.25">
      <c r="A25" s="109" t="s">
        <v>476</v>
      </c>
      <c r="B25" s="104"/>
      <c r="C25" s="110"/>
      <c r="D25" s="103"/>
      <c r="E25" s="104" t="s">
        <v>654</v>
      </c>
      <c r="F25" s="108" t="s">
        <v>655</v>
      </c>
      <c r="G25" s="104" t="s">
        <v>405</v>
      </c>
      <c r="H25" s="104" t="s">
        <v>736</v>
      </c>
      <c r="I25" s="108" t="s">
        <v>737</v>
      </c>
      <c r="J25" s="104" t="s">
        <v>701</v>
      </c>
      <c r="K25" s="108" t="s">
        <v>805</v>
      </c>
      <c r="L25" s="104" t="s">
        <v>806</v>
      </c>
      <c r="M25" s="104" t="s">
        <v>757</v>
      </c>
    </row>
    <row r="26" spans="1:13" ht="38.25">
      <c r="A26" s="109" t="s">
        <v>493</v>
      </c>
      <c r="B26" s="104"/>
      <c r="C26" s="110"/>
      <c r="D26" s="103"/>
      <c r="E26" s="104" t="s">
        <v>622</v>
      </c>
      <c r="F26" s="104" t="s">
        <v>623</v>
      </c>
      <c r="G26" s="104" t="s">
        <v>600</v>
      </c>
      <c r="H26" s="104" t="s">
        <v>712</v>
      </c>
      <c r="I26" s="104" t="s">
        <v>713</v>
      </c>
      <c r="J26" s="104" t="s">
        <v>686</v>
      </c>
      <c r="K26" s="104" t="s">
        <v>779</v>
      </c>
      <c r="L26" s="104" t="s">
        <v>780</v>
      </c>
      <c r="M26" s="104" t="s">
        <v>757</v>
      </c>
    </row>
    <row r="27" spans="1:13" ht="38.25">
      <c r="A27" s="109" t="s">
        <v>320</v>
      </c>
      <c r="B27" s="104"/>
      <c r="C27" s="110"/>
      <c r="D27" s="103"/>
      <c r="E27" s="104" t="s">
        <v>612</v>
      </c>
      <c r="F27" s="104" t="s">
        <v>613</v>
      </c>
      <c r="G27" s="104" t="s">
        <v>396</v>
      </c>
      <c r="H27" s="104" t="s">
        <v>702</v>
      </c>
      <c r="I27" s="104" t="s">
        <v>703</v>
      </c>
      <c r="J27" s="104" t="s">
        <v>686</v>
      </c>
      <c r="K27" s="104" t="s">
        <v>770</v>
      </c>
      <c r="L27" s="104" t="s">
        <v>189</v>
      </c>
      <c r="M27" s="104" t="s">
        <v>757</v>
      </c>
    </row>
    <row r="28" spans="1:13" ht="38.25">
      <c r="A28" s="109" t="s">
        <v>115</v>
      </c>
      <c r="B28" s="104"/>
      <c r="C28" s="110"/>
      <c r="D28" s="103"/>
      <c r="E28" s="104" t="s">
        <v>664</v>
      </c>
      <c r="F28" s="104" t="s">
        <v>665</v>
      </c>
      <c r="G28" s="104" t="s">
        <v>110</v>
      </c>
      <c r="H28" s="104" t="s">
        <v>743</v>
      </c>
      <c r="I28" s="104" t="s">
        <v>744</v>
      </c>
      <c r="J28" s="104" t="s">
        <v>689</v>
      </c>
      <c r="K28" s="104" t="s">
        <v>816</v>
      </c>
      <c r="L28" s="104" t="s">
        <v>817</v>
      </c>
      <c r="M28" s="104" t="s">
        <v>818</v>
      </c>
    </row>
    <row r="29" spans="1:13" ht="38.25">
      <c r="A29" s="109" t="s">
        <v>116</v>
      </c>
      <c r="B29" s="104"/>
      <c r="C29" s="110"/>
      <c r="D29" s="103"/>
      <c r="E29" s="104" t="s">
        <v>594</v>
      </c>
      <c r="F29" s="104" t="s">
        <v>189</v>
      </c>
      <c r="G29" s="104" t="s">
        <v>110</v>
      </c>
      <c r="H29" s="104" t="s">
        <v>685</v>
      </c>
      <c r="I29" s="104" t="s">
        <v>468</v>
      </c>
      <c r="J29" s="104" t="s">
        <v>686</v>
      </c>
      <c r="K29" s="104" t="s">
        <v>756</v>
      </c>
      <c r="L29" s="104" t="s">
        <v>189</v>
      </c>
      <c r="M29" s="104" t="s">
        <v>757</v>
      </c>
    </row>
    <row r="30" spans="1:13" ht="38.25">
      <c r="A30" s="109" t="s">
        <v>34</v>
      </c>
      <c r="B30" s="104"/>
      <c r="C30" s="110"/>
      <c r="D30" s="103"/>
      <c r="E30" s="104" t="s">
        <v>633</v>
      </c>
      <c r="F30" s="104" t="s">
        <v>606</v>
      </c>
      <c r="G30" s="104" t="s">
        <v>634</v>
      </c>
      <c r="H30" s="104" t="s">
        <v>716</v>
      </c>
      <c r="I30" s="104" t="s">
        <v>717</v>
      </c>
      <c r="J30" s="104" t="s">
        <v>701</v>
      </c>
      <c r="K30" s="104" t="s">
        <v>785</v>
      </c>
      <c r="L30" s="104" t="s">
        <v>786</v>
      </c>
      <c r="M30" s="104" t="s">
        <v>787</v>
      </c>
    </row>
    <row r="31" spans="1:13" ht="38.25">
      <c r="A31" s="109" t="s">
        <v>35</v>
      </c>
      <c r="B31" s="104"/>
      <c r="C31" s="110"/>
      <c r="D31" s="103"/>
      <c r="E31" s="104" t="s">
        <v>627</v>
      </c>
      <c r="F31" s="104" t="s">
        <v>628</v>
      </c>
      <c r="G31" s="104" t="s">
        <v>629</v>
      </c>
      <c r="H31" s="104" t="s">
        <v>714</v>
      </c>
      <c r="I31" s="104" t="s">
        <v>715</v>
      </c>
      <c r="J31" s="104" t="s">
        <v>686</v>
      </c>
      <c r="K31" s="104" t="s">
        <v>781</v>
      </c>
      <c r="L31" s="104" t="s">
        <v>782</v>
      </c>
      <c r="M31" s="104" t="s">
        <v>757</v>
      </c>
    </row>
    <row r="32" spans="1:13" ht="38.25">
      <c r="A32" s="109" t="s">
        <v>36</v>
      </c>
      <c r="B32" s="104"/>
      <c r="C32" s="110"/>
      <c r="D32" s="103"/>
      <c r="E32" s="104" t="s">
        <v>668</v>
      </c>
      <c r="F32" s="104" t="s">
        <v>669</v>
      </c>
      <c r="G32" s="104" t="s">
        <v>670</v>
      </c>
      <c r="H32" s="104" t="s">
        <v>747</v>
      </c>
      <c r="I32" s="104" t="s">
        <v>748</v>
      </c>
      <c r="J32" s="104" t="s">
        <v>686</v>
      </c>
      <c r="K32" s="104" t="s">
        <v>820</v>
      </c>
      <c r="L32" s="104" t="s">
        <v>821</v>
      </c>
      <c r="M32" s="104" t="s">
        <v>757</v>
      </c>
    </row>
    <row r="33" spans="1:13" ht="38.25">
      <c r="A33" s="109" t="s">
        <v>37</v>
      </c>
      <c r="B33" s="104"/>
      <c r="C33" s="110"/>
      <c r="D33" s="103"/>
      <c r="E33" s="104" t="s">
        <v>643</v>
      </c>
      <c r="F33" s="104" t="s">
        <v>644</v>
      </c>
      <c r="G33" s="104" t="s">
        <v>645</v>
      </c>
      <c r="H33" s="104" t="s">
        <v>724</v>
      </c>
      <c r="I33" s="104" t="s">
        <v>725</v>
      </c>
      <c r="J33" s="104" t="s">
        <v>701</v>
      </c>
      <c r="K33" s="104" t="s">
        <v>794</v>
      </c>
      <c r="L33" s="104" t="s">
        <v>795</v>
      </c>
      <c r="M33" s="104" t="s">
        <v>796</v>
      </c>
    </row>
    <row r="34" spans="1:13" ht="38.25">
      <c r="A34" s="109" t="s">
        <v>494</v>
      </c>
      <c r="B34" s="104"/>
      <c r="C34" s="110"/>
      <c r="D34" s="103"/>
      <c r="E34" s="104" t="s">
        <v>639</v>
      </c>
      <c r="F34" s="104" t="s">
        <v>468</v>
      </c>
      <c r="G34" s="104" t="s">
        <v>640</v>
      </c>
      <c r="H34" s="104" t="s">
        <v>721</v>
      </c>
      <c r="I34" s="104" t="s">
        <v>692</v>
      </c>
      <c r="J34" s="104" t="s">
        <v>701</v>
      </c>
      <c r="K34" s="104" t="s">
        <v>791</v>
      </c>
      <c r="L34" s="104" t="s">
        <v>189</v>
      </c>
      <c r="M34" s="104" t="s">
        <v>757</v>
      </c>
    </row>
    <row r="35" spans="1:13" ht="38.25">
      <c r="A35" s="109" t="s">
        <v>40</v>
      </c>
      <c r="B35" s="104"/>
      <c r="C35" s="110"/>
      <c r="D35" s="103"/>
      <c r="E35" s="104" t="s">
        <v>595</v>
      </c>
      <c r="F35" s="104" t="s">
        <v>596</v>
      </c>
      <c r="G35" s="104" t="s">
        <v>597</v>
      </c>
      <c r="H35" s="104" t="s">
        <v>687</v>
      </c>
      <c r="I35" s="104" t="s">
        <v>688</v>
      </c>
      <c r="J35" s="104" t="s">
        <v>689</v>
      </c>
      <c r="K35" s="104" t="s">
        <v>758</v>
      </c>
      <c r="L35" s="104" t="s">
        <v>759</v>
      </c>
      <c r="M35" s="104" t="s">
        <v>760</v>
      </c>
    </row>
    <row r="36" spans="1:13" ht="38.25">
      <c r="A36" s="109" t="s">
        <v>42</v>
      </c>
      <c r="B36" s="104"/>
      <c r="C36" s="110"/>
      <c r="D36" s="103"/>
      <c r="E36" s="104" t="s">
        <v>646</v>
      </c>
      <c r="F36" s="104" t="s">
        <v>647</v>
      </c>
      <c r="G36" s="104" t="s">
        <v>629</v>
      </c>
      <c r="H36" s="104" t="s">
        <v>726</v>
      </c>
      <c r="I36" s="104" t="s">
        <v>727</v>
      </c>
      <c r="J36" s="104" t="s">
        <v>711</v>
      </c>
      <c r="K36" s="104" t="s">
        <v>797</v>
      </c>
      <c r="L36" s="104" t="s">
        <v>798</v>
      </c>
      <c r="M36" s="104" t="s">
        <v>799</v>
      </c>
    </row>
    <row r="37" spans="1:13" ht="38.25">
      <c r="A37" s="109" t="s">
        <v>117</v>
      </c>
      <c r="B37" s="104"/>
      <c r="C37" s="110"/>
      <c r="D37" s="103"/>
      <c r="E37" s="104" t="s">
        <v>624</v>
      </c>
      <c r="F37" s="104" t="s">
        <v>625</v>
      </c>
      <c r="G37" s="104" t="s">
        <v>626</v>
      </c>
      <c r="H37" s="104" t="s">
        <v>685</v>
      </c>
      <c r="I37" s="104" t="s">
        <v>468</v>
      </c>
      <c r="J37" s="104" t="s">
        <v>686</v>
      </c>
      <c r="K37" s="104" t="s">
        <v>756</v>
      </c>
      <c r="L37" s="104" t="s">
        <v>189</v>
      </c>
      <c r="M37" s="104" t="s">
        <v>757</v>
      </c>
    </row>
    <row r="38" spans="1:13" ht="38.25">
      <c r="A38" s="109" t="s">
        <v>43</v>
      </c>
      <c r="B38" s="104"/>
      <c r="C38" s="110"/>
      <c r="D38" s="103"/>
      <c r="E38" s="108" t="s">
        <v>662</v>
      </c>
      <c r="F38" s="104" t="s">
        <v>663</v>
      </c>
      <c r="G38" s="104" t="s">
        <v>505</v>
      </c>
      <c r="H38" s="104" t="s">
        <v>741</v>
      </c>
      <c r="I38" s="104" t="s">
        <v>742</v>
      </c>
      <c r="J38" s="104" t="s">
        <v>701</v>
      </c>
      <c r="K38" s="104" t="s">
        <v>813</v>
      </c>
      <c r="L38" s="108" t="s">
        <v>814</v>
      </c>
      <c r="M38" s="104" t="s">
        <v>815</v>
      </c>
    </row>
    <row r="39" spans="1:13" ht="38.25">
      <c r="A39" s="109" t="s">
        <v>46</v>
      </c>
      <c r="B39" s="104"/>
      <c r="C39" s="110"/>
      <c r="D39" s="103"/>
      <c r="E39" s="108" t="s">
        <v>619</v>
      </c>
      <c r="F39" s="104" t="s">
        <v>620</v>
      </c>
      <c r="G39" s="104" t="s">
        <v>621</v>
      </c>
      <c r="H39" s="108" t="s">
        <v>709</v>
      </c>
      <c r="I39" s="104" t="s">
        <v>710</v>
      </c>
      <c r="J39" s="104" t="s">
        <v>711</v>
      </c>
      <c r="K39" s="108" t="s">
        <v>776</v>
      </c>
      <c r="L39" s="104" t="s">
        <v>777</v>
      </c>
      <c r="M39" s="104" t="s">
        <v>778</v>
      </c>
    </row>
    <row r="40" spans="1:13" ht="38.25">
      <c r="A40" s="109" t="s">
        <v>414</v>
      </c>
      <c r="B40" s="104"/>
      <c r="C40" s="110"/>
      <c r="D40" s="103"/>
      <c r="E40" s="104" t="s">
        <v>614</v>
      </c>
      <c r="F40" s="104" t="s">
        <v>615</v>
      </c>
      <c r="G40" s="104" t="s">
        <v>544</v>
      </c>
      <c r="H40" s="104" t="s">
        <v>704</v>
      </c>
      <c r="I40" s="104" t="s">
        <v>705</v>
      </c>
      <c r="J40" s="104" t="s">
        <v>686</v>
      </c>
      <c r="K40" s="104" t="s">
        <v>771</v>
      </c>
      <c r="L40" s="104" t="s">
        <v>772</v>
      </c>
      <c r="M40" s="104" t="s">
        <v>757</v>
      </c>
    </row>
    <row r="41" spans="1:13" ht="15">
      <c r="B41"/>
      <c r="C41"/>
      <c r="D41"/>
      <c r="E41" s="118"/>
      <c r="F41" s="105"/>
      <c r="G41" s="106"/>
      <c r="H41" s="106"/>
      <c r="I41" s="105"/>
      <c r="J41" s="106"/>
      <c r="K41" s="106"/>
      <c r="L41" s="105"/>
      <c r="M41" s="106"/>
    </row>
    <row r="42" spans="1:13">
      <c r="E42" s="119"/>
      <c r="F42" s="106"/>
      <c r="G42" s="106"/>
      <c r="H42" s="120"/>
      <c r="I42" s="121"/>
      <c r="J42" s="106"/>
      <c r="K42" s="120"/>
      <c r="L42" s="106"/>
      <c r="M42" s="106"/>
    </row>
    <row r="43" spans="1:13">
      <c r="E43" s="119"/>
      <c r="F43" s="106"/>
      <c r="G43" s="106"/>
      <c r="H43" s="120"/>
      <c r="I43" s="106"/>
      <c r="J43" s="106"/>
      <c r="K43" s="120"/>
      <c r="L43" s="106"/>
      <c r="M43" s="106"/>
    </row>
    <row r="44" spans="1:13">
      <c r="E44" s="117"/>
      <c r="H44" s="120"/>
      <c r="I44" s="106"/>
      <c r="J44" s="105"/>
    </row>
    <row r="45" spans="1:13">
      <c r="H45" s="120"/>
      <c r="I45" s="106"/>
      <c r="J45" s="106"/>
    </row>
  </sheetData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07"/>
  <sheetViews>
    <sheetView topLeftCell="A9" workbookViewId="0">
      <selection activeCell="D42" sqref="D42"/>
    </sheetView>
  </sheetViews>
  <sheetFormatPr defaultColWidth="19.7109375" defaultRowHeight="12.75"/>
  <cols>
    <col min="1" max="1" width="31.5703125" style="8" customWidth="1"/>
    <col min="2" max="2" width="22.7109375" style="8" customWidth="1"/>
    <col min="3" max="3" width="22" style="8" customWidth="1"/>
    <col min="4" max="4" width="22.140625" style="8" customWidth="1"/>
    <col min="5" max="5" width="21.7109375" style="80" customWidth="1"/>
    <col min="6" max="6" width="24.85546875" style="80" customWidth="1"/>
    <col min="7" max="7" width="24.28515625" style="83" customWidth="1"/>
    <col min="8" max="16384" width="19.7109375" style="8"/>
  </cols>
  <sheetData>
    <row r="1" spans="1:12" ht="30.75" thickBo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6" t="s">
        <v>6</v>
      </c>
      <c r="H1" s="7"/>
    </row>
    <row r="2" spans="1:12">
      <c r="A2" s="9" t="s">
        <v>7</v>
      </c>
      <c r="B2" s="10">
        <f>1177.12+1034.37</f>
        <v>2211.4899999999998</v>
      </c>
      <c r="C2" s="10">
        <v>0</v>
      </c>
      <c r="D2" s="11">
        <f>B2-C2</f>
        <v>2211.4899999999998</v>
      </c>
      <c r="E2" s="12"/>
      <c r="F2" s="10"/>
      <c r="G2" s="13">
        <v>248.2</v>
      </c>
    </row>
    <row r="3" spans="1:12" s="19" customFormat="1" ht="13.5" thickBot="1">
      <c r="A3" s="14" t="s">
        <v>8</v>
      </c>
      <c r="B3" s="15"/>
      <c r="C3" s="15"/>
      <c r="D3" s="16">
        <f>B3-C3</f>
        <v>0</v>
      </c>
      <c r="E3" s="15"/>
      <c r="F3" s="15"/>
      <c r="G3" s="17">
        <v>177.76</v>
      </c>
      <c r="H3" s="18"/>
      <c r="I3" s="18"/>
      <c r="J3" s="18"/>
      <c r="K3" s="18"/>
      <c r="L3" s="18"/>
    </row>
    <row r="4" spans="1:12" ht="30">
      <c r="A4" s="20" t="s">
        <v>9</v>
      </c>
      <c r="B4" s="21" t="s">
        <v>1</v>
      </c>
      <c r="C4" s="22" t="s">
        <v>10</v>
      </c>
      <c r="D4" s="23" t="s">
        <v>11</v>
      </c>
      <c r="E4" s="21" t="s">
        <v>4</v>
      </c>
      <c r="F4" s="21" t="s">
        <v>12</v>
      </c>
      <c r="G4" s="24" t="s">
        <v>13</v>
      </c>
      <c r="H4" s="25"/>
    </row>
    <row r="5" spans="1:12" s="19" customFormat="1">
      <c r="A5" s="26" t="s">
        <v>14</v>
      </c>
      <c r="B5" s="27"/>
      <c r="C5" s="28"/>
      <c r="D5" s="28">
        <f t="shared" ref="D5:D34" si="0">B5-C5</f>
        <v>0</v>
      </c>
      <c r="E5" s="28"/>
      <c r="F5" s="29"/>
      <c r="G5" s="30">
        <v>4.1399999999999997</v>
      </c>
      <c r="H5" s="18"/>
      <c r="I5" s="18"/>
      <c r="J5" s="18"/>
      <c r="K5" s="18"/>
      <c r="L5" s="18"/>
    </row>
    <row r="6" spans="1:12" s="19" customFormat="1">
      <c r="A6" s="26" t="s">
        <v>15</v>
      </c>
      <c r="B6" s="27"/>
      <c r="C6" s="28"/>
      <c r="D6" s="28">
        <f>B6-C6</f>
        <v>0</v>
      </c>
      <c r="E6" s="28"/>
      <c r="F6" s="29"/>
      <c r="G6" s="30"/>
      <c r="H6" s="18"/>
      <c r="I6" s="18"/>
      <c r="J6" s="18"/>
      <c r="K6" s="18"/>
      <c r="L6" s="18"/>
    </row>
    <row r="7" spans="1:12" s="19" customFormat="1" ht="13.5" customHeight="1">
      <c r="A7" s="31" t="s">
        <v>16</v>
      </c>
      <c r="B7" s="32"/>
      <c r="C7" s="28"/>
      <c r="D7" s="28">
        <f t="shared" ref="D7" si="1">B7-C7</f>
        <v>0</v>
      </c>
      <c r="E7" s="28"/>
      <c r="F7" s="29"/>
      <c r="G7" s="33">
        <v>18.079999999999998</v>
      </c>
      <c r="H7" s="18"/>
      <c r="I7" s="18"/>
      <c r="J7" s="18"/>
      <c r="K7" s="18"/>
      <c r="L7" s="18"/>
    </row>
    <row r="8" spans="1:12" s="19" customFormat="1">
      <c r="A8" s="31" t="s">
        <v>17</v>
      </c>
      <c r="B8" s="32"/>
      <c r="C8" s="28"/>
      <c r="D8" s="28">
        <f t="shared" si="0"/>
        <v>0</v>
      </c>
      <c r="E8" s="28"/>
      <c r="F8" s="29"/>
      <c r="G8" s="33">
        <v>0.74</v>
      </c>
      <c r="H8" s="18"/>
      <c r="I8" s="18"/>
      <c r="J8" s="18"/>
      <c r="K8" s="18"/>
      <c r="L8" s="18"/>
    </row>
    <row r="9" spans="1:12" s="19" customFormat="1">
      <c r="A9" s="31" t="s">
        <v>18</v>
      </c>
      <c r="B9" s="32">
        <f>36.8+101.94</f>
        <v>138.74</v>
      </c>
      <c r="C9" s="28">
        <v>0</v>
      </c>
      <c r="D9" s="28">
        <f>B9-C9</f>
        <v>138.74</v>
      </c>
      <c r="E9" s="28"/>
      <c r="F9" s="29"/>
      <c r="G9" s="33">
        <v>30.41</v>
      </c>
      <c r="H9" s="18"/>
      <c r="I9" s="18"/>
      <c r="J9" s="18"/>
      <c r="K9" s="18"/>
      <c r="L9" s="18"/>
    </row>
    <row r="10" spans="1:12" s="19" customFormat="1">
      <c r="A10" s="31" t="s">
        <v>20</v>
      </c>
      <c r="B10" s="32"/>
      <c r="C10" s="28"/>
      <c r="D10" s="28">
        <f t="shared" si="0"/>
        <v>0</v>
      </c>
      <c r="E10" s="28"/>
      <c r="F10" s="29"/>
      <c r="G10" s="33">
        <v>1.31</v>
      </c>
      <c r="H10" s="18"/>
      <c r="I10" s="18"/>
      <c r="J10" s="18"/>
      <c r="K10" s="18"/>
      <c r="L10" s="18"/>
    </row>
    <row r="11" spans="1:12" s="19" customFormat="1">
      <c r="A11" s="31" t="s">
        <v>492</v>
      </c>
      <c r="B11" s="32"/>
      <c r="C11" s="28"/>
      <c r="D11" s="28">
        <f t="shared" si="0"/>
        <v>0</v>
      </c>
      <c r="E11" s="28"/>
      <c r="F11" s="29"/>
      <c r="G11" s="33"/>
      <c r="H11" s="18"/>
      <c r="I11" s="18"/>
      <c r="J11" s="18"/>
      <c r="K11" s="18"/>
      <c r="L11" s="18"/>
    </row>
    <row r="12" spans="1:12" s="19" customFormat="1">
      <c r="A12" s="31" t="s">
        <v>21</v>
      </c>
      <c r="B12" s="32">
        <f>1907.25+72.3+177.52+7.88</f>
        <v>2164.9500000000003</v>
      </c>
      <c r="C12" s="28">
        <f>1764.13+64.3+177.52+45.42</f>
        <v>2051.37</v>
      </c>
      <c r="D12" s="28">
        <f t="shared" si="0"/>
        <v>113.58000000000038</v>
      </c>
      <c r="E12" s="28"/>
      <c r="F12" s="29"/>
      <c r="G12" s="33">
        <v>206.96</v>
      </c>
      <c r="H12" s="18"/>
      <c r="I12" s="18"/>
      <c r="J12" s="18"/>
      <c r="K12" s="18"/>
      <c r="L12" s="18"/>
    </row>
    <row r="13" spans="1:12" s="19" customFormat="1">
      <c r="A13" s="31" t="s">
        <v>488</v>
      </c>
      <c r="B13" s="32"/>
      <c r="C13" s="28"/>
      <c r="D13" s="28">
        <f t="shared" si="0"/>
        <v>0</v>
      </c>
      <c r="E13" s="28"/>
      <c r="F13" s="29"/>
      <c r="G13" s="33">
        <v>26.57</v>
      </c>
      <c r="H13" s="18"/>
      <c r="I13" s="18"/>
      <c r="J13" s="18"/>
      <c r="K13" s="18"/>
      <c r="L13" s="18"/>
    </row>
    <row r="14" spans="1:12" s="19" customFormat="1">
      <c r="A14" s="31" t="s">
        <v>22</v>
      </c>
      <c r="B14" s="32"/>
      <c r="C14" s="28"/>
      <c r="D14" s="28">
        <f t="shared" si="0"/>
        <v>0</v>
      </c>
      <c r="E14" s="28"/>
      <c r="F14" s="29"/>
      <c r="G14" s="33"/>
      <c r="H14" s="18"/>
      <c r="I14" s="18"/>
      <c r="J14" s="18"/>
      <c r="K14" s="18"/>
      <c r="L14" s="18"/>
    </row>
    <row r="15" spans="1:12" s="19" customFormat="1">
      <c r="A15" s="31" t="s">
        <v>388</v>
      </c>
      <c r="B15" s="32"/>
      <c r="C15" s="28"/>
      <c r="D15" s="28">
        <f t="shared" si="0"/>
        <v>0</v>
      </c>
      <c r="E15" s="28"/>
      <c r="F15" s="29"/>
      <c r="G15" s="33">
        <v>0.13</v>
      </c>
      <c r="H15" s="18"/>
      <c r="I15" s="18"/>
      <c r="J15" s="18"/>
      <c r="K15" s="18"/>
      <c r="L15" s="18"/>
    </row>
    <row r="16" spans="1:12" s="19" customFormat="1">
      <c r="A16" s="31" t="s">
        <v>495</v>
      </c>
      <c r="B16" s="32">
        <f>511.17+38.72</f>
        <v>549.89</v>
      </c>
      <c r="C16" s="28">
        <f>511.17+12.1</f>
        <v>523.27</v>
      </c>
      <c r="D16" s="28">
        <f>B16-C16</f>
        <v>26.620000000000005</v>
      </c>
      <c r="E16" s="28"/>
      <c r="F16" s="29"/>
      <c r="G16" s="33">
        <v>2.96</v>
      </c>
      <c r="H16" s="18"/>
      <c r="I16" s="18"/>
      <c r="J16" s="18"/>
      <c r="K16" s="18"/>
      <c r="L16" s="18"/>
    </row>
    <row r="17" spans="1:12" s="19" customFormat="1">
      <c r="A17" s="31" t="s">
        <v>389</v>
      </c>
      <c r="B17" s="32"/>
      <c r="C17" s="28"/>
      <c r="D17" s="28">
        <f t="shared" si="0"/>
        <v>0</v>
      </c>
      <c r="E17" s="28"/>
      <c r="F17" s="29"/>
      <c r="G17" s="33">
        <v>1.23</v>
      </c>
      <c r="H17" s="18"/>
      <c r="I17" s="18"/>
      <c r="J17" s="18"/>
      <c r="K17" s="18"/>
      <c r="L17" s="18"/>
    </row>
    <row r="18" spans="1:12" s="19" customFormat="1">
      <c r="A18" s="31" t="s">
        <v>25</v>
      </c>
      <c r="B18" s="32"/>
      <c r="C18" s="28"/>
      <c r="D18" s="28">
        <f t="shared" si="0"/>
        <v>0</v>
      </c>
      <c r="E18" s="28"/>
      <c r="F18" s="35"/>
      <c r="G18" s="33">
        <v>27.13</v>
      </c>
      <c r="H18" s="18"/>
      <c r="I18" s="18"/>
      <c r="J18" s="18"/>
      <c r="K18" s="18"/>
      <c r="L18" s="18"/>
    </row>
    <row r="19" spans="1:12" s="19" customFormat="1">
      <c r="A19" s="26" t="s">
        <v>26</v>
      </c>
      <c r="B19" s="27"/>
      <c r="C19" s="28"/>
      <c r="D19" s="28">
        <f t="shared" si="0"/>
        <v>0</v>
      </c>
      <c r="E19" s="28"/>
      <c r="F19" s="35"/>
      <c r="G19" s="36">
        <v>2.2999999999999998</v>
      </c>
      <c r="H19" s="18"/>
      <c r="I19" s="18"/>
      <c r="J19" s="18"/>
      <c r="K19" s="18"/>
      <c r="L19" s="18"/>
    </row>
    <row r="20" spans="1:12" s="19" customFormat="1">
      <c r="A20" s="26" t="s">
        <v>27</v>
      </c>
      <c r="B20" s="27">
        <v>49</v>
      </c>
      <c r="C20" s="28">
        <v>49</v>
      </c>
      <c r="D20" s="28">
        <f t="shared" si="0"/>
        <v>0</v>
      </c>
      <c r="E20" s="28"/>
      <c r="F20" s="35"/>
      <c r="G20" s="123">
        <v>180.98</v>
      </c>
      <c r="H20" s="18"/>
      <c r="I20" s="18"/>
      <c r="J20" s="18"/>
      <c r="K20" s="18"/>
      <c r="L20" s="18"/>
    </row>
    <row r="21" spans="1:12" s="19" customFormat="1">
      <c r="A21" s="26" t="s">
        <v>28</v>
      </c>
      <c r="B21" s="27"/>
      <c r="C21" s="28"/>
      <c r="D21" s="28">
        <f t="shared" si="0"/>
        <v>0</v>
      </c>
      <c r="E21" s="28"/>
      <c r="F21" s="35"/>
      <c r="G21" s="36">
        <v>0</v>
      </c>
      <c r="H21" s="18"/>
      <c r="I21" s="18"/>
      <c r="J21" s="18"/>
      <c r="K21" s="18"/>
      <c r="L21" s="18"/>
    </row>
    <row r="22" spans="1:12" s="19" customFormat="1">
      <c r="A22" s="26" t="s">
        <v>29</v>
      </c>
      <c r="B22" s="27"/>
      <c r="C22" s="28"/>
      <c r="D22" s="28">
        <f t="shared" si="0"/>
        <v>0</v>
      </c>
      <c r="E22" s="28"/>
      <c r="F22" s="37"/>
      <c r="G22" s="36">
        <v>0.66</v>
      </c>
      <c r="H22" s="18"/>
      <c r="I22" s="18"/>
      <c r="J22" s="18"/>
      <c r="K22" s="18"/>
      <c r="L22" s="18"/>
    </row>
    <row r="23" spans="1:12" s="19" customFormat="1">
      <c r="A23" s="26" t="s">
        <v>30</v>
      </c>
      <c r="B23" s="27"/>
      <c r="C23" s="28"/>
      <c r="D23" s="28">
        <f t="shared" si="0"/>
        <v>0</v>
      </c>
      <c r="E23" s="28"/>
      <c r="F23" s="37"/>
      <c r="G23" s="36">
        <v>0.13</v>
      </c>
      <c r="H23" s="18"/>
      <c r="I23" s="18"/>
      <c r="J23" s="18"/>
      <c r="K23" s="18"/>
      <c r="L23" s="18"/>
    </row>
    <row r="24" spans="1:12" s="19" customFormat="1">
      <c r="A24" s="26" t="s">
        <v>31</v>
      </c>
      <c r="B24" s="27">
        <v>87.54</v>
      </c>
      <c r="C24" s="28">
        <v>0</v>
      </c>
      <c r="D24" s="28">
        <f t="shared" si="0"/>
        <v>87.54</v>
      </c>
      <c r="E24" s="28"/>
      <c r="F24" s="29"/>
      <c r="G24" s="30">
        <v>71.64</v>
      </c>
      <c r="H24" s="18"/>
      <c r="I24" s="18"/>
      <c r="J24" s="18"/>
      <c r="K24" s="18"/>
      <c r="L24" s="18"/>
    </row>
    <row r="25" spans="1:12" s="19" customFormat="1">
      <c r="A25" s="26" t="s">
        <v>476</v>
      </c>
      <c r="B25" s="136">
        <f>130.31+1036.52+693.88</f>
        <v>1860.71</v>
      </c>
      <c r="C25" s="137">
        <v>0</v>
      </c>
      <c r="D25" s="137">
        <f t="shared" si="0"/>
        <v>1860.71</v>
      </c>
      <c r="E25" s="28"/>
      <c r="F25" s="29"/>
      <c r="G25" s="131">
        <v>1057.3800000000001</v>
      </c>
      <c r="H25" s="18"/>
      <c r="I25" s="18"/>
      <c r="J25" s="18"/>
      <c r="K25" s="18"/>
      <c r="L25" s="18"/>
    </row>
    <row r="26" spans="1:12" s="19" customFormat="1">
      <c r="A26" s="26" t="s">
        <v>493</v>
      </c>
      <c r="B26" s="32"/>
      <c r="C26" s="28"/>
      <c r="D26" s="28">
        <f t="shared" si="0"/>
        <v>0</v>
      </c>
      <c r="E26" s="28"/>
      <c r="F26" s="29"/>
      <c r="G26" s="30">
        <v>0.59</v>
      </c>
      <c r="H26" s="18"/>
      <c r="I26" s="18"/>
      <c r="J26" s="18"/>
      <c r="K26" s="18"/>
      <c r="L26" s="18"/>
    </row>
    <row r="27" spans="1:12" s="19" customFormat="1">
      <c r="A27" s="31" t="s">
        <v>320</v>
      </c>
      <c r="B27" s="32"/>
      <c r="C27" s="28"/>
      <c r="D27" s="28">
        <f t="shared" si="0"/>
        <v>0</v>
      </c>
      <c r="E27" s="28"/>
      <c r="F27" s="29"/>
      <c r="G27" s="33">
        <v>40.24</v>
      </c>
      <c r="H27" s="18"/>
      <c r="I27" s="18"/>
      <c r="J27" s="18"/>
      <c r="K27" s="18"/>
      <c r="L27" s="18"/>
    </row>
    <row r="28" spans="1:12" s="19" customFormat="1" ht="12.75" customHeight="1">
      <c r="A28" s="38" t="s">
        <v>33</v>
      </c>
      <c r="B28" s="39">
        <f>597.45+216.32</f>
        <v>813.77</v>
      </c>
      <c r="C28" s="35">
        <v>0</v>
      </c>
      <c r="D28" s="40">
        <f t="shared" si="0"/>
        <v>813.77</v>
      </c>
      <c r="E28" s="28"/>
      <c r="F28" s="29"/>
      <c r="G28" s="41"/>
      <c r="H28" s="42"/>
      <c r="I28" s="18"/>
      <c r="J28" s="18"/>
      <c r="K28" s="18"/>
      <c r="L28" s="18"/>
    </row>
    <row r="29" spans="1:12" s="19" customFormat="1">
      <c r="A29" s="31" t="s">
        <v>34</v>
      </c>
      <c r="B29" s="32"/>
      <c r="C29" s="28"/>
      <c r="D29" s="28">
        <f t="shared" si="0"/>
        <v>0</v>
      </c>
      <c r="E29" s="28"/>
      <c r="F29" s="29"/>
      <c r="G29" s="33">
        <v>5.9</v>
      </c>
      <c r="H29" s="18"/>
      <c r="I29" s="18"/>
      <c r="J29" s="18"/>
      <c r="K29" s="18"/>
      <c r="L29" s="18"/>
    </row>
    <row r="30" spans="1:12" s="19" customFormat="1" ht="12.75" customHeight="1">
      <c r="A30" s="31" t="s">
        <v>35</v>
      </c>
      <c r="B30" s="39">
        <f>405.62+11.8</f>
        <v>417.42</v>
      </c>
      <c r="C30" s="35">
        <v>11.8</v>
      </c>
      <c r="D30" s="40">
        <f t="shared" si="0"/>
        <v>405.62</v>
      </c>
      <c r="E30" s="28"/>
      <c r="F30" s="29"/>
      <c r="G30" s="33">
        <v>9.68</v>
      </c>
      <c r="H30" s="42"/>
      <c r="I30" s="18"/>
      <c r="J30" s="18"/>
      <c r="K30" s="18"/>
      <c r="L30" s="18"/>
    </row>
    <row r="31" spans="1:12" s="19" customFormat="1" ht="12.75" customHeight="1">
      <c r="A31" s="38" t="s">
        <v>36</v>
      </c>
      <c r="B31" s="39"/>
      <c r="C31" s="35"/>
      <c r="D31" s="28">
        <f t="shared" si="0"/>
        <v>0</v>
      </c>
      <c r="E31" s="28"/>
      <c r="F31" s="29"/>
      <c r="G31" s="41">
        <v>0</v>
      </c>
      <c r="H31" s="42"/>
      <c r="I31" s="18"/>
      <c r="J31" s="18"/>
      <c r="K31" s="18"/>
      <c r="L31" s="18"/>
    </row>
    <row r="32" spans="1:12" s="19" customFormat="1" ht="12.75" customHeight="1">
      <c r="A32" s="38" t="s">
        <v>37</v>
      </c>
      <c r="B32" s="39">
        <f>55</f>
        <v>55</v>
      </c>
      <c r="C32" s="35">
        <v>55</v>
      </c>
      <c r="D32" s="28">
        <f t="shared" si="0"/>
        <v>0</v>
      </c>
      <c r="E32" s="28"/>
      <c r="F32" s="29"/>
      <c r="G32" s="41">
        <v>64.88</v>
      </c>
      <c r="H32" s="42"/>
      <c r="I32" s="18"/>
      <c r="J32" s="18"/>
      <c r="K32" s="18"/>
      <c r="L32" s="18"/>
    </row>
    <row r="33" spans="1:12" s="19" customFormat="1" ht="12.75" customHeight="1">
      <c r="A33" s="38" t="s">
        <v>494</v>
      </c>
      <c r="B33" s="62"/>
      <c r="C33" s="139"/>
      <c r="D33" s="28">
        <f t="shared" si="0"/>
        <v>0</v>
      </c>
      <c r="E33" s="140"/>
      <c r="F33" s="141"/>
      <c r="G33" s="41">
        <v>10.61</v>
      </c>
      <c r="H33" s="42"/>
      <c r="I33" s="18"/>
      <c r="J33" s="18"/>
      <c r="K33" s="18"/>
      <c r="L33" s="18"/>
    </row>
    <row r="34" spans="1:12" s="19" customFormat="1" ht="13.5" thickBot="1">
      <c r="A34" s="43" t="s">
        <v>38</v>
      </c>
      <c r="B34" s="44">
        <f>783.07+1345.59</f>
        <v>2128.66</v>
      </c>
      <c r="C34" s="44">
        <f>105.47+1013.42</f>
        <v>1118.8899999999999</v>
      </c>
      <c r="D34" s="45">
        <f t="shared" si="0"/>
        <v>1009.77</v>
      </c>
      <c r="E34" s="46"/>
      <c r="F34" s="46"/>
      <c r="G34" s="125">
        <v>604.49</v>
      </c>
      <c r="H34" s="18"/>
      <c r="I34" s="18"/>
      <c r="J34" s="18"/>
      <c r="K34" s="18"/>
      <c r="L34" s="18"/>
    </row>
    <row r="35" spans="1:12" s="19" customFormat="1" ht="30.75" thickBot="1">
      <c r="A35" s="47" t="s">
        <v>39</v>
      </c>
      <c r="B35" s="2" t="s">
        <v>1</v>
      </c>
      <c r="C35" s="48" t="s">
        <v>10</v>
      </c>
      <c r="D35" s="4" t="s">
        <v>11</v>
      </c>
      <c r="E35" s="2" t="s">
        <v>4</v>
      </c>
      <c r="F35" s="2" t="s">
        <v>12</v>
      </c>
      <c r="G35" s="6" t="s">
        <v>13</v>
      </c>
      <c r="H35" s="49"/>
    </row>
    <row r="36" spans="1:12" s="19" customFormat="1" ht="15.75" thickBot="1">
      <c r="A36" s="9" t="s">
        <v>40</v>
      </c>
      <c r="B36" s="50">
        <f>517+1834.44</f>
        <v>2351.44</v>
      </c>
      <c r="C36" s="51">
        <f>508+1820.19</f>
        <v>2328.19</v>
      </c>
      <c r="D36" s="52">
        <f>B36-C36</f>
        <v>23.25</v>
      </c>
      <c r="E36" s="53"/>
      <c r="F36" s="54"/>
      <c r="G36" s="55">
        <v>81.239999999999995</v>
      </c>
      <c r="H36" s="18"/>
      <c r="I36" s="18"/>
      <c r="J36" s="18"/>
      <c r="K36" s="18"/>
      <c r="L36" s="18"/>
    </row>
    <row r="37" spans="1:12" s="19" customFormat="1" ht="30.75" thickBot="1">
      <c r="A37" s="47" t="s">
        <v>41</v>
      </c>
      <c r="B37" s="2" t="s">
        <v>1</v>
      </c>
      <c r="C37" s="48" t="s">
        <v>10</v>
      </c>
      <c r="D37" s="4" t="s">
        <v>11</v>
      </c>
      <c r="E37" s="2" t="s">
        <v>4</v>
      </c>
      <c r="F37" s="2" t="s">
        <v>12</v>
      </c>
      <c r="G37" s="6" t="s">
        <v>13</v>
      </c>
      <c r="H37" s="49"/>
    </row>
    <row r="38" spans="1:12" s="19" customFormat="1" ht="15">
      <c r="A38" s="9" t="s">
        <v>42</v>
      </c>
      <c r="B38" s="10">
        <f>433.85+17.72+252.99+1496.47</f>
        <v>2201.0300000000002</v>
      </c>
      <c r="C38" s="56">
        <f>390+17.72+252.99+1496.47</f>
        <v>2157.1800000000003</v>
      </c>
      <c r="D38" s="57">
        <f>B38-C38</f>
        <v>43.849999999999909</v>
      </c>
      <c r="E38" s="58"/>
      <c r="F38" s="21"/>
      <c r="G38" s="130">
        <v>465.04</v>
      </c>
      <c r="H38" s="18"/>
      <c r="I38" s="18"/>
      <c r="J38" s="18"/>
      <c r="K38" s="18"/>
      <c r="L38" s="18"/>
    </row>
    <row r="39" spans="1:12" s="19" customFormat="1" ht="17.25" customHeight="1">
      <c r="A39" s="31" t="s">
        <v>43</v>
      </c>
      <c r="B39" s="32">
        <f>840.48+9.36+1013.49</f>
        <v>1863.33</v>
      </c>
      <c r="C39" s="59">
        <f>629.96+9.36+1013.49</f>
        <v>1652.81</v>
      </c>
      <c r="D39" s="35">
        <f>B39-C39</f>
        <v>210.51999999999998</v>
      </c>
      <c r="E39" s="39"/>
      <c r="F39" s="32"/>
      <c r="G39" s="33">
        <v>46.28</v>
      </c>
      <c r="H39" s="18"/>
      <c r="I39" s="18"/>
      <c r="J39" s="18"/>
      <c r="K39" s="18"/>
      <c r="L39" s="18"/>
    </row>
    <row r="40" spans="1:12" s="19" customFormat="1">
      <c r="A40" s="38" t="s">
        <v>45</v>
      </c>
      <c r="B40" s="44">
        <f>317.94+1837.17</f>
        <v>2155.11</v>
      </c>
      <c r="C40" s="44">
        <f>317.94+1778.78</f>
        <v>2096.7199999999998</v>
      </c>
      <c r="D40" s="45">
        <f>B40-C40</f>
        <v>58.390000000000327</v>
      </c>
      <c r="E40" s="61"/>
      <c r="F40" s="62"/>
      <c r="G40" s="125">
        <v>1138</v>
      </c>
      <c r="K40" s="18"/>
      <c r="L40" s="18"/>
    </row>
    <row r="41" spans="1:12" s="19" customFormat="1">
      <c r="A41" s="38" t="s">
        <v>46</v>
      </c>
      <c r="B41" s="39">
        <f>667.78+94.93+1490.34+1027.92</f>
        <v>3280.9700000000003</v>
      </c>
      <c r="C41" s="35">
        <f>667.78+32.44+62.49+1595.54+1030.04</f>
        <v>3388.29</v>
      </c>
      <c r="D41" s="35">
        <f>B41-C41</f>
        <v>-107.31999999999971</v>
      </c>
      <c r="E41" s="61"/>
      <c r="F41" s="62"/>
      <c r="G41" s="129">
        <v>564.23</v>
      </c>
      <c r="K41" s="18"/>
      <c r="L41" s="18"/>
    </row>
    <row r="42" spans="1:12" s="19" customFormat="1" ht="13.5" thickBot="1">
      <c r="A42" s="43" t="s">
        <v>387</v>
      </c>
      <c r="B42" s="64">
        <v>1084.18</v>
      </c>
      <c r="C42" s="65">
        <v>0</v>
      </c>
      <c r="D42" s="64">
        <f>B42</f>
        <v>1084.18</v>
      </c>
      <c r="E42" s="66"/>
      <c r="F42" s="67"/>
      <c r="G42" s="138"/>
      <c r="K42" s="18"/>
      <c r="L42" s="18"/>
    </row>
    <row r="43" spans="1:12" ht="34.5" customHeight="1" thickBot="1">
      <c r="A43" s="47" t="s">
        <v>48</v>
      </c>
      <c r="B43" s="2" t="s">
        <v>1</v>
      </c>
      <c r="C43" s="48" t="s">
        <v>10</v>
      </c>
      <c r="D43" s="4" t="s">
        <v>11</v>
      </c>
      <c r="E43" s="2" t="s">
        <v>4</v>
      </c>
      <c r="F43" s="5" t="s">
        <v>5</v>
      </c>
      <c r="G43" s="68"/>
      <c r="H43" s="18"/>
      <c r="I43" s="18"/>
      <c r="J43" s="18"/>
      <c r="K43" s="18"/>
      <c r="L43" s="18"/>
    </row>
    <row r="44" spans="1:12" ht="19.5" customHeight="1" thickBot="1">
      <c r="A44" s="9" t="s">
        <v>49</v>
      </c>
      <c r="B44" s="69"/>
      <c r="C44" s="69"/>
      <c r="D44" s="70">
        <f>B44-C44</f>
        <v>0</v>
      </c>
      <c r="E44" s="71"/>
      <c r="F44" s="72"/>
      <c r="G44" s="68"/>
    </row>
    <row r="45" spans="1:12" ht="19.5" customHeight="1" thickBot="1">
      <c r="A45" s="47" t="s">
        <v>50</v>
      </c>
      <c r="B45" s="73" t="s">
        <v>51</v>
      </c>
      <c r="C45" s="68"/>
      <c r="D45" s="68"/>
      <c r="E45" s="68"/>
      <c r="F45" s="68"/>
      <c r="G45" s="68"/>
      <c r="H45" s="18"/>
      <c r="I45" s="18"/>
      <c r="J45" s="18"/>
      <c r="K45" s="18"/>
      <c r="L45" s="18"/>
    </row>
    <row r="46" spans="1:12" ht="30" customHeight="1">
      <c r="A46" s="74" t="s">
        <v>572</v>
      </c>
      <c r="B46" s="75">
        <v>0.13</v>
      </c>
      <c r="C46" s="68"/>
      <c r="D46" s="68"/>
      <c r="E46" s="68"/>
      <c r="F46" s="68"/>
      <c r="G46" s="68"/>
    </row>
    <row r="47" spans="1:12" ht="15">
      <c r="A47" s="76" t="s">
        <v>53</v>
      </c>
      <c r="B47" s="77"/>
      <c r="C47" s="68"/>
      <c r="D47" s="68"/>
      <c r="E47" s="68"/>
      <c r="F47" s="68"/>
      <c r="G47" s="68"/>
    </row>
    <row r="48" spans="1:12" ht="15">
      <c r="A48" s="76" t="s">
        <v>54</v>
      </c>
      <c r="B48" s="77"/>
      <c r="C48" s="68"/>
      <c r="D48" s="68"/>
      <c r="E48" s="68"/>
      <c r="F48" s="68"/>
      <c r="G48" s="68"/>
    </row>
    <row r="49" spans="1:12" ht="15">
      <c r="A49" s="76" t="s">
        <v>55</v>
      </c>
      <c r="B49" s="77">
        <v>0</v>
      </c>
      <c r="C49" s="68"/>
      <c r="D49" s="68"/>
      <c r="E49" s="68"/>
      <c r="F49" s="68"/>
      <c r="G49" s="68"/>
    </row>
    <row r="50" spans="1:12" ht="15">
      <c r="A50" s="31" t="s">
        <v>56</v>
      </c>
      <c r="B50" s="77"/>
      <c r="C50" s="68"/>
      <c r="D50" s="68"/>
      <c r="E50" s="68"/>
      <c r="F50" s="68"/>
      <c r="G50" s="68"/>
    </row>
    <row r="51" spans="1:12" ht="15">
      <c r="A51" s="31" t="s">
        <v>188</v>
      </c>
      <c r="B51" s="77">
        <v>1.05</v>
      </c>
      <c r="C51" s="68"/>
      <c r="D51" s="68"/>
      <c r="E51" s="68"/>
      <c r="F51" s="68"/>
      <c r="G51" s="68"/>
    </row>
    <row r="52" spans="1:12" ht="25.5">
      <c r="A52" s="78" t="s">
        <v>586</v>
      </c>
      <c r="B52" s="77">
        <v>0</v>
      </c>
      <c r="C52" s="68"/>
      <c r="D52" s="68"/>
      <c r="E52" s="68"/>
      <c r="F52" s="68"/>
      <c r="G52" s="68"/>
    </row>
    <row r="53" spans="1:12" ht="25.5">
      <c r="A53" s="78" t="s">
        <v>58</v>
      </c>
      <c r="B53" s="77"/>
      <c r="C53" s="68"/>
      <c r="D53" s="68"/>
      <c r="E53" s="68"/>
      <c r="F53" s="68"/>
      <c r="G53" s="68"/>
    </row>
    <row r="54" spans="1:12" ht="25.5">
      <c r="A54" s="78" t="s">
        <v>478</v>
      </c>
      <c r="B54" s="77">
        <v>5.7</v>
      </c>
      <c r="C54" s="68"/>
      <c r="D54" s="68"/>
      <c r="E54" s="68"/>
      <c r="F54" s="68"/>
      <c r="G54" s="68"/>
    </row>
    <row r="55" spans="1:12" ht="15">
      <c r="A55" s="26" t="s">
        <v>60</v>
      </c>
      <c r="B55" s="77"/>
      <c r="C55" s="68"/>
      <c r="D55" s="68"/>
      <c r="E55" s="68"/>
      <c r="F55" s="68"/>
      <c r="G55" s="68"/>
    </row>
    <row r="56" spans="1:12" ht="14.25" customHeight="1">
      <c r="A56" s="76" t="s">
        <v>61</v>
      </c>
      <c r="B56" s="77"/>
      <c r="C56" s="144" t="s">
        <v>590</v>
      </c>
      <c r="D56" s="68"/>
      <c r="E56" s="68"/>
      <c r="F56" s="68"/>
      <c r="G56" s="68"/>
    </row>
    <row r="57" spans="1:12" ht="26.25" customHeight="1">
      <c r="A57" s="76" t="s">
        <v>62</v>
      </c>
      <c r="B57" s="77"/>
      <c r="C57" s="144" t="s">
        <v>590</v>
      </c>
      <c r="D57" s="68"/>
      <c r="E57" s="68"/>
      <c r="F57" s="68"/>
      <c r="G57" s="68"/>
    </row>
    <row r="58" spans="1:12" ht="33" customHeight="1">
      <c r="A58" s="76" t="s">
        <v>63</v>
      </c>
      <c r="B58" s="77">
        <v>0</v>
      </c>
      <c r="C58" s="68"/>
      <c r="D58" s="68"/>
      <c r="E58" s="68"/>
      <c r="F58" s="68"/>
      <c r="G58" s="68"/>
      <c r="J58" s="18"/>
      <c r="K58" s="18"/>
      <c r="L58" s="18"/>
    </row>
    <row r="59" spans="1:12" ht="32.25" customHeight="1">
      <c r="A59" s="76" t="s">
        <v>64</v>
      </c>
      <c r="B59" s="77"/>
      <c r="C59" s="68"/>
      <c r="D59" s="68"/>
      <c r="E59" s="68"/>
      <c r="F59" s="68"/>
      <c r="G59" s="68"/>
    </row>
    <row r="60" spans="1:12" ht="31.5" customHeight="1">
      <c r="A60" s="76" t="s">
        <v>65</v>
      </c>
      <c r="B60" s="77"/>
      <c r="C60" s="68"/>
      <c r="D60" s="68"/>
      <c r="E60" s="68"/>
      <c r="F60" s="68"/>
      <c r="G60" s="68"/>
    </row>
    <row r="61" spans="1:12" s="19" customFormat="1" ht="15">
      <c r="A61" s="76" t="s">
        <v>66</v>
      </c>
      <c r="B61" s="77"/>
      <c r="C61" s="144" t="s">
        <v>589</v>
      </c>
      <c r="D61" s="68"/>
      <c r="E61" s="68"/>
      <c r="F61" s="68"/>
      <c r="G61" s="68"/>
      <c r="H61" s="8"/>
      <c r="I61" s="8"/>
      <c r="J61" s="18"/>
      <c r="K61" s="18"/>
      <c r="L61" s="18"/>
    </row>
    <row r="62" spans="1:12" s="19" customFormat="1" ht="15">
      <c r="A62" s="76" t="s">
        <v>67</v>
      </c>
      <c r="B62" s="77"/>
      <c r="C62" s="68"/>
      <c r="D62" s="68"/>
      <c r="E62" s="68"/>
      <c r="F62" s="68"/>
      <c r="G62" s="68"/>
      <c r="H62" s="8"/>
      <c r="I62" s="8"/>
      <c r="J62" s="18"/>
      <c r="K62" s="18"/>
      <c r="L62" s="18"/>
    </row>
    <row r="63" spans="1:12" s="19" customFormat="1" ht="15">
      <c r="A63" s="76" t="s">
        <v>68</v>
      </c>
      <c r="B63" s="77"/>
      <c r="C63" s="68"/>
      <c r="D63" s="68"/>
      <c r="E63" s="68"/>
      <c r="F63" s="68"/>
      <c r="G63" s="68"/>
      <c r="H63" s="8"/>
      <c r="I63" s="8"/>
      <c r="J63" s="18"/>
      <c r="K63" s="18"/>
      <c r="L63" s="18"/>
    </row>
    <row r="64" spans="1:12" s="19" customFormat="1" ht="15">
      <c r="A64" s="76" t="s">
        <v>69</v>
      </c>
      <c r="B64" s="77"/>
      <c r="C64" s="144" t="s">
        <v>590</v>
      </c>
      <c r="D64" s="68"/>
      <c r="E64" s="68"/>
      <c r="F64" s="68"/>
      <c r="G64" s="68"/>
      <c r="H64" s="8"/>
      <c r="I64" s="8"/>
      <c r="J64" s="18"/>
      <c r="K64" s="18"/>
      <c r="L64" s="18"/>
    </row>
    <row r="65" spans="1:12" s="19" customFormat="1" ht="15">
      <c r="A65" s="78" t="s">
        <v>70</v>
      </c>
      <c r="B65" s="77"/>
      <c r="C65" s="68"/>
      <c r="D65" s="68"/>
      <c r="E65" s="68"/>
      <c r="F65" s="68"/>
      <c r="G65" s="68"/>
      <c r="H65" s="8"/>
      <c r="I65" s="8"/>
      <c r="J65" s="18"/>
      <c r="K65" s="18"/>
      <c r="L65" s="18"/>
    </row>
    <row r="66" spans="1:12" s="19" customFormat="1" ht="25.5">
      <c r="A66" s="78" t="s">
        <v>71</v>
      </c>
      <c r="B66" s="77"/>
      <c r="C66" s="144" t="s">
        <v>590</v>
      </c>
      <c r="D66" s="68"/>
      <c r="E66" s="68"/>
      <c r="F66" s="68"/>
      <c r="G66" s="68"/>
      <c r="H66" s="8"/>
      <c r="I66" s="8"/>
      <c r="J66" s="18"/>
      <c r="K66" s="18"/>
      <c r="L66" s="18"/>
    </row>
    <row r="67" spans="1:12" ht="15">
      <c r="A67" s="79" t="s">
        <v>72</v>
      </c>
      <c r="B67" s="77"/>
      <c r="C67" s="144" t="s">
        <v>590</v>
      </c>
      <c r="D67" s="68"/>
      <c r="E67" s="68"/>
      <c r="F67" s="68"/>
      <c r="G67" s="68"/>
    </row>
    <row r="68" spans="1:12" ht="15">
      <c r="A68" s="38" t="s">
        <v>73</v>
      </c>
      <c r="B68" s="77">
        <v>0</v>
      </c>
      <c r="C68" s="68"/>
      <c r="D68" s="68"/>
      <c r="E68" s="68"/>
      <c r="F68" s="68"/>
      <c r="G68" s="68"/>
    </row>
    <row r="69" spans="1:12" ht="15">
      <c r="A69" s="78" t="s">
        <v>74</v>
      </c>
      <c r="B69" s="77">
        <v>0</v>
      </c>
      <c r="C69" s="68"/>
      <c r="D69" s="68"/>
      <c r="E69" s="68"/>
      <c r="F69" s="68"/>
      <c r="G69" s="68"/>
    </row>
    <row r="70" spans="1:12" ht="15">
      <c r="A70" s="78" t="s">
        <v>75</v>
      </c>
      <c r="B70" s="77">
        <v>0</v>
      </c>
      <c r="C70" s="68"/>
      <c r="D70" s="68"/>
      <c r="E70" s="68"/>
      <c r="F70" s="68"/>
      <c r="G70" s="68"/>
    </row>
    <row r="71" spans="1:12" s="19" customFormat="1" ht="15">
      <c r="A71" s="78" t="s">
        <v>680</v>
      </c>
      <c r="B71" s="77">
        <v>0</v>
      </c>
      <c r="C71" s="68"/>
      <c r="D71" s="68"/>
      <c r="E71" s="68"/>
      <c r="F71" s="68"/>
      <c r="G71" s="68"/>
      <c r="H71" s="18"/>
      <c r="I71" s="18"/>
      <c r="J71" s="8"/>
      <c r="K71" s="8"/>
      <c r="L71" s="8"/>
    </row>
    <row r="72" spans="1:12" ht="15">
      <c r="A72" s="78" t="s">
        <v>77</v>
      </c>
      <c r="B72" s="77">
        <v>0</v>
      </c>
      <c r="C72" s="68"/>
      <c r="D72" s="68"/>
      <c r="E72" s="68"/>
      <c r="F72" s="68"/>
      <c r="G72" s="68"/>
      <c r="H72" s="18"/>
      <c r="I72" s="18"/>
    </row>
    <row r="73" spans="1:12" ht="15">
      <c r="A73" s="78" t="s">
        <v>78</v>
      </c>
      <c r="B73" s="77">
        <v>14.99</v>
      </c>
      <c r="C73" s="68"/>
      <c r="D73" s="68"/>
      <c r="E73" s="68"/>
      <c r="F73" s="68"/>
      <c r="G73" s="68"/>
    </row>
    <row r="74" spans="1:12" ht="25.5">
      <c r="A74" s="78" t="s">
        <v>679</v>
      </c>
      <c r="B74" s="77">
        <v>14.46</v>
      </c>
      <c r="C74" s="68"/>
      <c r="D74" s="68"/>
      <c r="E74" s="68"/>
      <c r="F74" s="68"/>
      <c r="G74" s="68"/>
    </row>
    <row r="75" spans="1:12" ht="15">
      <c r="A75" s="78" t="s">
        <v>80</v>
      </c>
      <c r="B75" s="77">
        <v>19.170000000000002</v>
      </c>
      <c r="C75" s="68"/>
      <c r="D75" s="68"/>
      <c r="E75" s="68"/>
      <c r="F75" s="68"/>
      <c r="G75" s="68"/>
    </row>
    <row r="76" spans="1:12" ht="15">
      <c r="A76" s="78" t="s">
        <v>574</v>
      </c>
      <c r="B76" s="77">
        <v>0</v>
      </c>
      <c r="C76" s="80"/>
      <c r="D76" s="81"/>
      <c r="E76" s="82"/>
      <c r="F76" s="82"/>
    </row>
    <row r="77" spans="1:12" ht="15">
      <c r="A77" s="78" t="s">
        <v>575</v>
      </c>
      <c r="B77" s="77">
        <v>0</v>
      </c>
      <c r="C77" s="80"/>
      <c r="D77" s="81"/>
      <c r="E77" s="82"/>
      <c r="F77" s="82"/>
    </row>
    <row r="78" spans="1:12" ht="15">
      <c r="A78" s="78" t="s">
        <v>83</v>
      </c>
      <c r="B78" s="77"/>
      <c r="C78" s="144" t="s">
        <v>590</v>
      </c>
      <c r="D78" s="81"/>
      <c r="E78" s="82"/>
      <c r="F78" s="82"/>
    </row>
    <row r="79" spans="1:12" ht="15">
      <c r="A79" s="78" t="s">
        <v>681</v>
      </c>
      <c r="B79" s="77"/>
      <c r="C79" s="80"/>
      <c r="D79" s="81"/>
      <c r="E79" s="82"/>
      <c r="F79" s="82"/>
    </row>
    <row r="80" spans="1:12" ht="15">
      <c r="A80" s="78" t="s">
        <v>85</v>
      </c>
      <c r="B80" s="77"/>
      <c r="C80" s="80"/>
      <c r="D80" s="81"/>
      <c r="E80" s="82"/>
      <c r="F80" s="82"/>
    </row>
    <row r="81" spans="1:12" ht="15">
      <c r="A81" s="78" t="s">
        <v>86</v>
      </c>
      <c r="B81" s="77"/>
      <c r="C81" s="80"/>
      <c r="D81" s="81"/>
      <c r="E81" s="82"/>
      <c r="F81" s="82"/>
    </row>
    <row r="82" spans="1:12" ht="15">
      <c r="A82" s="78" t="s">
        <v>87</v>
      </c>
      <c r="B82" s="77"/>
      <c r="C82" s="80"/>
      <c r="D82" s="81"/>
      <c r="E82" s="82"/>
      <c r="F82" s="82"/>
    </row>
    <row r="83" spans="1:12" ht="25.5">
      <c r="A83" s="78" t="s">
        <v>88</v>
      </c>
      <c r="B83" s="77"/>
      <c r="C83" s="80"/>
      <c r="D83" s="81"/>
      <c r="E83" s="82"/>
      <c r="F83" s="82"/>
    </row>
    <row r="84" spans="1:12" ht="25.5">
      <c r="A84" s="78" t="s">
        <v>89</v>
      </c>
      <c r="B84" s="77"/>
      <c r="C84" s="80"/>
      <c r="D84" s="81"/>
      <c r="E84" s="82"/>
      <c r="F84" s="82"/>
    </row>
    <row r="85" spans="1:12" ht="25.5">
      <c r="A85" s="78" t="s">
        <v>90</v>
      </c>
      <c r="B85" s="77"/>
      <c r="C85" s="80"/>
      <c r="D85" s="81"/>
      <c r="E85" s="82"/>
      <c r="F85" s="82"/>
    </row>
    <row r="86" spans="1:12" ht="15">
      <c r="A86" s="78" t="s">
        <v>91</v>
      </c>
      <c r="B86" s="77"/>
      <c r="C86" s="80"/>
      <c r="D86" s="81"/>
      <c r="E86" s="82"/>
      <c r="F86" s="82"/>
    </row>
    <row r="87" spans="1:12" ht="15">
      <c r="A87" s="78" t="s">
        <v>92</v>
      </c>
      <c r="B87" s="77">
        <v>0</v>
      </c>
      <c r="C87" s="80"/>
      <c r="D87" s="81"/>
      <c r="E87" s="82"/>
      <c r="F87" s="82"/>
    </row>
    <row r="88" spans="1:12" ht="15">
      <c r="A88" s="84" t="s">
        <v>93</v>
      </c>
      <c r="B88" s="77"/>
      <c r="C88" s="80"/>
      <c r="D88" s="81"/>
      <c r="E88" s="82"/>
      <c r="F88" s="82"/>
    </row>
    <row r="89" spans="1:12" ht="15">
      <c r="A89" s="84" t="s">
        <v>94</v>
      </c>
      <c r="B89" s="77">
        <v>6.67</v>
      </c>
      <c r="C89" s="80"/>
      <c r="D89" s="81"/>
      <c r="E89" s="82"/>
      <c r="F89" s="82"/>
    </row>
    <row r="90" spans="1:12" ht="15">
      <c r="A90" s="84" t="s">
        <v>95</v>
      </c>
      <c r="B90" s="77"/>
      <c r="C90" s="80"/>
      <c r="D90" s="81"/>
      <c r="E90" s="82"/>
      <c r="F90" s="82"/>
    </row>
    <row r="91" spans="1:12" ht="15">
      <c r="A91" s="84" t="s">
        <v>96</v>
      </c>
      <c r="B91" s="77">
        <v>0.65</v>
      </c>
      <c r="C91" s="80"/>
      <c r="D91" s="81"/>
      <c r="E91" s="82"/>
      <c r="F91" s="82"/>
    </row>
    <row r="92" spans="1:12" ht="15">
      <c r="A92" s="84" t="s">
        <v>97</v>
      </c>
      <c r="B92" s="77">
        <v>0</v>
      </c>
      <c r="C92" s="80"/>
      <c r="D92" s="81"/>
      <c r="E92" s="82"/>
      <c r="F92" s="82"/>
    </row>
    <row r="93" spans="1:12" ht="15">
      <c r="A93" s="84" t="s">
        <v>804</v>
      </c>
      <c r="B93" s="77">
        <v>0.5</v>
      </c>
      <c r="C93" s="80"/>
      <c r="D93" s="81"/>
      <c r="E93" s="82"/>
      <c r="F93" s="82"/>
    </row>
    <row r="94" spans="1:12" ht="26.25" thickBot="1">
      <c r="A94" s="85" t="s">
        <v>98</v>
      </c>
      <c r="B94" s="87">
        <v>0.25</v>
      </c>
      <c r="C94" s="80"/>
      <c r="D94" s="81"/>
      <c r="E94" s="82"/>
      <c r="F94" s="82"/>
    </row>
    <row r="95" spans="1:12" ht="26.25" thickBot="1">
      <c r="A95" s="86" t="s">
        <v>99</v>
      </c>
      <c r="B95" s="89">
        <v>1.27</v>
      </c>
      <c r="C95" s="80"/>
      <c r="D95" s="81"/>
      <c r="E95" s="82"/>
      <c r="F95" s="82"/>
    </row>
    <row r="96" spans="1:12" s="19" customFormat="1" ht="15.75" thickBot="1">
      <c r="A96" s="90" t="s">
        <v>100</v>
      </c>
      <c r="B96" s="91">
        <f>SUM(B2:B44)</f>
        <v>23413.230000000003</v>
      </c>
      <c r="C96" s="92"/>
      <c r="D96" s="93"/>
      <c r="E96" s="68"/>
      <c r="F96" s="68"/>
      <c r="G96" s="93"/>
      <c r="H96" s="18"/>
      <c r="I96" s="18"/>
      <c r="J96" s="18"/>
      <c r="K96" s="18"/>
      <c r="L96" s="18"/>
    </row>
    <row r="97" spans="1:12" s="19" customFormat="1" ht="15.75" thickBot="1">
      <c r="A97" s="94" t="s">
        <v>101</v>
      </c>
      <c r="B97" s="95">
        <f>SUM(G2:G42)</f>
        <v>5089.8899999999994</v>
      </c>
      <c r="C97" s="93"/>
      <c r="D97" s="93"/>
      <c r="E97" s="68"/>
      <c r="F97" s="68"/>
      <c r="G97" s="96"/>
      <c r="H97" s="18"/>
      <c r="I97" s="18"/>
      <c r="J97" s="18"/>
      <c r="K97" s="18"/>
      <c r="L97" s="18"/>
    </row>
    <row r="98" spans="1:12" ht="15.75" thickBot="1">
      <c r="A98" s="97" t="s">
        <v>102</v>
      </c>
      <c r="B98" s="91">
        <f>SUM(B46:B94)</f>
        <v>63.57</v>
      </c>
      <c r="C98" s="80"/>
      <c r="D98" s="81"/>
      <c r="E98" s="82"/>
      <c r="F98" s="82"/>
    </row>
    <row r="99" spans="1:12" ht="15.75" thickBot="1">
      <c r="A99" s="98" t="s">
        <v>103</v>
      </c>
      <c r="B99" s="91">
        <f>B96+B97+B98</f>
        <v>28566.690000000002</v>
      </c>
      <c r="C99" s="80"/>
      <c r="D99" s="81"/>
    </row>
    <row r="100" spans="1:12">
      <c r="B100" s="80"/>
      <c r="C100" s="80"/>
      <c r="D100" s="81"/>
    </row>
    <row r="101" spans="1:12">
      <c r="B101" s="80"/>
      <c r="C101" s="80"/>
      <c r="D101" s="81"/>
    </row>
    <row r="102" spans="1:12">
      <c r="B102" s="80"/>
      <c r="C102" s="80"/>
      <c r="D102" s="80"/>
    </row>
    <row r="103" spans="1:12">
      <c r="B103" s="80"/>
      <c r="C103" s="80"/>
      <c r="D103" s="80"/>
    </row>
    <row r="104" spans="1:12">
      <c r="B104" s="80"/>
      <c r="C104" s="80"/>
      <c r="D104" s="80"/>
    </row>
    <row r="105" spans="1:12">
      <c r="B105" s="80"/>
      <c r="C105" s="80"/>
      <c r="D105" s="80"/>
    </row>
    <row r="106" spans="1:12" s="80" customFormat="1">
      <c r="A106" s="8"/>
      <c r="G106" s="83"/>
      <c r="H106" s="8"/>
      <c r="I106" s="8"/>
      <c r="J106" s="8"/>
      <c r="K106" s="8"/>
      <c r="L106" s="8"/>
    </row>
    <row r="107" spans="1:12" s="80" customFormat="1">
      <c r="A107" s="8"/>
      <c r="G107" s="83"/>
      <c r="H107" s="8"/>
      <c r="I107" s="8"/>
      <c r="J107" s="8"/>
      <c r="K107" s="8"/>
      <c r="L107" s="8"/>
    </row>
  </sheetData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08"/>
  <sheetViews>
    <sheetView tabSelected="1" topLeftCell="A7" workbookViewId="0">
      <selection activeCell="B44" sqref="B44"/>
    </sheetView>
  </sheetViews>
  <sheetFormatPr defaultColWidth="19.7109375" defaultRowHeight="12.75"/>
  <cols>
    <col min="1" max="1" width="31.5703125" style="8" customWidth="1"/>
    <col min="2" max="2" width="22.7109375" style="8" customWidth="1"/>
    <col min="3" max="3" width="22" style="8" customWidth="1"/>
    <col min="4" max="4" width="22.140625" style="8" customWidth="1"/>
    <col min="5" max="5" width="21.7109375" style="80" customWidth="1"/>
    <col min="6" max="6" width="24.85546875" style="80" customWidth="1"/>
    <col min="7" max="7" width="24.28515625" style="83" customWidth="1"/>
    <col min="8" max="16384" width="19.7109375" style="8"/>
  </cols>
  <sheetData>
    <row r="1" spans="1:12" ht="30.75" thickBo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6" t="s">
        <v>6</v>
      </c>
      <c r="H1" s="7"/>
    </row>
    <row r="2" spans="1:12">
      <c r="A2" s="9" t="s">
        <v>7</v>
      </c>
      <c r="B2" s="10">
        <f>8.09+709.86</f>
        <v>717.95</v>
      </c>
      <c r="C2" s="10">
        <f>8.09+616.16</f>
        <v>624.25</v>
      </c>
      <c r="D2" s="11">
        <f>B2-C2</f>
        <v>93.700000000000045</v>
      </c>
      <c r="E2" s="12"/>
      <c r="F2" s="10"/>
      <c r="G2" s="13">
        <v>44.82</v>
      </c>
    </row>
    <row r="3" spans="1:12" s="19" customFormat="1" ht="13.5" thickBot="1">
      <c r="A3" s="14" t="s">
        <v>8</v>
      </c>
      <c r="B3" s="15"/>
      <c r="C3" s="15"/>
      <c r="D3" s="16">
        <f>B3-C3</f>
        <v>0</v>
      </c>
      <c r="E3" s="15"/>
      <c r="F3" s="15"/>
      <c r="G3" s="17">
        <v>174.32</v>
      </c>
      <c r="H3" s="18"/>
      <c r="I3" s="18"/>
      <c r="J3" s="18"/>
      <c r="K3" s="18"/>
      <c r="L3" s="18"/>
    </row>
    <row r="4" spans="1:12" ht="30">
      <c r="A4" s="20" t="s">
        <v>9</v>
      </c>
      <c r="B4" s="21" t="s">
        <v>1</v>
      </c>
      <c r="C4" s="22" t="s">
        <v>10</v>
      </c>
      <c r="D4" s="23" t="s">
        <v>11</v>
      </c>
      <c r="E4" s="21" t="s">
        <v>4</v>
      </c>
      <c r="F4" s="21" t="s">
        <v>12</v>
      </c>
      <c r="G4" s="24" t="s">
        <v>13</v>
      </c>
      <c r="H4" s="25"/>
    </row>
    <row r="5" spans="1:12" s="19" customFormat="1">
      <c r="A5" s="26" t="s">
        <v>14</v>
      </c>
      <c r="B5" s="27"/>
      <c r="C5" s="28"/>
      <c r="D5" s="28">
        <f t="shared" ref="D5:D35" si="0">B5-C5</f>
        <v>0</v>
      </c>
      <c r="E5" s="28"/>
      <c r="F5" s="29"/>
      <c r="G5" s="30">
        <v>1.4</v>
      </c>
      <c r="H5" s="18"/>
      <c r="I5" s="18"/>
      <c r="J5" s="18"/>
      <c r="K5" s="18"/>
      <c r="L5" s="18"/>
    </row>
    <row r="6" spans="1:12" s="19" customFormat="1">
      <c r="A6" s="26" t="s">
        <v>15</v>
      </c>
      <c r="B6" s="27"/>
      <c r="C6" s="28"/>
      <c r="D6" s="28">
        <f>B6-C6</f>
        <v>0</v>
      </c>
      <c r="E6" s="28"/>
      <c r="F6" s="29"/>
      <c r="G6" s="30">
        <v>0.23</v>
      </c>
      <c r="H6" s="18"/>
      <c r="I6" s="18"/>
      <c r="J6" s="18"/>
      <c r="K6" s="18"/>
      <c r="L6" s="18"/>
    </row>
    <row r="7" spans="1:12" s="19" customFormat="1" ht="13.5" customHeight="1">
      <c r="A7" s="31" t="s">
        <v>16</v>
      </c>
      <c r="B7" s="32"/>
      <c r="C7" s="28"/>
      <c r="D7" s="28">
        <f t="shared" ref="D7" si="1">B7-C7</f>
        <v>0</v>
      </c>
      <c r="E7" s="28"/>
      <c r="F7" s="29"/>
      <c r="G7" s="33">
        <v>19.66</v>
      </c>
      <c r="H7" s="18"/>
      <c r="I7" s="18"/>
      <c r="J7" s="18"/>
      <c r="K7" s="18"/>
      <c r="L7" s="18"/>
    </row>
    <row r="8" spans="1:12" s="19" customFormat="1">
      <c r="A8" s="31" t="s">
        <v>17</v>
      </c>
      <c r="B8" s="32"/>
      <c r="C8" s="28"/>
      <c r="D8" s="28">
        <f t="shared" si="0"/>
        <v>0</v>
      </c>
      <c r="E8" s="28"/>
      <c r="F8" s="29"/>
      <c r="G8" s="33">
        <v>0.05</v>
      </c>
      <c r="H8" s="18"/>
      <c r="I8" s="18"/>
      <c r="J8" s="18"/>
      <c r="K8" s="18"/>
      <c r="L8" s="18"/>
    </row>
    <row r="9" spans="1:12" s="19" customFormat="1">
      <c r="A9" s="31" t="s">
        <v>18</v>
      </c>
      <c r="B9" s="32"/>
      <c r="C9" s="28"/>
      <c r="D9" s="28">
        <f>B9-C9</f>
        <v>0</v>
      </c>
      <c r="E9" s="28"/>
      <c r="F9" s="29"/>
      <c r="G9" s="33">
        <v>23.73</v>
      </c>
      <c r="H9" s="18"/>
      <c r="I9" s="18"/>
      <c r="J9" s="18"/>
      <c r="K9" s="18"/>
      <c r="L9" s="18"/>
    </row>
    <row r="10" spans="1:12" s="19" customFormat="1">
      <c r="A10" s="31" t="s">
        <v>20</v>
      </c>
      <c r="B10" s="32"/>
      <c r="C10" s="28"/>
      <c r="D10" s="28">
        <f t="shared" si="0"/>
        <v>0</v>
      </c>
      <c r="E10" s="28"/>
      <c r="F10" s="29"/>
      <c r="G10" s="33">
        <v>0</v>
      </c>
      <c r="H10" s="18"/>
      <c r="I10" s="18"/>
      <c r="J10" s="18"/>
      <c r="K10" s="18"/>
      <c r="L10" s="18"/>
    </row>
    <row r="11" spans="1:12" s="19" customFormat="1">
      <c r="A11" s="31" t="s">
        <v>492</v>
      </c>
      <c r="B11" s="32"/>
      <c r="C11" s="28"/>
      <c r="D11" s="28">
        <f t="shared" si="0"/>
        <v>0</v>
      </c>
      <c r="E11" s="28"/>
      <c r="F11" s="29"/>
      <c r="G11" s="33"/>
      <c r="H11" s="18"/>
      <c r="I11" s="18"/>
      <c r="J11" s="18"/>
      <c r="K11" s="18"/>
      <c r="L11" s="18"/>
    </row>
    <row r="12" spans="1:12" s="19" customFormat="1">
      <c r="A12" s="31" t="s">
        <v>21</v>
      </c>
      <c r="B12" s="32">
        <f>1141.84+466.98+6.41</f>
        <v>1615.23</v>
      </c>
      <c r="C12" s="28">
        <f>659.8+463.16+6.41</f>
        <v>1129.3700000000001</v>
      </c>
      <c r="D12" s="28">
        <f t="shared" si="0"/>
        <v>485.8599999999999</v>
      </c>
      <c r="E12" s="28"/>
      <c r="F12" s="29"/>
      <c r="G12" s="33">
        <v>214.78</v>
      </c>
      <c r="H12" s="18"/>
      <c r="I12" s="18"/>
      <c r="J12" s="18"/>
      <c r="K12" s="18"/>
      <c r="L12" s="18"/>
    </row>
    <row r="13" spans="1:12" s="19" customFormat="1">
      <c r="A13" s="31" t="s">
        <v>488</v>
      </c>
      <c r="B13" s="32"/>
      <c r="C13" s="28"/>
      <c r="D13" s="28">
        <f t="shared" si="0"/>
        <v>0</v>
      </c>
      <c r="E13" s="28"/>
      <c r="F13" s="29"/>
      <c r="G13" s="33">
        <v>34.19</v>
      </c>
      <c r="H13" s="18"/>
      <c r="I13" s="18"/>
      <c r="J13" s="18"/>
      <c r="K13" s="18"/>
      <c r="L13" s="18"/>
    </row>
    <row r="14" spans="1:12" s="19" customFormat="1">
      <c r="A14" s="31" t="s">
        <v>22</v>
      </c>
      <c r="B14" s="32"/>
      <c r="C14" s="28"/>
      <c r="D14" s="28">
        <f t="shared" si="0"/>
        <v>0</v>
      </c>
      <c r="E14" s="28"/>
      <c r="F14" s="29"/>
      <c r="G14" s="33"/>
      <c r="H14" s="18"/>
      <c r="I14" s="18"/>
      <c r="J14" s="18"/>
      <c r="K14" s="18"/>
      <c r="L14" s="18"/>
    </row>
    <row r="15" spans="1:12" s="19" customFormat="1">
      <c r="A15" s="31" t="s">
        <v>388</v>
      </c>
      <c r="B15" s="32"/>
      <c r="C15" s="28"/>
      <c r="D15" s="28">
        <f t="shared" si="0"/>
        <v>0</v>
      </c>
      <c r="E15" s="28"/>
      <c r="F15" s="29"/>
      <c r="G15" s="33"/>
      <c r="H15" s="18"/>
      <c r="I15" s="18"/>
      <c r="J15" s="18"/>
      <c r="K15" s="18"/>
      <c r="L15" s="18"/>
    </row>
    <row r="16" spans="1:12" s="19" customFormat="1">
      <c r="A16" s="31" t="s">
        <v>495</v>
      </c>
      <c r="B16" s="32">
        <f>477.7+699.38</f>
        <v>1177.08</v>
      </c>
      <c r="C16" s="28">
        <f>461.08+53.3+646.08</f>
        <v>1160.46</v>
      </c>
      <c r="D16" s="28">
        <f>B16-C16</f>
        <v>16.619999999999891</v>
      </c>
      <c r="E16" s="28"/>
      <c r="F16" s="29"/>
      <c r="G16" s="33">
        <v>125.69</v>
      </c>
      <c r="H16" s="18"/>
      <c r="I16" s="18"/>
      <c r="J16" s="18"/>
      <c r="K16" s="18"/>
      <c r="L16" s="18"/>
    </row>
    <row r="17" spans="1:12" s="19" customFormat="1">
      <c r="A17" s="31" t="s">
        <v>389</v>
      </c>
      <c r="B17" s="32"/>
      <c r="C17" s="28"/>
      <c r="D17" s="28">
        <f t="shared" si="0"/>
        <v>0</v>
      </c>
      <c r="E17" s="28"/>
      <c r="F17" s="29"/>
      <c r="G17" s="33"/>
      <c r="H17" s="18"/>
      <c r="I17" s="18"/>
      <c r="J17" s="18"/>
      <c r="K17" s="18"/>
      <c r="L17" s="18"/>
    </row>
    <row r="18" spans="1:12" s="19" customFormat="1">
      <c r="A18" s="31" t="s">
        <v>25</v>
      </c>
      <c r="B18" s="32"/>
      <c r="C18" s="28"/>
      <c r="D18" s="28">
        <f t="shared" si="0"/>
        <v>0</v>
      </c>
      <c r="E18" s="28"/>
      <c r="F18" s="35"/>
      <c r="G18" s="33">
        <v>24.67</v>
      </c>
      <c r="H18" s="18"/>
      <c r="I18" s="18"/>
      <c r="J18" s="18"/>
      <c r="K18" s="18"/>
      <c r="L18" s="18"/>
    </row>
    <row r="19" spans="1:12" s="19" customFormat="1">
      <c r="A19" s="31" t="s">
        <v>891</v>
      </c>
      <c r="B19" s="157">
        <f>4831.24+174.2</f>
        <v>5005.4399999999996</v>
      </c>
      <c r="C19" s="158">
        <v>0</v>
      </c>
      <c r="D19" s="158">
        <f t="shared" si="0"/>
        <v>5005.4399999999996</v>
      </c>
      <c r="E19" s="28"/>
      <c r="F19" s="35"/>
      <c r="G19" s="33"/>
      <c r="H19" s="18"/>
      <c r="I19" s="18"/>
      <c r="J19" s="18"/>
      <c r="K19" s="18"/>
      <c r="L19" s="18"/>
    </row>
    <row r="20" spans="1:12" s="19" customFormat="1">
      <c r="A20" s="26" t="s">
        <v>26</v>
      </c>
      <c r="B20" s="27"/>
      <c r="C20" s="28"/>
      <c r="D20" s="28">
        <f t="shared" si="0"/>
        <v>0</v>
      </c>
      <c r="E20" s="28"/>
      <c r="F20" s="35"/>
      <c r="G20" s="36">
        <v>10.61</v>
      </c>
      <c r="H20" s="18"/>
      <c r="I20" s="18"/>
      <c r="J20" s="18"/>
      <c r="K20" s="18"/>
      <c r="L20" s="18"/>
    </row>
    <row r="21" spans="1:12" s="19" customFormat="1">
      <c r="A21" s="26" t="s">
        <v>27</v>
      </c>
      <c r="B21" s="27">
        <f>859.88</f>
        <v>859.88</v>
      </c>
      <c r="C21" s="28">
        <f>716.5</f>
        <v>716.5</v>
      </c>
      <c r="D21" s="28">
        <f t="shared" si="0"/>
        <v>143.38</v>
      </c>
      <c r="E21" s="28"/>
      <c r="F21" s="35"/>
      <c r="G21" s="123">
        <v>37.08</v>
      </c>
      <c r="H21" s="18"/>
      <c r="I21" s="18"/>
      <c r="J21" s="18"/>
      <c r="K21" s="18"/>
      <c r="L21" s="18"/>
    </row>
    <row r="22" spans="1:12" s="19" customFormat="1">
      <c r="A22" s="26" t="s">
        <v>28</v>
      </c>
      <c r="B22" s="27"/>
      <c r="C22" s="28"/>
      <c r="D22" s="28">
        <f t="shared" si="0"/>
        <v>0</v>
      </c>
      <c r="E22" s="28"/>
      <c r="F22" s="35"/>
      <c r="G22" s="36"/>
      <c r="H22" s="18"/>
      <c r="I22" s="18"/>
      <c r="J22" s="18"/>
      <c r="K22" s="18"/>
      <c r="L22" s="18"/>
    </row>
    <row r="23" spans="1:12" s="19" customFormat="1">
      <c r="A23" s="26" t="s">
        <v>29</v>
      </c>
      <c r="B23" s="27"/>
      <c r="C23" s="28"/>
      <c r="D23" s="28">
        <f t="shared" si="0"/>
        <v>0</v>
      </c>
      <c r="E23" s="28"/>
      <c r="F23" s="37"/>
      <c r="G23" s="36">
        <v>4.63</v>
      </c>
      <c r="H23" s="18"/>
      <c r="I23" s="18"/>
      <c r="J23" s="18"/>
      <c r="K23" s="18"/>
      <c r="L23" s="18"/>
    </row>
    <row r="24" spans="1:12" s="19" customFormat="1">
      <c r="A24" s="26" t="s">
        <v>30</v>
      </c>
      <c r="B24" s="27"/>
      <c r="C24" s="28"/>
      <c r="D24" s="28">
        <f t="shared" si="0"/>
        <v>0</v>
      </c>
      <c r="E24" s="28"/>
      <c r="F24" s="37"/>
      <c r="G24" s="36">
        <v>0</v>
      </c>
      <c r="H24" s="18"/>
      <c r="I24" s="18"/>
      <c r="J24" s="18"/>
      <c r="K24" s="18"/>
      <c r="L24" s="18"/>
    </row>
    <row r="25" spans="1:12" s="19" customFormat="1">
      <c r="A25" s="26" t="s">
        <v>31</v>
      </c>
      <c r="B25" s="27"/>
      <c r="C25" s="28"/>
      <c r="D25" s="28">
        <f t="shared" si="0"/>
        <v>0</v>
      </c>
      <c r="E25" s="28"/>
      <c r="F25" s="29"/>
      <c r="G25" s="30">
        <v>2.09</v>
      </c>
      <c r="H25" s="18"/>
      <c r="I25" s="18"/>
      <c r="J25" s="18"/>
      <c r="K25" s="18"/>
      <c r="L25" s="18"/>
    </row>
    <row r="26" spans="1:12" s="19" customFormat="1">
      <c r="A26" s="26" t="s">
        <v>476</v>
      </c>
      <c r="B26" s="136">
        <f>34.91+328.6+292.35+560.81</f>
        <v>1216.67</v>
      </c>
      <c r="C26" s="137">
        <f>19.41</f>
        <v>19.41</v>
      </c>
      <c r="D26" s="137">
        <f t="shared" si="0"/>
        <v>1197.26</v>
      </c>
      <c r="E26" s="28"/>
      <c r="F26" s="29"/>
      <c r="G26" s="30">
        <v>168.83</v>
      </c>
      <c r="H26" s="18"/>
      <c r="I26" s="18"/>
      <c r="J26" s="18"/>
      <c r="K26" s="18"/>
      <c r="L26" s="18"/>
    </row>
    <row r="27" spans="1:12" s="19" customFormat="1">
      <c r="A27" s="26" t="s">
        <v>493</v>
      </c>
      <c r="B27" s="32"/>
      <c r="C27" s="28"/>
      <c r="D27" s="28">
        <f t="shared" si="0"/>
        <v>0</v>
      </c>
      <c r="E27" s="28"/>
      <c r="F27" s="29"/>
      <c r="G27" s="30">
        <v>0.02</v>
      </c>
      <c r="H27" s="18"/>
      <c r="I27" s="18"/>
      <c r="J27" s="18"/>
      <c r="K27" s="18"/>
      <c r="L27" s="18"/>
    </row>
    <row r="28" spans="1:12" s="19" customFormat="1">
      <c r="A28" s="31" t="s">
        <v>320</v>
      </c>
      <c r="B28" s="32"/>
      <c r="C28" s="28"/>
      <c r="D28" s="28">
        <f t="shared" si="0"/>
        <v>0</v>
      </c>
      <c r="E28" s="28"/>
      <c r="F28" s="29"/>
      <c r="G28" s="33">
        <v>21.38</v>
      </c>
      <c r="H28" s="18"/>
      <c r="I28" s="18"/>
      <c r="J28" s="18"/>
      <c r="K28" s="18"/>
      <c r="L28" s="18"/>
    </row>
    <row r="29" spans="1:12" s="19" customFormat="1" ht="12.75" customHeight="1">
      <c r="A29" s="38" t="s">
        <v>33</v>
      </c>
      <c r="B29" s="39">
        <f>106.71+48.94+418.49+224.5</f>
        <v>798.64</v>
      </c>
      <c r="C29" s="35">
        <v>0</v>
      </c>
      <c r="D29" s="40">
        <f t="shared" si="0"/>
        <v>798.64</v>
      </c>
      <c r="E29" s="28"/>
      <c r="F29" s="29"/>
      <c r="G29" s="41"/>
      <c r="H29" s="42"/>
      <c r="I29" s="18"/>
      <c r="J29" s="18"/>
      <c r="K29" s="18"/>
      <c r="L29" s="18"/>
    </row>
    <row r="30" spans="1:12" s="19" customFormat="1">
      <c r="A30" s="31" t="s">
        <v>34</v>
      </c>
      <c r="B30" s="32"/>
      <c r="C30" s="28"/>
      <c r="D30" s="28">
        <f t="shared" si="0"/>
        <v>0</v>
      </c>
      <c r="E30" s="28"/>
      <c r="F30" s="29"/>
      <c r="G30" s="33">
        <v>13.85</v>
      </c>
      <c r="H30" s="18"/>
      <c r="I30" s="18"/>
      <c r="J30" s="18"/>
      <c r="K30" s="18"/>
      <c r="L30" s="18"/>
    </row>
    <row r="31" spans="1:12" s="19" customFormat="1" ht="12.75" customHeight="1">
      <c r="A31" s="31" t="s">
        <v>35</v>
      </c>
      <c r="B31" s="39">
        <f>567.57+82.49</f>
        <v>650.06000000000006</v>
      </c>
      <c r="C31" s="35">
        <f>23+11.29</f>
        <v>34.29</v>
      </c>
      <c r="D31" s="40">
        <f t="shared" si="0"/>
        <v>615.7700000000001</v>
      </c>
      <c r="E31" s="28"/>
      <c r="F31" s="29"/>
      <c r="G31" s="33">
        <v>32.26</v>
      </c>
      <c r="H31" s="42"/>
      <c r="I31" s="18"/>
      <c r="J31" s="18"/>
      <c r="K31" s="18"/>
      <c r="L31" s="18"/>
    </row>
    <row r="32" spans="1:12" s="19" customFormat="1" ht="12.75" customHeight="1">
      <c r="A32" s="38" t="s">
        <v>36</v>
      </c>
      <c r="B32" s="39"/>
      <c r="C32" s="35"/>
      <c r="D32" s="28">
        <f t="shared" si="0"/>
        <v>0</v>
      </c>
      <c r="E32" s="28"/>
      <c r="F32" s="29"/>
      <c r="G32" s="41">
        <v>22.62</v>
      </c>
      <c r="H32" s="42"/>
      <c r="I32" s="18"/>
      <c r="J32" s="18"/>
      <c r="K32" s="18"/>
      <c r="L32" s="18"/>
    </row>
    <row r="33" spans="1:12" s="19" customFormat="1" ht="12.75" customHeight="1">
      <c r="A33" s="38" t="s">
        <v>37</v>
      </c>
      <c r="B33" s="39">
        <v>41.3</v>
      </c>
      <c r="C33" s="35">
        <v>27.5</v>
      </c>
      <c r="D33" s="28">
        <f t="shared" si="0"/>
        <v>13.799999999999997</v>
      </c>
      <c r="E33" s="28"/>
      <c r="F33" s="29"/>
      <c r="G33" s="41">
        <v>70.569999999999993</v>
      </c>
      <c r="H33" s="42"/>
      <c r="I33" s="18"/>
      <c r="J33" s="18"/>
      <c r="K33" s="18"/>
      <c r="L33" s="18"/>
    </row>
    <row r="34" spans="1:12" s="19" customFormat="1" ht="12.75" customHeight="1">
      <c r="A34" s="38" t="s">
        <v>494</v>
      </c>
      <c r="B34" s="62"/>
      <c r="C34" s="139"/>
      <c r="D34" s="28">
        <f t="shared" si="0"/>
        <v>0</v>
      </c>
      <c r="E34" s="140"/>
      <c r="F34" s="141"/>
      <c r="G34" s="41">
        <v>11.71</v>
      </c>
      <c r="H34" s="42"/>
      <c r="I34" s="18"/>
      <c r="J34" s="18"/>
      <c r="K34" s="18"/>
      <c r="L34" s="18"/>
    </row>
    <row r="35" spans="1:12" s="19" customFormat="1" ht="13.5" thickBot="1">
      <c r="A35" s="43" t="s">
        <v>38</v>
      </c>
      <c r="B35" s="44">
        <f>416.69+3341.92+191.55</f>
        <v>3950.1600000000003</v>
      </c>
      <c r="C35" s="44">
        <f>316.69+193.12+181.14</f>
        <v>690.95</v>
      </c>
      <c r="D35" s="45">
        <f t="shared" si="0"/>
        <v>3259.21</v>
      </c>
      <c r="E35" s="46"/>
      <c r="F35" s="46"/>
      <c r="G35" s="125"/>
      <c r="H35" s="18"/>
      <c r="I35" s="18"/>
      <c r="J35" s="18"/>
      <c r="K35" s="18"/>
      <c r="L35" s="18"/>
    </row>
    <row r="36" spans="1:12" s="19" customFormat="1" ht="30.75" thickBot="1">
      <c r="A36" s="47" t="s">
        <v>39</v>
      </c>
      <c r="B36" s="2" t="s">
        <v>1</v>
      </c>
      <c r="C36" s="48" t="s">
        <v>10</v>
      </c>
      <c r="D36" s="4" t="s">
        <v>11</v>
      </c>
      <c r="E36" s="2" t="s">
        <v>4</v>
      </c>
      <c r="F36" s="2" t="s">
        <v>12</v>
      </c>
      <c r="G36" s="6" t="s">
        <v>13</v>
      </c>
      <c r="H36" s="49"/>
    </row>
    <row r="37" spans="1:12" s="19" customFormat="1" ht="15.75" thickBot="1">
      <c r="A37" s="9" t="s">
        <v>40</v>
      </c>
      <c r="B37" s="50">
        <f>1183.8</f>
        <v>1183.8</v>
      </c>
      <c r="C37" s="51">
        <v>1015.4</v>
      </c>
      <c r="D37" s="52">
        <f>B37-C37</f>
        <v>168.39999999999998</v>
      </c>
      <c r="E37" s="53"/>
      <c r="F37" s="54"/>
      <c r="G37" s="55">
        <v>31.62</v>
      </c>
      <c r="H37" s="18"/>
      <c r="I37" s="18"/>
      <c r="J37" s="18"/>
      <c r="K37" s="18"/>
      <c r="L37" s="18"/>
    </row>
    <row r="38" spans="1:12" s="19" customFormat="1" ht="30.75" thickBot="1">
      <c r="A38" s="47" t="s">
        <v>41</v>
      </c>
      <c r="B38" s="2" t="s">
        <v>1</v>
      </c>
      <c r="C38" s="48" t="s">
        <v>10</v>
      </c>
      <c r="D38" s="4" t="s">
        <v>11</v>
      </c>
      <c r="E38" s="2" t="s">
        <v>4</v>
      </c>
      <c r="F38" s="2" t="s">
        <v>12</v>
      </c>
      <c r="G38" s="6" t="s">
        <v>13</v>
      </c>
      <c r="H38" s="49"/>
    </row>
    <row r="39" spans="1:12" s="19" customFormat="1" ht="15">
      <c r="A39" s="9" t="s">
        <v>42</v>
      </c>
      <c r="B39" s="10">
        <f>85.4+204.37</f>
        <v>289.77</v>
      </c>
      <c r="C39" s="56">
        <f>85.4+184</f>
        <v>269.39999999999998</v>
      </c>
      <c r="D39" s="57">
        <f>B39-C39</f>
        <v>20.370000000000005</v>
      </c>
      <c r="E39" s="58"/>
      <c r="F39" s="21"/>
      <c r="G39" s="126">
        <v>82.4</v>
      </c>
      <c r="H39" s="18"/>
      <c r="I39" s="18"/>
      <c r="J39" s="18"/>
      <c r="K39" s="18"/>
      <c r="L39" s="18"/>
    </row>
    <row r="40" spans="1:12" s="19" customFormat="1" ht="17.25" customHeight="1">
      <c r="A40" s="31" t="s">
        <v>43</v>
      </c>
      <c r="B40" s="32">
        <f>324.1+566.52+161.01</f>
        <v>1051.6300000000001</v>
      </c>
      <c r="C40" s="59">
        <f>283.7+63.54+516.03+161.01</f>
        <v>1024.28</v>
      </c>
      <c r="D40" s="35">
        <f>B40-C40</f>
        <v>27.350000000000136</v>
      </c>
      <c r="E40" s="39"/>
      <c r="F40" s="32"/>
      <c r="G40" s="34">
        <v>586.09</v>
      </c>
      <c r="H40" s="18"/>
      <c r="I40" s="18"/>
      <c r="J40" s="18"/>
      <c r="K40" s="18"/>
      <c r="L40" s="18"/>
    </row>
    <row r="41" spans="1:12" s="19" customFormat="1">
      <c r="A41" s="38" t="s">
        <v>45</v>
      </c>
      <c r="B41" s="44">
        <f>56.4+4309.34+499.01+391.34</f>
        <v>5256.09</v>
      </c>
      <c r="C41" s="44">
        <f>56.4+377+499.01+391.34</f>
        <v>1323.75</v>
      </c>
      <c r="D41" s="45">
        <f>B41-C41</f>
        <v>3932.34</v>
      </c>
      <c r="E41" s="61"/>
      <c r="F41" s="62"/>
      <c r="G41" s="125"/>
      <c r="K41" s="18"/>
      <c r="L41" s="18"/>
    </row>
    <row r="42" spans="1:12" s="19" customFormat="1">
      <c r="A42" s="38" t="s">
        <v>46</v>
      </c>
      <c r="B42" s="39">
        <f>186.52+155.46+34.83+114.13+3173.8+14.1+4.05</f>
        <v>3682.8900000000003</v>
      </c>
      <c r="C42" s="35">
        <f>188.53+272.44-116.98+20.74+14.09+19.46+94.67+3183.5+30.54-16.44</f>
        <v>3690.5499999999997</v>
      </c>
      <c r="D42" s="35">
        <f>B42-C42</f>
        <v>-7.6599999999993997</v>
      </c>
      <c r="E42" s="61"/>
      <c r="F42" s="62"/>
      <c r="G42" s="129">
        <v>527.13</v>
      </c>
      <c r="K42" s="18"/>
      <c r="L42" s="18"/>
    </row>
    <row r="43" spans="1:12" s="19" customFormat="1" ht="13.5" thickBot="1">
      <c r="A43" s="43" t="s">
        <v>387</v>
      </c>
      <c r="B43" s="64">
        <f>234.82+40.71+290.85</f>
        <v>566.38</v>
      </c>
      <c r="C43" s="65">
        <v>0</v>
      </c>
      <c r="D43" s="64">
        <f>B43</f>
        <v>566.38</v>
      </c>
      <c r="E43" s="66"/>
      <c r="F43" s="67"/>
      <c r="G43" s="138"/>
      <c r="K43" s="18"/>
      <c r="L43" s="18"/>
    </row>
    <row r="44" spans="1:12" ht="34.5" customHeight="1" thickBot="1">
      <c r="A44" s="47" t="s">
        <v>48</v>
      </c>
      <c r="B44" s="2" t="s">
        <v>1</v>
      </c>
      <c r="C44" s="48" t="s">
        <v>10</v>
      </c>
      <c r="D44" s="4" t="s">
        <v>11</v>
      </c>
      <c r="E44" s="2" t="s">
        <v>4</v>
      </c>
      <c r="F44" s="5" t="s">
        <v>5</v>
      </c>
      <c r="G44" s="68"/>
      <c r="H44" s="18"/>
      <c r="I44" s="18"/>
      <c r="J44" s="18"/>
      <c r="K44" s="18"/>
      <c r="L44" s="18"/>
    </row>
    <row r="45" spans="1:12" ht="19.5" customHeight="1" thickBot="1">
      <c r="A45" s="9" t="s">
        <v>49</v>
      </c>
      <c r="B45" s="69"/>
      <c r="C45" s="69"/>
      <c r="D45" s="70">
        <f>B45-C45</f>
        <v>0</v>
      </c>
      <c r="E45" s="71"/>
      <c r="F45" s="72"/>
      <c r="G45" s="68"/>
    </row>
    <row r="46" spans="1:12" ht="19.5" customHeight="1" thickBot="1">
      <c r="A46" s="47" t="s">
        <v>50</v>
      </c>
      <c r="B46" s="73" t="s">
        <v>51</v>
      </c>
      <c r="C46" s="68"/>
      <c r="D46" s="68"/>
      <c r="E46" s="68"/>
      <c r="F46" s="68"/>
      <c r="G46" s="68"/>
      <c r="H46" s="18"/>
      <c r="I46" s="18"/>
      <c r="J46" s="18"/>
      <c r="K46" s="18"/>
      <c r="L46" s="18"/>
    </row>
    <row r="47" spans="1:12" ht="30" customHeight="1">
      <c r="A47" s="74" t="s">
        <v>572</v>
      </c>
      <c r="B47" s="75">
        <v>0</v>
      </c>
      <c r="C47" s="68"/>
      <c r="D47" s="68"/>
      <c r="E47" s="68"/>
      <c r="F47" s="68"/>
      <c r="G47" s="68"/>
    </row>
    <row r="48" spans="1:12" ht="15">
      <c r="A48" s="76" t="s">
        <v>53</v>
      </c>
      <c r="B48" s="77">
        <v>0</v>
      </c>
      <c r="C48" s="68"/>
      <c r="D48" s="68"/>
      <c r="E48" s="68"/>
      <c r="F48" s="68"/>
      <c r="G48" s="68"/>
    </row>
    <row r="49" spans="1:12" ht="15">
      <c r="A49" s="76" t="s">
        <v>54</v>
      </c>
      <c r="B49" s="77"/>
      <c r="C49" s="68"/>
      <c r="D49" s="68"/>
      <c r="E49" s="68"/>
      <c r="F49" s="68"/>
      <c r="G49" s="68"/>
    </row>
    <row r="50" spans="1:12" ht="15">
      <c r="A50" s="76" t="s">
        <v>55</v>
      </c>
      <c r="B50" s="77">
        <v>0.97</v>
      </c>
      <c r="C50" s="68"/>
      <c r="D50" s="68"/>
      <c r="E50" s="68"/>
      <c r="F50" s="68"/>
      <c r="G50" s="68"/>
    </row>
    <row r="51" spans="1:12" ht="15">
      <c r="A51" s="31" t="s">
        <v>56</v>
      </c>
      <c r="B51" s="77"/>
      <c r="C51" s="68"/>
      <c r="D51" s="68"/>
      <c r="E51" s="68"/>
      <c r="F51" s="68"/>
      <c r="G51" s="68"/>
    </row>
    <row r="52" spans="1:12" ht="15">
      <c r="A52" s="31" t="s">
        <v>188</v>
      </c>
      <c r="B52" s="77">
        <v>0.2</v>
      </c>
      <c r="C52" s="68"/>
      <c r="D52" s="68"/>
      <c r="E52" s="68"/>
      <c r="F52" s="68"/>
      <c r="G52" s="68"/>
    </row>
    <row r="53" spans="1:12" ht="25.5">
      <c r="A53" s="78" t="s">
        <v>586</v>
      </c>
      <c r="B53" s="77">
        <v>0</v>
      </c>
      <c r="C53" s="68"/>
      <c r="D53" s="68"/>
      <c r="E53" s="68"/>
      <c r="F53" s="68"/>
      <c r="G53" s="68"/>
    </row>
    <row r="54" spans="1:12" ht="25.5">
      <c r="A54" s="78" t="s">
        <v>58</v>
      </c>
      <c r="B54" s="77"/>
      <c r="C54" s="68"/>
      <c r="D54" s="68"/>
      <c r="E54" s="68"/>
      <c r="F54" s="68"/>
      <c r="G54" s="68"/>
    </row>
    <row r="55" spans="1:12" ht="25.5">
      <c r="A55" s="78" t="s">
        <v>478</v>
      </c>
      <c r="B55" s="77">
        <v>0.09</v>
      </c>
      <c r="C55" s="68"/>
      <c r="D55" s="68"/>
      <c r="E55" s="68"/>
      <c r="F55" s="68"/>
      <c r="G55" s="68"/>
    </row>
    <row r="56" spans="1:12" ht="15">
      <c r="A56" s="26" t="s">
        <v>60</v>
      </c>
      <c r="B56" s="77"/>
      <c r="C56" s="68"/>
      <c r="D56" s="68"/>
      <c r="E56" s="68"/>
      <c r="F56" s="68"/>
      <c r="G56" s="68"/>
    </row>
    <row r="57" spans="1:12" ht="14.25" customHeight="1">
      <c r="A57" s="76" t="s">
        <v>61</v>
      </c>
      <c r="B57" s="77"/>
      <c r="C57" s="144" t="s">
        <v>590</v>
      </c>
      <c r="D57" s="68"/>
      <c r="E57" s="68"/>
      <c r="F57" s="68"/>
      <c r="G57" s="68"/>
    </row>
    <row r="58" spans="1:12" ht="26.25" customHeight="1">
      <c r="A58" s="76" t="s">
        <v>62</v>
      </c>
      <c r="B58" s="77"/>
      <c r="C58" s="144" t="s">
        <v>590</v>
      </c>
      <c r="D58" s="68"/>
      <c r="E58" s="68"/>
      <c r="F58" s="68"/>
      <c r="G58" s="68"/>
    </row>
    <row r="59" spans="1:12" ht="33" customHeight="1">
      <c r="A59" s="76" t="s">
        <v>63</v>
      </c>
      <c r="B59" s="77">
        <v>0</v>
      </c>
      <c r="C59" s="68"/>
      <c r="D59" s="68"/>
      <c r="E59" s="68"/>
      <c r="F59" s="68"/>
      <c r="G59" s="68"/>
      <c r="J59" s="18"/>
      <c r="K59" s="18"/>
      <c r="L59" s="18"/>
    </row>
    <row r="60" spans="1:12" ht="32.25" customHeight="1">
      <c r="A60" s="76" t="s">
        <v>64</v>
      </c>
      <c r="B60" s="77"/>
      <c r="C60" s="68"/>
      <c r="D60" s="68"/>
      <c r="E60" s="68"/>
      <c r="F60" s="68"/>
      <c r="G60" s="68"/>
    </row>
    <row r="61" spans="1:12" ht="31.5" customHeight="1">
      <c r="A61" s="76" t="s">
        <v>65</v>
      </c>
      <c r="B61" s="77"/>
      <c r="C61" s="68"/>
      <c r="D61" s="68"/>
      <c r="E61" s="68"/>
      <c r="F61" s="68"/>
      <c r="G61" s="68"/>
    </row>
    <row r="62" spans="1:12" s="19" customFormat="1" ht="15">
      <c r="A62" s="76" t="s">
        <v>66</v>
      </c>
      <c r="B62" s="77"/>
      <c r="C62" s="144" t="s">
        <v>589</v>
      </c>
      <c r="D62" s="68"/>
      <c r="E62" s="68"/>
      <c r="F62" s="68"/>
      <c r="G62" s="68"/>
      <c r="H62" s="8"/>
      <c r="I62" s="8"/>
      <c r="J62" s="18"/>
      <c r="K62" s="18"/>
      <c r="L62" s="18"/>
    </row>
    <row r="63" spans="1:12" s="19" customFormat="1" ht="15">
      <c r="A63" s="76" t="s">
        <v>67</v>
      </c>
      <c r="B63" s="77"/>
      <c r="C63" s="68"/>
      <c r="D63" s="68"/>
      <c r="E63" s="68"/>
      <c r="F63" s="68"/>
      <c r="G63" s="68"/>
      <c r="H63" s="8"/>
      <c r="I63" s="8"/>
      <c r="J63" s="18"/>
      <c r="K63" s="18"/>
      <c r="L63" s="18"/>
    </row>
    <row r="64" spans="1:12" s="19" customFormat="1" ht="15">
      <c r="A64" s="76" t="s">
        <v>68</v>
      </c>
      <c r="B64" s="77"/>
      <c r="C64" s="68"/>
      <c r="D64" s="68"/>
      <c r="E64" s="68"/>
      <c r="F64" s="68"/>
      <c r="G64" s="68"/>
      <c r="H64" s="8"/>
      <c r="I64" s="8"/>
      <c r="J64" s="18"/>
      <c r="K64" s="18"/>
      <c r="L64" s="18"/>
    </row>
    <row r="65" spans="1:12" s="19" customFormat="1" ht="15">
      <c r="A65" s="76" t="s">
        <v>69</v>
      </c>
      <c r="B65" s="77"/>
      <c r="C65" s="144" t="s">
        <v>590</v>
      </c>
      <c r="D65" s="68"/>
      <c r="E65" s="68"/>
      <c r="F65" s="68"/>
      <c r="G65" s="68"/>
      <c r="H65" s="8"/>
      <c r="I65" s="8"/>
      <c r="J65" s="18"/>
      <c r="K65" s="18"/>
      <c r="L65" s="18"/>
    </row>
    <row r="66" spans="1:12" s="19" customFormat="1" ht="15">
      <c r="A66" s="78" t="s">
        <v>70</v>
      </c>
      <c r="B66" s="77"/>
      <c r="C66" s="68"/>
      <c r="D66" s="68"/>
      <c r="E66" s="68"/>
      <c r="F66" s="68"/>
      <c r="G66" s="68"/>
      <c r="H66" s="8"/>
      <c r="I66" s="8"/>
      <c r="J66" s="18"/>
      <c r="K66" s="18"/>
      <c r="L66" s="18"/>
    </row>
    <row r="67" spans="1:12" s="19" customFormat="1" ht="25.5">
      <c r="A67" s="78" t="s">
        <v>71</v>
      </c>
      <c r="B67" s="77"/>
      <c r="C67" s="144" t="s">
        <v>590</v>
      </c>
      <c r="D67" s="68"/>
      <c r="E67" s="68"/>
      <c r="F67" s="68"/>
      <c r="G67" s="68"/>
      <c r="H67" s="8"/>
      <c r="I67" s="8"/>
      <c r="J67" s="18"/>
      <c r="K67" s="18"/>
      <c r="L67" s="18"/>
    </row>
    <row r="68" spans="1:12" ht="15">
      <c r="A68" s="79" t="s">
        <v>72</v>
      </c>
      <c r="B68" s="77"/>
      <c r="C68" s="144" t="s">
        <v>590</v>
      </c>
      <c r="D68" s="68"/>
      <c r="E68" s="68"/>
      <c r="F68" s="68"/>
      <c r="G68" s="68"/>
    </row>
    <row r="69" spans="1:12" ht="15">
      <c r="A69" s="38" t="s">
        <v>73</v>
      </c>
      <c r="B69" s="77"/>
      <c r="C69" s="68"/>
      <c r="D69" s="68"/>
      <c r="E69" s="68"/>
      <c r="F69" s="68"/>
      <c r="G69" s="68"/>
    </row>
    <row r="70" spans="1:12" ht="15">
      <c r="A70" s="78" t="s">
        <v>74</v>
      </c>
      <c r="B70" s="77">
        <v>0</v>
      </c>
      <c r="C70" s="68"/>
      <c r="D70" s="68"/>
      <c r="E70" s="68"/>
      <c r="F70" s="68"/>
      <c r="G70" s="68"/>
    </row>
    <row r="71" spans="1:12" ht="15">
      <c r="A71" s="78" t="s">
        <v>75</v>
      </c>
      <c r="B71" s="77">
        <v>0</v>
      </c>
      <c r="C71" s="68"/>
      <c r="D71" s="68"/>
      <c r="E71" s="68"/>
      <c r="F71" s="68"/>
      <c r="G71" s="68"/>
    </row>
    <row r="72" spans="1:12" s="19" customFormat="1" ht="15">
      <c r="A72" s="78" t="s">
        <v>680</v>
      </c>
      <c r="B72" s="77">
        <v>0</v>
      </c>
      <c r="C72" s="68"/>
      <c r="D72" s="68"/>
      <c r="E72" s="68"/>
      <c r="F72" s="68"/>
      <c r="G72" s="68"/>
      <c r="H72" s="18"/>
      <c r="I72" s="18"/>
      <c r="J72" s="8"/>
      <c r="K72" s="8"/>
      <c r="L72" s="8"/>
    </row>
    <row r="73" spans="1:12" ht="15">
      <c r="A73" s="78" t="s">
        <v>77</v>
      </c>
      <c r="B73" s="77">
        <v>0</v>
      </c>
      <c r="C73" s="68"/>
      <c r="D73" s="68"/>
      <c r="E73" s="68"/>
      <c r="F73" s="68"/>
      <c r="G73" s="68"/>
      <c r="H73" s="18"/>
      <c r="I73" s="18"/>
    </row>
    <row r="74" spans="1:12" ht="15">
      <c r="A74" s="78" t="s">
        <v>78</v>
      </c>
      <c r="B74" s="77">
        <v>11.67</v>
      </c>
      <c r="C74" s="68"/>
      <c r="D74" s="68"/>
      <c r="E74" s="68"/>
      <c r="F74" s="68"/>
      <c r="G74" s="68"/>
    </row>
    <row r="75" spans="1:12" ht="25.5">
      <c r="A75" s="78" t="s">
        <v>679</v>
      </c>
      <c r="B75" s="77">
        <v>11.57</v>
      </c>
      <c r="C75" s="68"/>
      <c r="D75" s="68"/>
      <c r="E75" s="68"/>
      <c r="F75" s="68"/>
      <c r="G75" s="68"/>
    </row>
    <row r="76" spans="1:12" ht="15">
      <c r="A76" s="78" t="s">
        <v>80</v>
      </c>
      <c r="B76" s="77">
        <v>18.329999999999998</v>
      </c>
      <c r="C76" s="68"/>
      <c r="D76" s="68"/>
      <c r="E76" s="68"/>
      <c r="F76" s="68"/>
      <c r="G76" s="68"/>
    </row>
    <row r="77" spans="1:12" ht="15">
      <c r="A77" s="78" t="s">
        <v>574</v>
      </c>
      <c r="B77" s="77">
        <v>0</v>
      </c>
      <c r="C77" s="80"/>
      <c r="D77" s="81"/>
      <c r="E77" s="82"/>
      <c r="F77" s="82"/>
    </row>
    <row r="78" spans="1:12" ht="15">
      <c r="A78" s="78" t="s">
        <v>575</v>
      </c>
      <c r="B78" s="77">
        <v>0</v>
      </c>
      <c r="C78" s="80"/>
      <c r="D78" s="81"/>
      <c r="E78" s="82"/>
      <c r="F78" s="82"/>
    </row>
    <row r="79" spans="1:12" ht="15">
      <c r="A79" s="78" t="s">
        <v>83</v>
      </c>
      <c r="B79" s="77"/>
      <c r="C79" s="144" t="s">
        <v>590</v>
      </c>
      <c r="D79" s="81"/>
      <c r="E79" s="82"/>
      <c r="F79" s="82"/>
    </row>
    <row r="80" spans="1:12" ht="15">
      <c r="A80" s="78" t="s">
        <v>681</v>
      </c>
      <c r="B80" s="77">
        <v>0</v>
      </c>
      <c r="C80" s="80"/>
      <c r="D80" s="81"/>
      <c r="E80" s="82"/>
      <c r="F80" s="82"/>
    </row>
    <row r="81" spans="1:6" ht="15">
      <c r="A81" s="78" t="s">
        <v>85</v>
      </c>
      <c r="B81" s="77"/>
      <c r="C81" s="80"/>
      <c r="D81" s="81"/>
      <c r="E81" s="82"/>
      <c r="F81" s="82"/>
    </row>
    <row r="82" spans="1:6" ht="15">
      <c r="A82" s="78" t="s">
        <v>86</v>
      </c>
      <c r="B82" s="77"/>
      <c r="C82" s="80"/>
      <c r="D82" s="81"/>
      <c r="E82" s="82"/>
      <c r="F82" s="82"/>
    </row>
    <row r="83" spans="1:6" ht="15">
      <c r="A83" s="78" t="s">
        <v>87</v>
      </c>
      <c r="B83" s="77"/>
      <c r="C83" s="80"/>
      <c r="D83" s="81"/>
      <c r="E83" s="82"/>
      <c r="F83" s="82"/>
    </row>
    <row r="84" spans="1:6" ht="25.5">
      <c r="A84" s="78" t="s">
        <v>88</v>
      </c>
      <c r="B84" s="77"/>
      <c r="C84" s="80"/>
      <c r="D84" s="81"/>
      <c r="E84" s="82"/>
      <c r="F84" s="82"/>
    </row>
    <row r="85" spans="1:6" ht="25.5">
      <c r="A85" s="78" t="s">
        <v>89</v>
      </c>
      <c r="B85" s="77"/>
      <c r="C85" s="80"/>
      <c r="D85" s="81"/>
      <c r="E85" s="82"/>
      <c r="F85" s="82"/>
    </row>
    <row r="86" spans="1:6" ht="25.5">
      <c r="A86" s="78" t="s">
        <v>90</v>
      </c>
      <c r="B86" s="77"/>
      <c r="C86" s="80"/>
      <c r="D86" s="81"/>
      <c r="E86" s="82"/>
      <c r="F86" s="82"/>
    </row>
    <row r="87" spans="1:6" ht="15">
      <c r="A87" s="78" t="s">
        <v>91</v>
      </c>
      <c r="B87" s="77"/>
      <c r="C87" s="80"/>
      <c r="D87" s="81"/>
      <c r="E87" s="82"/>
      <c r="F87" s="82"/>
    </row>
    <row r="88" spans="1:6" ht="15">
      <c r="A88" s="78" t="s">
        <v>92</v>
      </c>
      <c r="B88" s="77">
        <v>0</v>
      </c>
      <c r="C88" s="80"/>
      <c r="D88" s="81"/>
      <c r="E88" s="82"/>
      <c r="F88" s="82"/>
    </row>
    <row r="89" spans="1:6" ht="15">
      <c r="A89" s="84" t="s">
        <v>93</v>
      </c>
      <c r="B89" s="77"/>
      <c r="C89" s="80"/>
      <c r="D89" s="81"/>
      <c r="E89" s="82"/>
      <c r="F89" s="82"/>
    </row>
    <row r="90" spans="1:6" ht="15">
      <c r="A90" s="84" t="s">
        <v>94</v>
      </c>
      <c r="B90" s="77">
        <v>4.63</v>
      </c>
      <c r="C90" s="80"/>
      <c r="D90" s="81"/>
      <c r="E90" s="82"/>
      <c r="F90" s="82"/>
    </row>
    <row r="91" spans="1:6" ht="15">
      <c r="A91" s="84" t="s">
        <v>95</v>
      </c>
      <c r="B91" s="77"/>
      <c r="C91" s="80"/>
      <c r="D91" s="81"/>
      <c r="E91" s="82"/>
      <c r="F91" s="82"/>
    </row>
    <row r="92" spans="1:6" ht="15">
      <c r="A92" s="84" t="s">
        <v>96</v>
      </c>
      <c r="B92" s="77">
        <v>0.38</v>
      </c>
      <c r="C92" s="80"/>
      <c r="D92" s="81"/>
      <c r="E92" s="82"/>
      <c r="F92" s="82"/>
    </row>
    <row r="93" spans="1:6" ht="15">
      <c r="A93" s="84" t="s">
        <v>97</v>
      </c>
      <c r="B93" s="77"/>
      <c r="C93" s="80"/>
      <c r="D93" s="81"/>
      <c r="E93" s="82"/>
      <c r="F93" s="82"/>
    </row>
    <row r="94" spans="1:6" ht="15">
      <c r="A94" s="84" t="s">
        <v>804</v>
      </c>
      <c r="B94" s="122">
        <v>42.15</v>
      </c>
      <c r="C94" s="80"/>
      <c r="D94" s="81"/>
      <c r="E94" s="82"/>
      <c r="F94" s="82"/>
    </row>
    <row r="95" spans="1:6" ht="26.25" thickBot="1">
      <c r="A95" s="85" t="s">
        <v>98</v>
      </c>
      <c r="B95" s="87"/>
      <c r="C95" s="80"/>
      <c r="D95" s="81"/>
      <c r="E95" s="82"/>
      <c r="F95" s="82"/>
    </row>
    <row r="96" spans="1:6" ht="26.25" thickBot="1">
      <c r="A96" s="86" t="s">
        <v>99</v>
      </c>
      <c r="B96" s="89">
        <v>0.49</v>
      </c>
      <c r="C96" s="80"/>
      <c r="D96" s="81"/>
      <c r="E96" s="82"/>
      <c r="F96" s="82"/>
    </row>
    <row r="97" spans="1:12" s="19" customFormat="1" ht="15.75" thickBot="1">
      <c r="A97" s="90" t="s">
        <v>100</v>
      </c>
      <c r="B97" s="91">
        <f>SUM(B2:B45)</f>
        <v>28062.97</v>
      </c>
      <c r="C97" s="92"/>
      <c r="D97" s="93"/>
      <c r="E97" s="68"/>
      <c r="F97" s="68"/>
      <c r="G97" s="93"/>
      <c r="H97" s="18"/>
      <c r="I97" s="18"/>
      <c r="J97" s="18"/>
      <c r="K97" s="18"/>
      <c r="L97" s="18"/>
    </row>
    <row r="98" spans="1:12" s="19" customFormat="1" ht="15.75" thickBot="1">
      <c r="A98" s="94" t="s">
        <v>101</v>
      </c>
      <c r="B98" s="95">
        <f>SUM(G2:G43)</f>
        <v>2286.4300000000003</v>
      </c>
      <c r="C98" s="93"/>
      <c r="D98" s="93"/>
      <c r="E98" s="68"/>
      <c r="F98" s="68"/>
      <c r="G98" s="96"/>
      <c r="H98" s="18"/>
      <c r="I98" s="18"/>
      <c r="J98" s="18"/>
      <c r="K98" s="18"/>
      <c r="L98" s="18"/>
    </row>
    <row r="99" spans="1:12" ht="15.75" thickBot="1">
      <c r="A99" s="97" t="s">
        <v>102</v>
      </c>
      <c r="B99" s="91">
        <f>SUM(B47:B95)</f>
        <v>89.990000000000009</v>
      </c>
      <c r="C99" s="80"/>
      <c r="D99" s="81"/>
      <c r="E99" s="82"/>
      <c r="F99" s="82"/>
    </row>
    <row r="100" spans="1:12" ht="15.75" thickBot="1">
      <c r="A100" s="98" t="s">
        <v>103</v>
      </c>
      <c r="B100" s="91">
        <f>B97+B98+B99</f>
        <v>30439.390000000003</v>
      </c>
      <c r="C100" s="80"/>
      <c r="D100" s="81"/>
    </row>
    <row r="101" spans="1:12">
      <c r="B101" s="80"/>
      <c r="C101" s="80"/>
      <c r="D101" s="81"/>
    </row>
    <row r="102" spans="1:12">
      <c r="B102" s="80"/>
      <c r="C102" s="80"/>
      <c r="D102" s="81"/>
    </row>
    <row r="103" spans="1:12">
      <c r="B103" s="80"/>
      <c r="C103" s="80"/>
      <c r="D103" s="80"/>
    </row>
    <row r="104" spans="1:12">
      <c r="B104" s="80"/>
      <c r="C104" s="80"/>
      <c r="D104" s="80"/>
    </row>
    <row r="105" spans="1:12">
      <c r="B105" s="80"/>
      <c r="C105" s="80"/>
      <c r="D105" s="80"/>
    </row>
    <row r="106" spans="1:12">
      <c r="B106" s="80"/>
      <c r="C106" s="80"/>
      <c r="D106" s="80"/>
    </row>
    <row r="107" spans="1:12" s="80" customFormat="1">
      <c r="A107" s="8"/>
      <c r="G107" s="83"/>
      <c r="H107" s="8"/>
      <c r="I107" s="8"/>
      <c r="J107" s="8"/>
      <c r="K107" s="8"/>
      <c r="L107" s="8"/>
    </row>
    <row r="108" spans="1:12" s="80" customFormat="1">
      <c r="A108" s="8"/>
      <c r="G108" s="83"/>
      <c r="H108" s="8"/>
      <c r="I108" s="8"/>
      <c r="J108" s="8"/>
      <c r="K108" s="8"/>
      <c r="L108" s="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108"/>
  <sheetViews>
    <sheetView topLeftCell="A10" workbookViewId="0">
      <selection activeCell="B43" sqref="B43"/>
    </sheetView>
  </sheetViews>
  <sheetFormatPr defaultColWidth="19.7109375" defaultRowHeight="12.75"/>
  <cols>
    <col min="1" max="1" width="31.5703125" style="8" customWidth="1"/>
    <col min="2" max="2" width="22.7109375" style="8" customWidth="1"/>
    <col min="3" max="3" width="22" style="8" customWidth="1"/>
    <col min="4" max="4" width="22.140625" style="8" customWidth="1"/>
    <col min="5" max="5" width="21.7109375" style="80" customWidth="1"/>
    <col min="6" max="6" width="24.85546875" style="80" customWidth="1"/>
    <col min="7" max="7" width="24.28515625" style="83" customWidth="1"/>
    <col min="8" max="16384" width="19.7109375" style="8"/>
  </cols>
  <sheetData>
    <row r="1" spans="1:12" ht="30.75" thickBo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6" t="s">
        <v>6</v>
      </c>
      <c r="H1" s="7"/>
    </row>
    <row r="2" spans="1:12">
      <c r="A2" s="9" t="s">
        <v>7</v>
      </c>
      <c r="B2" s="10">
        <f>41.56+4844.78</f>
        <v>4886.34</v>
      </c>
      <c r="C2" s="10">
        <f>4783.58+41.56</f>
        <v>4825.1400000000003</v>
      </c>
      <c r="D2" s="11">
        <f>B2-C2</f>
        <v>61.199999999999818</v>
      </c>
      <c r="E2" s="12"/>
      <c r="F2" s="10"/>
      <c r="G2" s="13">
        <v>11.22</v>
      </c>
    </row>
    <row r="3" spans="1:12" s="19" customFormat="1" ht="13.5" thickBot="1">
      <c r="A3" s="14" t="s">
        <v>8</v>
      </c>
      <c r="B3" s="15"/>
      <c r="C3" s="15"/>
      <c r="D3" s="16">
        <f>B3-C3</f>
        <v>0</v>
      </c>
      <c r="E3" s="15"/>
      <c r="F3" s="15"/>
      <c r="G3" s="17">
        <v>164.78</v>
      </c>
      <c r="H3" s="18"/>
      <c r="I3" s="18"/>
      <c r="J3" s="18"/>
      <c r="K3" s="18"/>
      <c r="L3" s="18"/>
    </row>
    <row r="4" spans="1:12" ht="30">
      <c r="A4" s="20" t="s">
        <v>9</v>
      </c>
      <c r="B4" s="21" t="s">
        <v>1</v>
      </c>
      <c r="C4" s="22" t="s">
        <v>10</v>
      </c>
      <c r="D4" s="23" t="s">
        <v>11</v>
      </c>
      <c r="E4" s="21" t="s">
        <v>4</v>
      </c>
      <c r="F4" s="21" t="s">
        <v>12</v>
      </c>
      <c r="G4" s="24" t="s">
        <v>13</v>
      </c>
      <c r="H4" s="25"/>
    </row>
    <row r="5" spans="1:12" s="19" customFormat="1">
      <c r="A5" s="26" t="s">
        <v>14</v>
      </c>
      <c r="B5" s="27"/>
      <c r="C5" s="28"/>
      <c r="D5" s="28">
        <f t="shared" ref="D5:D35" si="0">B5-C5</f>
        <v>0</v>
      </c>
      <c r="E5" s="28"/>
      <c r="F5" s="29"/>
      <c r="G5" s="30">
        <v>8.98</v>
      </c>
      <c r="H5" s="18"/>
      <c r="I5" s="18"/>
      <c r="J5" s="18"/>
      <c r="K5" s="18"/>
      <c r="L5" s="18"/>
    </row>
    <row r="6" spans="1:12" s="19" customFormat="1">
      <c r="A6" s="26" t="s">
        <v>15</v>
      </c>
      <c r="B6" s="27"/>
      <c r="C6" s="28"/>
      <c r="D6" s="28">
        <f>B6-C6</f>
        <v>0</v>
      </c>
      <c r="E6" s="28"/>
      <c r="F6" s="29"/>
      <c r="G6" s="30"/>
      <c r="H6" s="18"/>
      <c r="I6" s="18"/>
      <c r="J6" s="18"/>
      <c r="K6" s="18"/>
      <c r="L6" s="18"/>
    </row>
    <row r="7" spans="1:12" s="19" customFormat="1" ht="13.5" customHeight="1">
      <c r="A7" s="31" t="s">
        <v>16</v>
      </c>
      <c r="B7" s="32"/>
      <c r="C7" s="28"/>
      <c r="D7" s="28">
        <f t="shared" ref="D7" si="1">B7-C7</f>
        <v>0</v>
      </c>
      <c r="E7" s="28"/>
      <c r="F7" s="29"/>
      <c r="G7" s="33">
        <v>23.75</v>
      </c>
      <c r="H7" s="18"/>
      <c r="I7" s="18"/>
      <c r="J7" s="18"/>
      <c r="K7" s="18"/>
      <c r="L7" s="18"/>
    </row>
    <row r="8" spans="1:12" s="19" customFormat="1">
      <c r="A8" s="31" t="s">
        <v>17</v>
      </c>
      <c r="B8" s="32"/>
      <c r="C8" s="28"/>
      <c r="D8" s="28">
        <f t="shared" si="0"/>
        <v>0</v>
      </c>
      <c r="E8" s="28"/>
      <c r="F8" s="29"/>
      <c r="G8" s="33">
        <v>0.49</v>
      </c>
      <c r="H8" s="18"/>
      <c r="I8" s="18"/>
      <c r="J8" s="18"/>
      <c r="K8" s="18"/>
      <c r="L8" s="18"/>
    </row>
    <row r="9" spans="1:12" s="19" customFormat="1">
      <c r="A9" s="31" t="s">
        <v>18</v>
      </c>
      <c r="B9" s="32">
        <f>11.18+357.91</f>
        <v>369.09000000000003</v>
      </c>
      <c r="C9" s="28">
        <v>0</v>
      </c>
      <c r="D9" s="28">
        <f>B9-C9</f>
        <v>369.09000000000003</v>
      </c>
      <c r="E9" s="28"/>
      <c r="F9" s="29"/>
      <c r="G9" s="33">
        <v>173.22</v>
      </c>
      <c r="H9" s="18"/>
      <c r="I9" s="18"/>
      <c r="J9" s="18"/>
      <c r="K9" s="18"/>
      <c r="L9" s="18"/>
    </row>
    <row r="10" spans="1:12" s="19" customFormat="1">
      <c r="A10" s="31" t="s">
        <v>20</v>
      </c>
      <c r="B10" s="32"/>
      <c r="C10" s="28"/>
      <c r="D10" s="28">
        <f t="shared" si="0"/>
        <v>0</v>
      </c>
      <c r="E10" s="28"/>
      <c r="F10" s="29"/>
      <c r="G10" s="33">
        <v>0.6</v>
      </c>
      <c r="H10" s="18"/>
      <c r="I10" s="18"/>
      <c r="J10" s="18"/>
      <c r="K10" s="18"/>
      <c r="L10" s="18"/>
    </row>
    <row r="11" spans="1:12" s="19" customFormat="1">
      <c r="A11" s="31" t="s">
        <v>492</v>
      </c>
      <c r="B11" s="32"/>
      <c r="C11" s="28"/>
      <c r="D11" s="28">
        <f t="shared" si="0"/>
        <v>0</v>
      </c>
      <c r="E11" s="28"/>
      <c r="F11" s="29"/>
      <c r="G11" s="33">
        <v>0</v>
      </c>
      <c r="H11" s="18"/>
      <c r="I11" s="18"/>
      <c r="J11" s="18"/>
      <c r="K11" s="18"/>
      <c r="L11" s="18"/>
    </row>
    <row r="12" spans="1:12" s="19" customFormat="1">
      <c r="A12" s="31" t="s">
        <v>21</v>
      </c>
      <c r="B12" s="32">
        <f>297.3+97.44+72.71+527.38</f>
        <v>994.82999999999993</v>
      </c>
      <c r="C12" s="28">
        <f>29.3+54.21+43.15+72.71+549.47</f>
        <v>748.84</v>
      </c>
      <c r="D12" s="28">
        <f t="shared" si="0"/>
        <v>245.9899999999999</v>
      </c>
      <c r="E12" s="28"/>
      <c r="F12" s="29"/>
      <c r="G12" s="33">
        <v>38.659999999999997</v>
      </c>
      <c r="H12" s="18"/>
      <c r="I12" s="18"/>
      <c r="J12" s="18"/>
      <c r="K12" s="18"/>
      <c r="L12" s="18"/>
    </row>
    <row r="13" spans="1:12" s="19" customFormat="1">
      <c r="A13" s="31" t="s">
        <v>488</v>
      </c>
      <c r="B13" s="32"/>
      <c r="C13" s="28"/>
      <c r="D13" s="28">
        <f t="shared" si="0"/>
        <v>0</v>
      </c>
      <c r="E13" s="28"/>
      <c r="F13" s="29"/>
      <c r="G13" s="33">
        <v>49.42</v>
      </c>
      <c r="H13" s="18"/>
      <c r="I13" s="18"/>
      <c r="J13" s="18"/>
      <c r="K13" s="18"/>
      <c r="L13" s="18"/>
    </row>
    <row r="14" spans="1:12" s="19" customFormat="1">
      <c r="A14" s="31" t="s">
        <v>22</v>
      </c>
      <c r="B14" s="32"/>
      <c r="C14" s="28"/>
      <c r="D14" s="28">
        <f t="shared" si="0"/>
        <v>0</v>
      </c>
      <c r="E14" s="28"/>
      <c r="F14" s="29"/>
      <c r="G14" s="33"/>
      <c r="H14" s="18"/>
      <c r="I14" s="18"/>
      <c r="J14" s="18"/>
      <c r="K14" s="18"/>
      <c r="L14" s="18"/>
    </row>
    <row r="15" spans="1:12" s="19" customFormat="1">
      <c r="A15" s="31" t="s">
        <v>388</v>
      </c>
      <c r="B15" s="32"/>
      <c r="C15" s="28"/>
      <c r="D15" s="28">
        <f t="shared" si="0"/>
        <v>0</v>
      </c>
      <c r="E15" s="28"/>
      <c r="F15" s="29"/>
      <c r="G15" s="33">
        <v>0</v>
      </c>
      <c r="H15" s="18"/>
      <c r="I15" s="18"/>
      <c r="J15" s="18"/>
      <c r="K15" s="18"/>
      <c r="L15" s="18"/>
    </row>
    <row r="16" spans="1:12" s="19" customFormat="1">
      <c r="A16" s="31" t="s">
        <v>495</v>
      </c>
      <c r="B16" s="32">
        <f>340.54+202.71+265.48</f>
        <v>808.73</v>
      </c>
      <c r="C16" s="28">
        <f>54.58+285.96+149.65+265.48</f>
        <v>755.67</v>
      </c>
      <c r="D16" s="28">
        <f>B16-C16</f>
        <v>53.060000000000059</v>
      </c>
      <c r="E16" s="28"/>
      <c r="F16" s="29"/>
      <c r="G16" s="33">
        <v>23.51</v>
      </c>
      <c r="H16" s="18"/>
      <c r="I16" s="18"/>
      <c r="J16" s="18"/>
      <c r="K16" s="18"/>
      <c r="L16" s="18"/>
    </row>
    <row r="17" spans="1:12" s="19" customFormat="1">
      <c r="A17" s="31" t="s">
        <v>389</v>
      </c>
      <c r="B17" s="32"/>
      <c r="C17" s="28"/>
      <c r="D17" s="28">
        <f t="shared" si="0"/>
        <v>0</v>
      </c>
      <c r="E17" s="28"/>
      <c r="F17" s="29"/>
      <c r="G17" s="33">
        <v>1.67</v>
      </c>
      <c r="H17" s="18"/>
      <c r="I17" s="18"/>
      <c r="J17" s="18"/>
      <c r="K17" s="18"/>
      <c r="L17" s="18"/>
    </row>
    <row r="18" spans="1:12" s="19" customFormat="1">
      <c r="A18" s="31" t="s">
        <v>25</v>
      </c>
      <c r="B18" s="32"/>
      <c r="C18" s="28"/>
      <c r="D18" s="28">
        <f t="shared" si="0"/>
        <v>0</v>
      </c>
      <c r="E18" s="28"/>
      <c r="F18" s="35"/>
      <c r="G18" s="33">
        <v>36.96</v>
      </c>
      <c r="H18" s="18"/>
      <c r="I18" s="18"/>
      <c r="J18" s="18"/>
      <c r="K18" s="18"/>
      <c r="L18" s="18"/>
    </row>
    <row r="19" spans="1:12" s="19" customFormat="1">
      <c r="A19" s="31" t="s">
        <v>891</v>
      </c>
      <c r="B19" s="157">
        <v>8371.02</v>
      </c>
      <c r="C19" s="158">
        <v>0</v>
      </c>
      <c r="D19" s="158">
        <f t="shared" si="0"/>
        <v>8371.02</v>
      </c>
      <c r="E19" s="28"/>
      <c r="F19" s="35"/>
      <c r="G19" s="33">
        <v>41.53</v>
      </c>
      <c r="H19" s="18"/>
      <c r="I19" s="18"/>
      <c r="J19" s="18"/>
      <c r="K19" s="18"/>
      <c r="L19" s="18"/>
    </row>
    <row r="20" spans="1:12" s="19" customFormat="1">
      <c r="A20" s="26" t="s">
        <v>26</v>
      </c>
      <c r="B20" s="27"/>
      <c r="C20" s="28"/>
      <c r="D20" s="28">
        <f t="shared" si="0"/>
        <v>0</v>
      </c>
      <c r="E20" s="28"/>
      <c r="F20" s="35"/>
      <c r="G20" s="36">
        <v>2.72</v>
      </c>
      <c r="H20" s="18"/>
      <c r="I20" s="18"/>
      <c r="J20" s="18"/>
      <c r="K20" s="18"/>
      <c r="L20" s="18"/>
    </row>
    <row r="21" spans="1:12" s="19" customFormat="1">
      <c r="A21" s="26" t="s">
        <v>27</v>
      </c>
      <c r="B21" s="27">
        <f>159.22+235.34</f>
        <v>394.56</v>
      </c>
      <c r="C21" s="28">
        <f>149.1+79.04+156.3</f>
        <v>384.44</v>
      </c>
      <c r="D21" s="28">
        <f t="shared" si="0"/>
        <v>10.120000000000005</v>
      </c>
      <c r="E21" s="28"/>
      <c r="F21" s="35"/>
      <c r="G21" s="155">
        <v>461.53</v>
      </c>
      <c r="H21" s="18"/>
      <c r="I21" s="18"/>
      <c r="J21" s="18"/>
      <c r="K21" s="18"/>
      <c r="L21" s="18"/>
    </row>
    <row r="22" spans="1:12" s="19" customFormat="1">
      <c r="A22" s="26" t="s">
        <v>28</v>
      </c>
      <c r="B22" s="27"/>
      <c r="C22" s="28"/>
      <c r="D22" s="28">
        <f t="shared" si="0"/>
        <v>0</v>
      </c>
      <c r="E22" s="28"/>
      <c r="F22" s="35"/>
      <c r="G22" s="36">
        <v>0</v>
      </c>
      <c r="H22" s="18"/>
      <c r="I22" s="18"/>
      <c r="J22" s="18"/>
      <c r="K22" s="18"/>
      <c r="L22" s="18"/>
    </row>
    <row r="23" spans="1:12" s="19" customFormat="1">
      <c r="A23" s="26" t="s">
        <v>29</v>
      </c>
      <c r="B23" s="27"/>
      <c r="C23" s="28"/>
      <c r="D23" s="28">
        <f t="shared" si="0"/>
        <v>0</v>
      </c>
      <c r="E23" s="28"/>
      <c r="F23" s="37"/>
      <c r="G23" s="36">
        <v>0.48</v>
      </c>
      <c r="H23" s="18"/>
      <c r="I23" s="18"/>
      <c r="J23" s="18"/>
      <c r="K23" s="18"/>
      <c r="L23" s="18"/>
    </row>
    <row r="24" spans="1:12" s="19" customFormat="1">
      <c r="A24" s="26" t="s">
        <v>30</v>
      </c>
      <c r="B24" s="27"/>
      <c r="C24" s="28"/>
      <c r="D24" s="28">
        <f t="shared" si="0"/>
        <v>0</v>
      </c>
      <c r="E24" s="28"/>
      <c r="F24" s="37"/>
      <c r="G24" s="36"/>
      <c r="H24" s="18"/>
      <c r="I24" s="18"/>
      <c r="J24" s="18"/>
      <c r="K24" s="18"/>
      <c r="L24" s="18"/>
    </row>
    <row r="25" spans="1:12" s="19" customFormat="1">
      <c r="A25" s="26" t="s">
        <v>31</v>
      </c>
      <c r="B25" s="27">
        <f>57.39</f>
        <v>57.39</v>
      </c>
      <c r="C25" s="28">
        <v>0</v>
      </c>
      <c r="D25" s="28">
        <f t="shared" si="0"/>
        <v>57.39</v>
      </c>
      <c r="E25" s="28"/>
      <c r="F25" s="29"/>
      <c r="G25" s="30">
        <v>133.85</v>
      </c>
      <c r="H25" s="18"/>
      <c r="I25" s="18"/>
      <c r="J25" s="18"/>
      <c r="K25" s="18"/>
      <c r="L25" s="18"/>
    </row>
    <row r="26" spans="1:12" s="19" customFormat="1">
      <c r="A26" s="26" t="s">
        <v>476</v>
      </c>
      <c r="B26" s="136">
        <f>3+374.63+419.39</f>
        <v>797.02</v>
      </c>
      <c r="C26" s="137">
        <v>0</v>
      </c>
      <c r="D26" s="137">
        <f t="shared" si="0"/>
        <v>797.02</v>
      </c>
      <c r="E26" s="28"/>
      <c r="F26" s="29"/>
      <c r="G26" s="30">
        <v>80.55</v>
      </c>
      <c r="H26" s="18"/>
      <c r="I26" s="18"/>
      <c r="J26" s="18"/>
      <c r="K26" s="18"/>
      <c r="L26" s="18"/>
    </row>
    <row r="27" spans="1:12" s="19" customFormat="1">
      <c r="A27" s="26" t="s">
        <v>493</v>
      </c>
      <c r="B27" s="32"/>
      <c r="C27" s="28"/>
      <c r="D27" s="28">
        <f t="shared" si="0"/>
        <v>0</v>
      </c>
      <c r="E27" s="28"/>
      <c r="F27" s="29"/>
      <c r="G27" s="30">
        <v>0.57999999999999996</v>
      </c>
      <c r="H27" s="18"/>
      <c r="I27" s="18"/>
      <c r="J27" s="18"/>
      <c r="K27" s="18"/>
      <c r="L27" s="18"/>
    </row>
    <row r="28" spans="1:12" s="19" customFormat="1">
      <c r="A28" s="31" t="s">
        <v>320</v>
      </c>
      <c r="B28" s="32"/>
      <c r="C28" s="28"/>
      <c r="D28" s="28">
        <f t="shared" si="0"/>
        <v>0</v>
      </c>
      <c r="E28" s="28"/>
      <c r="F28" s="29"/>
      <c r="G28" s="33">
        <v>28.55</v>
      </c>
      <c r="H28" s="18"/>
      <c r="I28" s="18"/>
      <c r="J28" s="18"/>
      <c r="K28" s="18"/>
      <c r="L28" s="18"/>
    </row>
    <row r="29" spans="1:12" s="19" customFormat="1" ht="12.75" customHeight="1">
      <c r="A29" s="38" t="s">
        <v>33</v>
      </c>
      <c r="B29" s="39">
        <f>593.28+315.64+98.02+27.15</f>
        <v>1034.0899999999999</v>
      </c>
      <c r="C29" s="35"/>
      <c r="D29" s="40">
        <f t="shared" si="0"/>
        <v>1034.0899999999999</v>
      </c>
      <c r="E29" s="28"/>
      <c r="F29" s="29"/>
      <c r="G29" s="41"/>
      <c r="H29" s="42"/>
      <c r="I29" s="18"/>
      <c r="J29" s="18"/>
      <c r="K29" s="18"/>
      <c r="L29" s="18"/>
    </row>
    <row r="30" spans="1:12" s="19" customFormat="1">
      <c r="A30" s="31" t="s">
        <v>34</v>
      </c>
      <c r="B30" s="32"/>
      <c r="C30" s="28"/>
      <c r="D30" s="28">
        <f t="shared" si="0"/>
        <v>0</v>
      </c>
      <c r="E30" s="28"/>
      <c r="F30" s="29"/>
      <c r="G30" s="33">
        <v>8.15</v>
      </c>
      <c r="H30" s="18"/>
      <c r="I30" s="18"/>
      <c r="J30" s="18"/>
      <c r="K30" s="18"/>
      <c r="L30" s="18"/>
    </row>
    <row r="31" spans="1:12" s="19" customFormat="1" ht="12.75" customHeight="1">
      <c r="A31" s="31" t="s">
        <v>35</v>
      </c>
      <c r="B31" s="39">
        <v>121.6</v>
      </c>
      <c r="C31" s="35">
        <v>0</v>
      </c>
      <c r="D31" s="40">
        <f t="shared" si="0"/>
        <v>121.6</v>
      </c>
      <c r="E31" s="28"/>
      <c r="F31" s="29"/>
      <c r="G31" s="33">
        <v>17.510000000000002</v>
      </c>
      <c r="H31" s="42"/>
      <c r="I31" s="18"/>
      <c r="J31" s="18"/>
      <c r="K31" s="18"/>
      <c r="L31" s="18"/>
    </row>
    <row r="32" spans="1:12" s="19" customFormat="1" ht="12.75" customHeight="1">
      <c r="A32" s="38" t="s">
        <v>36</v>
      </c>
      <c r="B32" s="39"/>
      <c r="C32" s="35"/>
      <c r="D32" s="28">
        <f t="shared" si="0"/>
        <v>0</v>
      </c>
      <c r="E32" s="28"/>
      <c r="F32" s="29"/>
      <c r="G32" s="41">
        <v>0</v>
      </c>
      <c r="H32" s="42"/>
      <c r="I32" s="18"/>
      <c r="J32" s="18"/>
      <c r="K32" s="18"/>
      <c r="L32" s="18"/>
    </row>
    <row r="33" spans="1:12" s="19" customFormat="1" ht="12.75" customHeight="1">
      <c r="A33" s="38" t="s">
        <v>37</v>
      </c>
      <c r="B33" s="39">
        <f>69.3+406.61+25.95</f>
        <v>501.86</v>
      </c>
      <c r="C33" s="35">
        <f>35.9+406.61+11.85</f>
        <v>454.36</v>
      </c>
      <c r="D33" s="28">
        <f t="shared" si="0"/>
        <v>47.5</v>
      </c>
      <c r="E33" s="28"/>
      <c r="F33" s="29"/>
      <c r="G33" s="159">
        <v>528.54999999999995</v>
      </c>
      <c r="H33" s="42"/>
      <c r="I33" s="18"/>
      <c r="J33" s="18"/>
      <c r="K33" s="18"/>
      <c r="L33" s="18"/>
    </row>
    <row r="34" spans="1:12" s="19" customFormat="1" ht="12.75" customHeight="1">
      <c r="A34" s="38" t="s">
        <v>494</v>
      </c>
      <c r="B34" s="62"/>
      <c r="C34" s="139"/>
      <c r="D34" s="28">
        <f t="shared" si="0"/>
        <v>0</v>
      </c>
      <c r="E34" s="140"/>
      <c r="F34" s="141"/>
      <c r="G34" s="41">
        <v>1.08</v>
      </c>
      <c r="H34" s="42"/>
      <c r="I34" s="18"/>
      <c r="J34" s="18"/>
      <c r="K34" s="18"/>
      <c r="L34" s="18"/>
    </row>
    <row r="35" spans="1:12" s="19" customFormat="1" ht="13.5" thickBot="1">
      <c r="A35" s="43" t="s">
        <v>38</v>
      </c>
      <c r="B35" s="44">
        <f>361.49+465.58</f>
        <v>827.06999999999994</v>
      </c>
      <c r="C35" s="44">
        <f>276.69+407.77</f>
        <v>684.46</v>
      </c>
      <c r="D35" s="45">
        <f t="shared" si="0"/>
        <v>142.6099999999999</v>
      </c>
      <c r="E35" s="46"/>
      <c r="F35" s="46"/>
      <c r="G35" s="125"/>
      <c r="H35" s="18"/>
      <c r="I35" s="18"/>
      <c r="J35" s="18"/>
      <c r="K35" s="18"/>
      <c r="L35" s="18"/>
    </row>
    <row r="36" spans="1:12" s="19" customFormat="1" ht="30.75" thickBot="1">
      <c r="A36" s="47" t="s">
        <v>39</v>
      </c>
      <c r="B36" s="2" t="s">
        <v>1</v>
      </c>
      <c r="C36" s="48" t="s">
        <v>10</v>
      </c>
      <c r="D36" s="4" t="s">
        <v>11</v>
      </c>
      <c r="E36" s="2" t="s">
        <v>4</v>
      </c>
      <c r="F36" s="2" t="s">
        <v>12</v>
      </c>
      <c r="G36" s="6" t="s">
        <v>13</v>
      </c>
      <c r="H36" s="49"/>
    </row>
    <row r="37" spans="1:12" s="19" customFormat="1" ht="15.75" thickBot="1">
      <c r="A37" s="9" t="s">
        <v>40</v>
      </c>
      <c r="B37" s="50">
        <f>419.83+11.35</f>
        <v>431.18</v>
      </c>
      <c r="C37" s="51">
        <f>350.58+11.35</f>
        <v>361.93</v>
      </c>
      <c r="D37" s="52">
        <f>B37-C37</f>
        <v>69.25</v>
      </c>
      <c r="E37" s="53"/>
      <c r="F37" s="54"/>
      <c r="G37" s="55">
        <v>49.5</v>
      </c>
      <c r="H37" s="18"/>
      <c r="I37" s="18"/>
      <c r="J37" s="18"/>
      <c r="K37" s="18"/>
      <c r="L37" s="18"/>
    </row>
    <row r="38" spans="1:12" s="19" customFormat="1" ht="30.75" thickBot="1">
      <c r="A38" s="47" t="s">
        <v>41</v>
      </c>
      <c r="B38" s="2" t="s">
        <v>1</v>
      </c>
      <c r="C38" s="48" t="s">
        <v>10</v>
      </c>
      <c r="D38" s="4" t="s">
        <v>11</v>
      </c>
      <c r="E38" s="2" t="s">
        <v>4</v>
      </c>
      <c r="F38" s="2" t="s">
        <v>12</v>
      </c>
      <c r="G38" s="6" t="s">
        <v>13</v>
      </c>
      <c r="H38" s="49"/>
    </row>
    <row r="39" spans="1:12" s="19" customFormat="1" ht="15">
      <c r="A39" s="9" t="s">
        <v>42</v>
      </c>
      <c r="B39" s="10">
        <v>1054.4000000000001</v>
      </c>
      <c r="C39" s="56">
        <f>33.1+72.04+863.02</f>
        <v>968.16</v>
      </c>
      <c r="D39" s="57">
        <f>B39-C39</f>
        <v>86.240000000000123</v>
      </c>
      <c r="E39" s="58"/>
      <c r="F39" s="21"/>
      <c r="G39" s="126">
        <v>261.56</v>
      </c>
      <c r="H39" s="18"/>
      <c r="I39" s="18"/>
      <c r="J39" s="18"/>
      <c r="K39" s="18"/>
      <c r="L39" s="18"/>
    </row>
    <row r="40" spans="1:12" s="19" customFormat="1" ht="17.25" customHeight="1">
      <c r="A40" s="31" t="s">
        <v>43</v>
      </c>
      <c r="B40" s="32"/>
      <c r="C40" s="59"/>
      <c r="D40" s="35">
        <f>B40-C40</f>
        <v>0</v>
      </c>
      <c r="E40" s="39"/>
      <c r="F40" s="32"/>
      <c r="G40" s="33">
        <v>8.5</v>
      </c>
      <c r="H40" s="18"/>
      <c r="I40" s="18"/>
      <c r="J40" s="18"/>
      <c r="K40" s="18"/>
      <c r="L40" s="18"/>
    </row>
    <row r="41" spans="1:12" s="19" customFormat="1">
      <c r="A41" s="38" t="s">
        <v>45</v>
      </c>
      <c r="B41" s="44">
        <f>429.75+577.28+111.32</f>
        <v>1118.3499999999999</v>
      </c>
      <c r="C41" s="44">
        <f>429.75+577.28+112.93</f>
        <v>1119.96</v>
      </c>
      <c r="D41" s="45">
        <f>B41-C41</f>
        <v>-1.6100000000001273</v>
      </c>
      <c r="E41" s="61"/>
      <c r="F41" s="62"/>
      <c r="G41" s="125"/>
      <c r="K41" s="18"/>
      <c r="L41" s="18"/>
    </row>
    <row r="42" spans="1:12" s="19" customFormat="1">
      <c r="A42" s="38" t="s">
        <v>46</v>
      </c>
      <c r="B42" s="39">
        <f>211.99+137.55+220.6+404.77</f>
        <v>974.91</v>
      </c>
      <c r="C42" s="35">
        <f>211.99+6.35+131.2+280.6+404.77</f>
        <v>1034.9099999999999</v>
      </c>
      <c r="D42" s="35">
        <f>B42-C42</f>
        <v>-59.999999999999886</v>
      </c>
      <c r="E42" s="61"/>
      <c r="F42" s="62"/>
      <c r="G42" s="63">
        <v>184.7</v>
      </c>
      <c r="K42" s="18"/>
      <c r="L42" s="18"/>
    </row>
    <row r="43" spans="1:12" s="19" customFormat="1" ht="13.5" thickBot="1">
      <c r="A43" s="43" t="s">
        <v>387</v>
      </c>
      <c r="B43" s="64">
        <f>40.06+276.91+181.62</f>
        <v>498.59000000000003</v>
      </c>
      <c r="C43" s="65">
        <v>0</v>
      </c>
      <c r="D43" s="64">
        <f>B43</f>
        <v>498.59000000000003</v>
      </c>
      <c r="E43" s="66"/>
      <c r="F43" s="67"/>
      <c r="G43" s="138">
        <v>49.73</v>
      </c>
      <c r="K43" s="18"/>
      <c r="L43" s="18"/>
    </row>
    <row r="44" spans="1:12" ht="34.5" customHeight="1" thickBot="1">
      <c r="A44" s="47" t="s">
        <v>48</v>
      </c>
      <c r="B44" s="2" t="s">
        <v>1</v>
      </c>
      <c r="C44" s="48" t="s">
        <v>10</v>
      </c>
      <c r="D44" s="4" t="s">
        <v>11</v>
      </c>
      <c r="E44" s="2" t="s">
        <v>4</v>
      </c>
      <c r="F44" s="5" t="s">
        <v>5</v>
      </c>
      <c r="G44" s="68"/>
      <c r="H44" s="18"/>
      <c r="I44" s="18"/>
      <c r="J44" s="18"/>
      <c r="K44" s="18"/>
      <c r="L44" s="18"/>
    </row>
    <row r="45" spans="1:12" ht="19.5" customHeight="1" thickBot="1">
      <c r="A45" s="9" t="s">
        <v>892</v>
      </c>
      <c r="B45" s="64">
        <v>256.12</v>
      </c>
      <c r="C45" s="65">
        <v>0</v>
      </c>
      <c r="D45" s="64">
        <f>B45-C45</f>
        <v>256.12</v>
      </c>
      <c r="E45" s="71"/>
      <c r="F45" s="72"/>
      <c r="G45" s="68"/>
    </row>
    <row r="46" spans="1:12" ht="19.5" customHeight="1" thickBot="1">
      <c r="A46" s="47" t="s">
        <v>50</v>
      </c>
      <c r="B46" s="73" t="s">
        <v>51</v>
      </c>
      <c r="C46" s="68"/>
      <c r="D46" s="68"/>
      <c r="E46" s="68"/>
      <c r="F46" s="68"/>
      <c r="G46" s="68"/>
      <c r="H46" s="18"/>
      <c r="I46" s="18"/>
      <c r="J46" s="18"/>
      <c r="K46" s="18"/>
      <c r="L46" s="18"/>
    </row>
    <row r="47" spans="1:12" ht="30" customHeight="1">
      <c r="A47" s="74" t="s">
        <v>572</v>
      </c>
      <c r="B47" s="75">
        <v>0.13</v>
      </c>
      <c r="C47" s="68"/>
      <c r="D47" s="68"/>
      <c r="E47" s="68"/>
      <c r="F47" s="68"/>
      <c r="G47" s="68"/>
    </row>
    <row r="48" spans="1:12" ht="15">
      <c r="A48" s="76" t="s">
        <v>53</v>
      </c>
      <c r="B48" s="77">
        <v>0</v>
      </c>
      <c r="C48" s="68"/>
      <c r="D48" s="68"/>
      <c r="E48" s="68"/>
      <c r="F48" s="68"/>
      <c r="G48" s="68"/>
    </row>
    <row r="49" spans="1:12" ht="15">
      <c r="A49" s="76" t="s">
        <v>54</v>
      </c>
      <c r="B49" s="77"/>
      <c r="C49" s="68"/>
      <c r="D49" s="68"/>
      <c r="E49" s="68"/>
      <c r="F49" s="68"/>
      <c r="G49" s="68"/>
    </row>
    <row r="50" spans="1:12" ht="15">
      <c r="A50" s="76" t="s">
        <v>55</v>
      </c>
      <c r="B50" s="77">
        <v>0</v>
      </c>
      <c r="C50" s="68"/>
      <c r="D50" s="68"/>
      <c r="E50" s="68"/>
      <c r="F50" s="68"/>
      <c r="G50" s="68"/>
    </row>
    <row r="51" spans="1:12" ht="15">
      <c r="A51" s="31" t="s">
        <v>56</v>
      </c>
      <c r="B51" s="77"/>
      <c r="C51" s="68"/>
      <c r="D51" s="68"/>
      <c r="E51" s="68"/>
      <c r="F51" s="68"/>
      <c r="G51" s="68"/>
    </row>
    <row r="52" spans="1:12" ht="15">
      <c r="A52" s="31" t="s">
        <v>188</v>
      </c>
      <c r="B52" s="77">
        <v>0</v>
      </c>
      <c r="C52" s="68"/>
      <c r="D52" s="68"/>
      <c r="E52" s="68"/>
      <c r="F52" s="68"/>
      <c r="G52" s="68"/>
    </row>
    <row r="53" spans="1:12" ht="25.5">
      <c r="A53" s="78" t="s">
        <v>586</v>
      </c>
      <c r="B53" s="77">
        <v>0</v>
      </c>
      <c r="C53" s="68"/>
      <c r="D53" s="68"/>
      <c r="E53" s="68"/>
      <c r="F53" s="68"/>
      <c r="G53" s="68"/>
    </row>
    <row r="54" spans="1:12" ht="25.5">
      <c r="A54" s="78" t="s">
        <v>58</v>
      </c>
      <c r="B54" s="77"/>
      <c r="C54" s="68"/>
      <c r="D54" s="68"/>
      <c r="E54" s="68"/>
      <c r="F54" s="68"/>
      <c r="G54" s="68"/>
    </row>
    <row r="55" spans="1:12" ht="25.5">
      <c r="A55" s="78" t="s">
        <v>478</v>
      </c>
      <c r="B55" s="77">
        <v>0</v>
      </c>
      <c r="C55" s="68"/>
      <c r="D55" s="68"/>
      <c r="E55" s="68"/>
      <c r="F55" s="68"/>
      <c r="G55" s="68"/>
    </row>
    <row r="56" spans="1:12" ht="15">
      <c r="A56" s="26" t="s">
        <v>60</v>
      </c>
      <c r="B56" s="77"/>
      <c r="C56" s="68"/>
      <c r="D56" s="68"/>
      <c r="E56" s="68"/>
      <c r="F56" s="68"/>
      <c r="G56" s="68"/>
    </row>
    <row r="57" spans="1:12" ht="14.25" customHeight="1">
      <c r="A57" s="76" t="s">
        <v>61</v>
      </c>
      <c r="B57" s="77"/>
      <c r="C57" s="144" t="s">
        <v>590</v>
      </c>
      <c r="D57" s="68"/>
      <c r="E57" s="68"/>
      <c r="F57" s="68"/>
      <c r="G57" s="68"/>
    </row>
    <row r="58" spans="1:12" ht="26.25" customHeight="1">
      <c r="A58" s="76" t="s">
        <v>62</v>
      </c>
      <c r="B58" s="77"/>
      <c r="C58" s="144" t="s">
        <v>590</v>
      </c>
      <c r="D58" s="68"/>
      <c r="E58" s="68"/>
      <c r="F58" s="68"/>
      <c r="G58" s="68"/>
    </row>
    <row r="59" spans="1:12" ht="33" customHeight="1">
      <c r="A59" s="76" t="s">
        <v>63</v>
      </c>
      <c r="B59" s="77"/>
      <c r="C59" s="68"/>
      <c r="D59" s="68"/>
      <c r="E59" s="68"/>
      <c r="F59" s="68"/>
      <c r="G59" s="68"/>
      <c r="J59" s="18"/>
      <c r="K59" s="18"/>
      <c r="L59" s="18"/>
    </row>
    <row r="60" spans="1:12" ht="32.25" customHeight="1">
      <c r="A60" s="76" t="s">
        <v>64</v>
      </c>
      <c r="B60" s="77"/>
      <c r="C60" s="68"/>
      <c r="D60" s="68"/>
      <c r="E60" s="68"/>
      <c r="F60" s="68"/>
      <c r="G60" s="68"/>
    </row>
    <row r="61" spans="1:12" ht="31.5" customHeight="1">
      <c r="A61" s="76" t="s">
        <v>65</v>
      </c>
      <c r="B61" s="77"/>
      <c r="C61" s="68"/>
      <c r="D61" s="68"/>
      <c r="E61" s="68"/>
      <c r="F61" s="68"/>
      <c r="G61" s="68"/>
    </row>
    <row r="62" spans="1:12" s="19" customFormat="1" ht="15">
      <c r="A62" s="76" t="s">
        <v>66</v>
      </c>
      <c r="B62" s="77"/>
      <c r="C62" s="144" t="s">
        <v>589</v>
      </c>
      <c r="D62" s="68"/>
      <c r="E62" s="68"/>
      <c r="F62" s="68"/>
      <c r="G62" s="68"/>
      <c r="H62" s="8"/>
      <c r="I62" s="8"/>
      <c r="J62" s="18"/>
      <c r="K62" s="18"/>
      <c r="L62" s="18"/>
    </row>
    <row r="63" spans="1:12" s="19" customFormat="1" ht="15">
      <c r="A63" s="76" t="s">
        <v>67</v>
      </c>
      <c r="B63" s="77"/>
      <c r="C63" s="68"/>
      <c r="D63" s="68"/>
      <c r="E63" s="68"/>
      <c r="F63" s="68"/>
      <c r="G63" s="68"/>
      <c r="H63" s="8"/>
      <c r="I63" s="8"/>
      <c r="J63" s="18"/>
      <c r="K63" s="18"/>
      <c r="L63" s="18"/>
    </row>
    <row r="64" spans="1:12" s="19" customFormat="1" ht="15">
      <c r="A64" s="76" t="s">
        <v>68</v>
      </c>
      <c r="B64" s="77"/>
      <c r="C64" s="68"/>
      <c r="D64" s="68"/>
      <c r="E64" s="68"/>
      <c r="F64" s="68"/>
      <c r="G64" s="68"/>
      <c r="H64" s="8"/>
      <c r="I64" s="8"/>
      <c r="J64" s="18"/>
      <c r="K64" s="18"/>
      <c r="L64" s="18"/>
    </row>
    <row r="65" spans="1:12" s="19" customFormat="1" ht="15">
      <c r="A65" s="76" t="s">
        <v>69</v>
      </c>
      <c r="B65" s="77"/>
      <c r="C65" s="144" t="s">
        <v>590</v>
      </c>
      <c r="D65" s="68"/>
      <c r="E65" s="68"/>
      <c r="F65" s="68"/>
      <c r="G65" s="68"/>
      <c r="H65" s="8"/>
      <c r="I65" s="8"/>
      <c r="J65" s="18"/>
      <c r="K65" s="18"/>
      <c r="L65" s="18"/>
    </row>
    <row r="66" spans="1:12" s="19" customFormat="1" ht="15">
      <c r="A66" s="78" t="s">
        <v>70</v>
      </c>
      <c r="B66" s="77"/>
      <c r="C66" s="68"/>
      <c r="D66" s="68"/>
      <c r="E66" s="68"/>
      <c r="F66" s="68"/>
      <c r="G66" s="68"/>
      <c r="H66" s="8"/>
      <c r="I66" s="8"/>
      <c r="J66" s="18"/>
      <c r="K66" s="18"/>
      <c r="L66" s="18"/>
    </row>
    <row r="67" spans="1:12" s="19" customFormat="1" ht="25.5">
      <c r="A67" s="78" t="s">
        <v>71</v>
      </c>
      <c r="B67" s="77"/>
      <c r="C67" s="144" t="s">
        <v>590</v>
      </c>
      <c r="D67" s="68"/>
      <c r="E67" s="68"/>
      <c r="F67" s="68"/>
      <c r="G67" s="68"/>
      <c r="H67" s="8"/>
      <c r="I67" s="8"/>
      <c r="J67" s="18"/>
      <c r="K67" s="18"/>
      <c r="L67" s="18"/>
    </row>
    <row r="68" spans="1:12" ht="15">
      <c r="A68" s="79" t="s">
        <v>72</v>
      </c>
      <c r="B68" s="77"/>
      <c r="C68" s="144" t="s">
        <v>590</v>
      </c>
      <c r="D68" s="68"/>
      <c r="E68" s="68"/>
      <c r="F68" s="68"/>
      <c r="G68" s="68"/>
    </row>
    <row r="69" spans="1:12" ht="15">
      <c r="A69" s="38" t="s">
        <v>73</v>
      </c>
      <c r="B69" s="77">
        <v>0</v>
      </c>
      <c r="C69" s="68"/>
      <c r="D69" s="68"/>
      <c r="E69" s="68"/>
      <c r="F69" s="68"/>
      <c r="G69" s="68"/>
    </row>
    <row r="70" spans="1:12" ht="15">
      <c r="A70" s="78" t="s">
        <v>74</v>
      </c>
      <c r="B70" s="77">
        <v>0</v>
      </c>
      <c r="C70" s="68"/>
      <c r="D70" s="68"/>
      <c r="E70" s="68"/>
      <c r="F70" s="68"/>
      <c r="G70" s="68"/>
    </row>
    <row r="71" spans="1:12" ht="15">
      <c r="A71" s="78" t="s">
        <v>75</v>
      </c>
      <c r="B71" s="77">
        <v>0</v>
      </c>
      <c r="C71" s="68"/>
      <c r="D71" s="68"/>
      <c r="E71" s="68"/>
      <c r="F71" s="68"/>
      <c r="G71" s="68"/>
    </row>
    <row r="72" spans="1:12" s="19" customFormat="1" ht="15">
      <c r="A72" s="78" t="s">
        <v>680</v>
      </c>
      <c r="B72" s="77">
        <v>0</v>
      </c>
      <c r="C72" s="68"/>
      <c r="D72" s="68"/>
      <c r="E72" s="68"/>
      <c r="F72" s="68"/>
      <c r="G72" s="68"/>
      <c r="H72" s="18"/>
      <c r="I72" s="18"/>
      <c r="J72" s="8"/>
      <c r="K72" s="8"/>
      <c r="L72" s="8"/>
    </row>
    <row r="73" spans="1:12" ht="15">
      <c r="A73" s="78" t="s">
        <v>77</v>
      </c>
      <c r="B73" s="77">
        <v>0</v>
      </c>
      <c r="C73" s="68"/>
      <c r="D73" s="68"/>
      <c r="E73" s="68"/>
      <c r="F73" s="68"/>
      <c r="G73" s="68"/>
      <c r="H73" s="18"/>
      <c r="I73" s="18"/>
    </row>
    <row r="74" spans="1:12" ht="15">
      <c r="A74" s="78" t="s">
        <v>78</v>
      </c>
      <c r="B74" s="77">
        <v>13.33</v>
      </c>
      <c r="C74" s="68"/>
      <c r="D74" s="68"/>
      <c r="E74" s="68"/>
      <c r="F74" s="68"/>
      <c r="G74" s="68"/>
    </row>
    <row r="75" spans="1:12" ht="25.5">
      <c r="A75" s="78" t="s">
        <v>679</v>
      </c>
      <c r="B75" s="77">
        <v>11.57</v>
      </c>
      <c r="C75" s="68"/>
      <c r="D75" s="68"/>
      <c r="E75" s="68"/>
      <c r="F75" s="68"/>
      <c r="G75" s="68"/>
    </row>
    <row r="76" spans="1:12" ht="15">
      <c r="A76" s="78" t="s">
        <v>80</v>
      </c>
      <c r="B76" s="77">
        <v>19.170000000000002</v>
      </c>
      <c r="C76" s="68"/>
      <c r="D76" s="68"/>
      <c r="E76" s="68"/>
      <c r="F76" s="68"/>
      <c r="G76" s="68"/>
    </row>
    <row r="77" spans="1:12" ht="15">
      <c r="A77" s="78" t="s">
        <v>574</v>
      </c>
      <c r="B77" s="77">
        <v>0</v>
      </c>
      <c r="C77" s="80"/>
      <c r="D77" s="81"/>
      <c r="E77" s="82"/>
      <c r="F77" s="82"/>
    </row>
    <row r="78" spans="1:12" ht="15">
      <c r="A78" s="78" t="s">
        <v>575</v>
      </c>
      <c r="B78" s="77">
        <v>0</v>
      </c>
      <c r="C78" s="80"/>
      <c r="D78" s="81"/>
      <c r="E78" s="82"/>
      <c r="F78" s="82"/>
    </row>
    <row r="79" spans="1:12" ht="15">
      <c r="A79" s="78" t="s">
        <v>83</v>
      </c>
      <c r="B79" s="77"/>
      <c r="C79" s="144" t="s">
        <v>590</v>
      </c>
      <c r="D79" s="81"/>
      <c r="E79" s="82"/>
      <c r="F79" s="82"/>
    </row>
    <row r="80" spans="1:12" ht="15">
      <c r="A80" s="78" t="s">
        <v>681</v>
      </c>
      <c r="B80" s="77">
        <v>0</v>
      </c>
      <c r="C80" s="80"/>
      <c r="D80" s="81"/>
      <c r="E80" s="82"/>
      <c r="F80" s="82"/>
    </row>
    <row r="81" spans="1:6" ht="15">
      <c r="A81" s="78" t="s">
        <v>85</v>
      </c>
      <c r="B81" s="77"/>
      <c r="C81" s="80"/>
      <c r="D81" s="81"/>
      <c r="E81" s="82"/>
      <c r="F81" s="82"/>
    </row>
    <row r="82" spans="1:6" ht="15">
      <c r="A82" s="78" t="s">
        <v>86</v>
      </c>
      <c r="B82" s="77"/>
      <c r="C82" s="80"/>
      <c r="D82" s="81"/>
      <c r="E82" s="82"/>
      <c r="F82" s="82"/>
    </row>
    <row r="83" spans="1:6" ht="15">
      <c r="A83" s="78" t="s">
        <v>87</v>
      </c>
      <c r="B83" s="77"/>
      <c r="C83" s="80"/>
      <c r="D83" s="81"/>
      <c r="E83" s="82"/>
      <c r="F83" s="82"/>
    </row>
    <row r="84" spans="1:6" ht="25.5">
      <c r="A84" s="78" t="s">
        <v>88</v>
      </c>
      <c r="B84" s="77"/>
      <c r="C84" s="80"/>
      <c r="D84" s="81"/>
      <c r="E84" s="82"/>
      <c r="F84" s="82"/>
    </row>
    <row r="85" spans="1:6" ht="25.5">
      <c r="A85" s="78" t="s">
        <v>89</v>
      </c>
      <c r="B85" s="77">
        <v>0</v>
      </c>
      <c r="C85" s="80"/>
      <c r="D85" s="81"/>
      <c r="E85" s="82"/>
      <c r="F85" s="82"/>
    </row>
    <row r="86" spans="1:6" ht="25.5">
      <c r="A86" s="78" t="s">
        <v>90</v>
      </c>
      <c r="B86" s="77"/>
      <c r="C86" s="80"/>
      <c r="D86" s="81"/>
      <c r="E86" s="82"/>
      <c r="F86" s="82"/>
    </row>
    <row r="87" spans="1:6" ht="15">
      <c r="A87" s="78" t="s">
        <v>91</v>
      </c>
      <c r="B87" s="77"/>
      <c r="C87" s="80"/>
      <c r="D87" s="81"/>
      <c r="E87" s="82"/>
      <c r="F87" s="82"/>
    </row>
    <row r="88" spans="1:6" ht="15">
      <c r="A88" s="78" t="s">
        <v>92</v>
      </c>
      <c r="B88" s="77">
        <v>0</v>
      </c>
      <c r="C88" s="80"/>
      <c r="D88" s="81"/>
      <c r="E88" s="82"/>
      <c r="F88" s="82"/>
    </row>
    <row r="89" spans="1:6" ht="15">
      <c r="A89" s="84" t="s">
        <v>93</v>
      </c>
      <c r="B89" s="77"/>
      <c r="C89" s="80"/>
      <c r="D89" s="81"/>
      <c r="E89" s="82"/>
      <c r="F89" s="82"/>
    </row>
    <row r="90" spans="1:6" ht="15">
      <c r="A90" s="84" t="s">
        <v>94</v>
      </c>
      <c r="B90" s="77"/>
      <c r="C90" s="80"/>
      <c r="D90" s="81"/>
      <c r="E90" s="82"/>
      <c r="F90" s="82"/>
    </row>
    <row r="91" spans="1:6" ht="15">
      <c r="A91" s="84" t="s">
        <v>95</v>
      </c>
      <c r="B91" s="77"/>
      <c r="C91" s="80"/>
      <c r="D91" s="81"/>
      <c r="E91" s="82"/>
      <c r="F91" s="82"/>
    </row>
    <row r="92" spans="1:6" ht="15">
      <c r="A92" s="84" t="s">
        <v>96</v>
      </c>
      <c r="B92" s="77">
        <v>0.63</v>
      </c>
      <c r="C92" s="80"/>
      <c r="D92" s="81"/>
      <c r="E92" s="82"/>
      <c r="F92" s="82"/>
    </row>
    <row r="93" spans="1:6" ht="15">
      <c r="A93" s="84" t="s">
        <v>97</v>
      </c>
      <c r="B93" s="77">
        <v>0</v>
      </c>
      <c r="C93" s="80"/>
      <c r="D93" s="81"/>
      <c r="E93" s="82"/>
      <c r="F93" s="82"/>
    </row>
    <row r="94" spans="1:6" ht="15">
      <c r="A94" s="84" t="s">
        <v>804</v>
      </c>
      <c r="B94" s="122">
        <v>15.37</v>
      </c>
      <c r="C94" s="80"/>
      <c r="D94" s="81"/>
      <c r="E94" s="82"/>
      <c r="F94" s="82"/>
    </row>
    <row r="95" spans="1:6" ht="26.25" thickBot="1">
      <c r="A95" s="85" t="s">
        <v>98</v>
      </c>
      <c r="B95" s="87"/>
      <c r="C95" s="80"/>
      <c r="D95" s="81"/>
      <c r="E95" s="82"/>
      <c r="F95" s="82"/>
    </row>
    <row r="96" spans="1:6" ht="26.25" thickBot="1">
      <c r="A96" s="86" t="s">
        <v>99</v>
      </c>
      <c r="B96" s="89">
        <v>0.25</v>
      </c>
      <c r="C96" s="80"/>
      <c r="D96" s="81"/>
      <c r="E96" s="82"/>
      <c r="F96" s="82"/>
    </row>
    <row r="97" spans="1:12" s="19" customFormat="1" ht="15.75" thickBot="1">
      <c r="A97" s="90" t="s">
        <v>100</v>
      </c>
      <c r="B97" s="91">
        <f>SUM(B2:B45)</f>
        <v>23497.149999999998</v>
      </c>
      <c r="C97" s="92"/>
      <c r="D97" s="93"/>
      <c r="E97" s="68"/>
      <c r="F97" s="68"/>
      <c r="G97" s="93"/>
      <c r="H97" s="18"/>
      <c r="I97" s="18"/>
      <c r="J97" s="18"/>
      <c r="K97" s="18"/>
      <c r="L97" s="18"/>
    </row>
    <row r="98" spans="1:12" s="19" customFormat="1" ht="15.75" thickBot="1">
      <c r="A98" s="94" t="s">
        <v>101</v>
      </c>
      <c r="B98" s="95">
        <f>SUM(G2:G43)</f>
        <v>2392.3299999999995</v>
      </c>
      <c r="C98" s="93"/>
      <c r="D98" s="93"/>
      <c r="E98" s="68"/>
      <c r="F98" s="68"/>
      <c r="G98" s="96"/>
      <c r="H98" s="18"/>
      <c r="I98" s="18"/>
      <c r="J98" s="18"/>
      <c r="K98" s="18"/>
      <c r="L98" s="18"/>
    </row>
    <row r="99" spans="1:12" ht="15.75" thickBot="1">
      <c r="A99" s="97" t="s">
        <v>102</v>
      </c>
      <c r="B99" s="91">
        <f>SUM(B47:B95)</f>
        <v>60.2</v>
      </c>
      <c r="C99" s="80"/>
      <c r="D99" s="81"/>
      <c r="E99" s="82"/>
      <c r="F99" s="82"/>
    </row>
    <row r="100" spans="1:12" ht="15.75" thickBot="1">
      <c r="A100" s="98" t="s">
        <v>103</v>
      </c>
      <c r="B100" s="91">
        <f>B97+B98+B99</f>
        <v>25949.679999999997</v>
      </c>
      <c r="C100" s="80"/>
      <c r="D100" s="81"/>
    </row>
    <row r="101" spans="1:12">
      <c r="B101" s="80"/>
      <c r="C101" s="80"/>
      <c r="D101" s="81"/>
    </row>
    <row r="102" spans="1:12">
      <c r="B102" s="80"/>
      <c r="C102" s="80"/>
      <c r="D102" s="81"/>
    </row>
    <row r="103" spans="1:12">
      <c r="B103" s="80"/>
      <c r="C103" s="80"/>
      <c r="D103" s="80"/>
    </row>
    <row r="104" spans="1:12">
      <c r="B104" s="80"/>
      <c r="C104" s="80"/>
      <c r="D104" s="80"/>
    </row>
    <row r="105" spans="1:12">
      <c r="B105" s="80"/>
      <c r="C105" s="80"/>
      <c r="D105" s="80"/>
    </row>
    <row r="106" spans="1:12">
      <c r="B106" s="80"/>
      <c r="C106" s="80"/>
      <c r="D106" s="80"/>
    </row>
    <row r="107" spans="1:12" s="80" customFormat="1">
      <c r="A107" s="8"/>
      <c r="G107" s="83"/>
      <c r="H107" s="8"/>
      <c r="I107" s="8"/>
      <c r="J107" s="8"/>
      <c r="K107" s="8"/>
      <c r="L107" s="8"/>
    </row>
    <row r="108" spans="1:12" s="80" customFormat="1">
      <c r="A108" s="8"/>
      <c r="G108" s="83"/>
      <c r="H108" s="8"/>
      <c r="I108" s="8"/>
      <c r="J108" s="8"/>
      <c r="K108" s="8"/>
      <c r="L108" s="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Q45"/>
  <sheetViews>
    <sheetView topLeftCell="A16" workbookViewId="0">
      <selection activeCell="F27" sqref="F27"/>
    </sheetView>
  </sheetViews>
  <sheetFormatPr defaultRowHeight="12.75"/>
  <cols>
    <col min="1" max="1" width="47.140625" style="8" customWidth="1"/>
    <col min="2" max="2" width="29" style="8" hidden="1" customWidth="1"/>
    <col min="3" max="3" width="24.42578125" style="8" hidden="1" customWidth="1"/>
    <col min="4" max="4" width="24.5703125" style="8" hidden="1" customWidth="1"/>
    <col min="5" max="5" width="29" style="8" customWidth="1"/>
    <col min="6" max="6" width="24.42578125" style="8" customWidth="1"/>
    <col min="7" max="7" width="24.5703125" style="8" customWidth="1"/>
    <col min="8" max="8" width="29" style="8" customWidth="1"/>
    <col min="9" max="9" width="24.42578125" style="8" customWidth="1"/>
    <col min="10" max="10" width="24.5703125" style="8" customWidth="1"/>
    <col min="11" max="11" width="29" style="8" customWidth="1"/>
    <col min="12" max="12" width="24.42578125" style="8" customWidth="1"/>
    <col min="13" max="13" width="24.5703125" style="8" customWidth="1"/>
    <col min="14" max="16384" width="9.140625" style="8"/>
  </cols>
  <sheetData>
    <row r="1" spans="1:17" ht="46.5" customHeight="1" thickBot="1">
      <c r="A1" s="99" t="s">
        <v>104</v>
      </c>
      <c r="B1" s="99" t="s">
        <v>105</v>
      </c>
      <c r="C1" s="99" t="s">
        <v>106</v>
      </c>
      <c r="D1" s="100" t="s">
        <v>107</v>
      </c>
      <c r="E1" s="99" t="s">
        <v>828</v>
      </c>
      <c r="F1" s="99" t="s">
        <v>829</v>
      </c>
      <c r="G1" s="100" t="s">
        <v>830</v>
      </c>
      <c r="H1" s="99" t="s">
        <v>682</v>
      </c>
      <c r="I1" s="99" t="s">
        <v>683</v>
      </c>
      <c r="J1" s="100" t="s">
        <v>684</v>
      </c>
      <c r="K1" s="99" t="s">
        <v>753</v>
      </c>
      <c r="L1" s="99" t="s">
        <v>754</v>
      </c>
      <c r="M1" s="100" t="s">
        <v>755</v>
      </c>
    </row>
    <row r="2" spans="1:17" ht="53.25" customHeight="1" thickBot="1">
      <c r="A2" s="101" t="s">
        <v>7</v>
      </c>
      <c r="B2" s="102" t="s">
        <v>108</v>
      </c>
      <c r="C2" s="102" t="s">
        <v>109</v>
      </c>
      <c r="D2" s="103" t="s">
        <v>110</v>
      </c>
      <c r="E2" s="102" t="s">
        <v>872</v>
      </c>
      <c r="F2" s="102" t="s">
        <v>873</v>
      </c>
      <c r="G2" s="102" t="s">
        <v>827</v>
      </c>
      <c r="H2" s="102"/>
      <c r="I2" s="102"/>
      <c r="J2" s="102"/>
      <c r="K2" s="102"/>
      <c r="L2" s="102"/>
      <c r="M2" s="102"/>
    </row>
    <row r="3" spans="1:17" ht="53.25" customHeight="1" thickBot="1">
      <c r="A3" s="101" t="s">
        <v>8</v>
      </c>
      <c r="B3" s="104"/>
      <c r="C3" s="104"/>
      <c r="D3" s="103"/>
      <c r="E3" s="102" t="s">
        <v>845</v>
      </c>
      <c r="F3" s="102" t="s">
        <v>846</v>
      </c>
      <c r="G3" s="102" t="s">
        <v>847</v>
      </c>
      <c r="H3" s="104"/>
      <c r="I3" s="104"/>
      <c r="J3" s="104"/>
      <c r="K3" s="104"/>
      <c r="L3" s="104"/>
      <c r="M3" s="104"/>
      <c r="N3" s="105"/>
      <c r="O3" s="106"/>
      <c r="P3" s="107"/>
      <c r="Q3"/>
    </row>
    <row r="4" spans="1:17" ht="53.25" customHeight="1" thickBot="1">
      <c r="A4" s="78" t="s">
        <v>14</v>
      </c>
      <c r="B4" s="104"/>
      <c r="C4" s="104"/>
      <c r="D4" s="103"/>
      <c r="E4" s="102" t="s">
        <v>842</v>
      </c>
      <c r="F4" s="102" t="s">
        <v>407</v>
      </c>
      <c r="G4" s="102" t="s">
        <v>827</v>
      </c>
      <c r="H4" s="104"/>
      <c r="I4" s="104"/>
      <c r="J4" s="104"/>
      <c r="K4" s="104"/>
      <c r="L4" s="104"/>
      <c r="M4" s="104"/>
      <c r="N4" s="106"/>
      <c r="O4" s="106"/>
      <c r="P4" s="106"/>
      <c r="Q4" s="107"/>
    </row>
    <row r="5" spans="1:17" ht="53.25" customHeight="1" thickBot="1">
      <c r="A5" s="78" t="s">
        <v>112</v>
      </c>
      <c r="B5" s="104"/>
      <c r="C5" s="104"/>
      <c r="D5" s="103"/>
      <c r="E5" s="102" t="s">
        <v>885</v>
      </c>
      <c r="F5" s="102" t="s">
        <v>407</v>
      </c>
      <c r="G5" s="102" t="s">
        <v>640</v>
      </c>
      <c r="H5" s="104"/>
      <c r="I5" s="104"/>
      <c r="J5" s="104"/>
      <c r="K5" s="104"/>
      <c r="L5" s="104"/>
      <c r="M5" s="104"/>
      <c r="N5" s="106"/>
      <c r="O5" s="106"/>
      <c r="P5" s="106"/>
      <c r="Q5" s="107"/>
    </row>
    <row r="6" spans="1:17" ht="53.25" customHeight="1" thickBot="1">
      <c r="A6" s="78" t="s">
        <v>15</v>
      </c>
      <c r="B6" s="104"/>
      <c r="C6" s="104"/>
      <c r="D6" s="103"/>
      <c r="E6" s="102" t="s">
        <v>825</v>
      </c>
      <c r="F6" s="102" t="s">
        <v>407</v>
      </c>
      <c r="G6" s="102" t="s">
        <v>827</v>
      </c>
      <c r="H6" s="104"/>
      <c r="I6" s="104"/>
      <c r="J6" s="104"/>
      <c r="K6" s="104"/>
      <c r="L6" s="104"/>
      <c r="M6" s="104"/>
    </row>
    <row r="7" spans="1:17" ht="53.25" customHeight="1" thickBot="1">
      <c r="A7" s="109" t="s">
        <v>16</v>
      </c>
      <c r="B7" s="104"/>
      <c r="C7" s="110"/>
      <c r="D7" s="103"/>
      <c r="E7" s="102" t="s">
        <v>848</v>
      </c>
      <c r="F7" s="102" t="s">
        <v>407</v>
      </c>
      <c r="G7" s="102" t="s">
        <v>849</v>
      </c>
      <c r="H7" s="104"/>
      <c r="I7" s="104"/>
      <c r="J7" s="104"/>
      <c r="K7" s="104"/>
      <c r="L7" s="104"/>
      <c r="M7" s="104"/>
    </row>
    <row r="8" spans="1:17" ht="53.25" customHeight="1" thickBot="1">
      <c r="A8" s="109" t="s">
        <v>17</v>
      </c>
      <c r="B8" s="104"/>
      <c r="C8" s="110"/>
      <c r="D8" s="103"/>
      <c r="E8" s="102" t="s">
        <v>858</v>
      </c>
      <c r="F8" s="102" t="s">
        <v>407</v>
      </c>
      <c r="G8" s="102" t="s">
        <v>827</v>
      </c>
      <c r="H8" s="104"/>
      <c r="I8" s="104"/>
      <c r="J8" s="104"/>
      <c r="K8" s="104"/>
      <c r="L8" s="104"/>
      <c r="M8" s="104"/>
    </row>
    <row r="9" spans="1:17" ht="53.25" customHeight="1" thickBot="1">
      <c r="A9" s="109" t="s">
        <v>18</v>
      </c>
      <c r="B9" s="104"/>
      <c r="C9" s="110"/>
      <c r="D9" s="111"/>
      <c r="E9" s="102" t="s">
        <v>879</v>
      </c>
      <c r="F9" s="102" t="s">
        <v>880</v>
      </c>
      <c r="G9" s="102" t="s">
        <v>826</v>
      </c>
      <c r="H9" s="104"/>
      <c r="I9" s="104"/>
      <c r="J9" s="104"/>
      <c r="K9" s="104"/>
      <c r="L9" s="104"/>
      <c r="M9" s="104"/>
    </row>
    <row r="10" spans="1:17" ht="53.25" customHeight="1" thickBot="1">
      <c r="A10" s="109" t="s">
        <v>20</v>
      </c>
      <c r="B10" s="104"/>
      <c r="C10" s="110"/>
      <c r="D10" s="103"/>
      <c r="E10" s="102" t="s">
        <v>871</v>
      </c>
      <c r="F10" s="102" t="s">
        <v>407</v>
      </c>
      <c r="G10" s="102" t="s">
        <v>827</v>
      </c>
      <c r="H10" s="104"/>
      <c r="I10" s="104"/>
      <c r="J10" s="104"/>
      <c r="K10" s="104"/>
      <c r="L10" s="104"/>
      <c r="M10" s="104"/>
    </row>
    <row r="11" spans="1:17" ht="53.25" customHeight="1" thickBot="1">
      <c r="A11" s="109" t="s">
        <v>492</v>
      </c>
      <c r="B11" s="104"/>
      <c r="C11" s="110"/>
      <c r="D11" s="103"/>
      <c r="E11" s="102" t="s">
        <v>825</v>
      </c>
      <c r="F11" s="102" t="s">
        <v>407</v>
      </c>
      <c r="G11" s="102" t="s">
        <v>827</v>
      </c>
      <c r="H11" s="104"/>
      <c r="I11" s="104"/>
      <c r="J11" s="104"/>
      <c r="K11" s="104"/>
      <c r="L11" s="104"/>
      <c r="M11" s="104"/>
    </row>
    <row r="12" spans="1:17" ht="53.25" customHeight="1" thickBot="1">
      <c r="A12" s="109" t="s">
        <v>21</v>
      </c>
      <c r="B12" s="104"/>
      <c r="C12" s="110"/>
      <c r="D12" s="103"/>
      <c r="E12" s="102" t="s">
        <v>886</v>
      </c>
      <c r="F12" s="102" t="s">
        <v>887</v>
      </c>
      <c r="G12" s="102" t="s">
        <v>888</v>
      </c>
      <c r="H12" s="104"/>
      <c r="I12" s="108"/>
      <c r="J12" s="104"/>
      <c r="K12" s="104"/>
      <c r="L12" s="104"/>
      <c r="M12" s="104"/>
    </row>
    <row r="13" spans="1:17" ht="53.25" customHeight="1" thickBot="1">
      <c r="A13" s="109" t="s">
        <v>114</v>
      </c>
      <c r="B13" s="113"/>
      <c r="C13" s="114"/>
      <c r="D13" s="103"/>
      <c r="E13" s="102" t="s">
        <v>889</v>
      </c>
      <c r="F13" s="102" t="s">
        <v>890</v>
      </c>
      <c r="G13" s="102" t="s">
        <v>867</v>
      </c>
      <c r="H13" s="104"/>
      <c r="I13" s="104"/>
      <c r="J13" s="104"/>
      <c r="K13" s="104"/>
      <c r="L13" s="104"/>
      <c r="M13" s="104"/>
    </row>
    <row r="14" spans="1:17" ht="53.25" customHeight="1" thickBot="1">
      <c r="A14" s="109" t="s">
        <v>22</v>
      </c>
      <c r="B14" s="104"/>
      <c r="C14" s="110"/>
      <c r="D14" s="103"/>
      <c r="E14" s="102" t="s">
        <v>825</v>
      </c>
      <c r="F14" s="102" t="s">
        <v>407</v>
      </c>
      <c r="G14" s="102" t="s">
        <v>827</v>
      </c>
      <c r="H14" s="104"/>
      <c r="I14" s="104"/>
      <c r="J14" s="104"/>
      <c r="K14" s="104"/>
      <c r="L14" s="104"/>
      <c r="M14" s="104"/>
    </row>
    <row r="15" spans="1:17" ht="53.25" customHeight="1" thickBot="1">
      <c r="A15" s="109" t="s">
        <v>258</v>
      </c>
      <c r="B15" s="104"/>
      <c r="C15" s="110"/>
      <c r="D15" s="103"/>
      <c r="E15" s="102" t="s">
        <v>855</v>
      </c>
      <c r="F15" s="102" t="s">
        <v>407</v>
      </c>
      <c r="G15" s="102" t="s">
        <v>827</v>
      </c>
      <c r="H15" s="104"/>
      <c r="I15" s="104"/>
      <c r="J15" s="104"/>
      <c r="K15" s="104"/>
      <c r="L15" s="104"/>
      <c r="M15" s="104"/>
    </row>
    <row r="16" spans="1:17" ht="39" thickBot="1">
      <c r="A16" s="109" t="s">
        <v>495</v>
      </c>
      <c r="B16" s="104"/>
      <c r="C16" s="110"/>
      <c r="D16" s="103"/>
      <c r="E16" s="102" t="s">
        <v>877</v>
      </c>
      <c r="F16" s="102" t="s">
        <v>878</v>
      </c>
      <c r="G16" s="102" t="s">
        <v>826</v>
      </c>
      <c r="H16" s="104"/>
      <c r="I16" s="104"/>
      <c r="J16" s="104"/>
      <c r="K16" s="104"/>
      <c r="L16" s="104"/>
      <c r="M16" s="104"/>
    </row>
    <row r="17" spans="1:13" ht="39" thickBot="1">
      <c r="A17" s="109" t="s">
        <v>389</v>
      </c>
      <c r="B17" s="104"/>
      <c r="C17" s="110"/>
      <c r="D17" s="103"/>
      <c r="E17" s="102" t="s">
        <v>874</v>
      </c>
      <c r="F17" s="102" t="s">
        <v>407</v>
      </c>
      <c r="G17" s="102" t="s">
        <v>827</v>
      </c>
      <c r="H17" s="104"/>
      <c r="I17" s="108"/>
      <c r="J17" s="104"/>
      <c r="K17" s="104"/>
      <c r="L17" s="104"/>
      <c r="M17" s="104"/>
    </row>
    <row r="18" spans="1:13" ht="39" thickBot="1">
      <c r="A18" s="109" t="s">
        <v>25</v>
      </c>
      <c r="B18" s="104"/>
      <c r="C18" s="110"/>
      <c r="D18" s="103"/>
      <c r="E18" s="102" t="s">
        <v>863</v>
      </c>
      <c r="F18" s="102" t="s">
        <v>864</v>
      </c>
      <c r="G18" s="102" t="s">
        <v>849</v>
      </c>
      <c r="H18" s="104"/>
      <c r="I18" s="104"/>
      <c r="J18" s="104"/>
      <c r="K18" s="104"/>
      <c r="L18" s="104"/>
      <c r="M18" s="104"/>
    </row>
    <row r="19" spans="1:13" ht="39" thickBot="1">
      <c r="A19" s="109" t="s">
        <v>26</v>
      </c>
      <c r="B19" s="104"/>
      <c r="C19" s="110"/>
      <c r="D19" s="103"/>
      <c r="E19" s="102" t="s">
        <v>834</v>
      </c>
      <c r="F19" s="102" t="s">
        <v>835</v>
      </c>
      <c r="G19" s="102" t="s">
        <v>827</v>
      </c>
      <c r="H19" s="104"/>
      <c r="I19" s="104"/>
      <c r="J19" s="104"/>
      <c r="K19" s="104"/>
      <c r="L19" s="104"/>
      <c r="M19" s="104"/>
    </row>
    <row r="20" spans="1:13" ht="39" thickBot="1">
      <c r="A20" s="109" t="s">
        <v>27</v>
      </c>
      <c r="B20" s="104"/>
      <c r="C20" s="110"/>
      <c r="D20" s="103"/>
      <c r="E20" s="102" t="s">
        <v>838</v>
      </c>
      <c r="F20" s="102" t="s">
        <v>839</v>
      </c>
      <c r="G20" s="102" t="s">
        <v>826</v>
      </c>
      <c r="H20" s="104"/>
      <c r="I20" s="104"/>
      <c r="J20" s="104"/>
      <c r="K20" s="108"/>
      <c r="L20" s="104"/>
      <c r="M20" s="104"/>
    </row>
    <row r="21" spans="1:13" ht="39" thickBot="1">
      <c r="A21" s="109" t="s">
        <v>28</v>
      </c>
      <c r="B21" s="104"/>
      <c r="C21" s="110"/>
      <c r="D21" s="103"/>
      <c r="E21" s="102" t="s">
        <v>836</v>
      </c>
      <c r="F21" s="102" t="s">
        <v>784</v>
      </c>
      <c r="G21" s="102" t="s">
        <v>837</v>
      </c>
      <c r="H21" s="104"/>
      <c r="I21" s="104"/>
      <c r="J21" s="104"/>
      <c r="K21" s="104"/>
      <c r="L21" s="104"/>
      <c r="M21" s="104"/>
    </row>
    <row r="22" spans="1:13" ht="39" thickBot="1">
      <c r="A22" s="109" t="s">
        <v>29</v>
      </c>
      <c r="B22" s="104"/>
      <c r="C22" s="110"/>
      <c r="D22" s="103"/>
      <c r="E22" s="102" t="s">
        <v>840</v>
      </c>
      <c r="F22" s="102" t="s">
        <v>841</v>
      </c>
      <c r="G22" s="102" t="s">
        <v>827</v>
      </c>
      <c r="H22" s="104"/>
      <c r="I22" s="104"/>
      <c r="J22" s="104"/>
      <c r="K22" s="104"/>
      <c r="L22" s="104"/>
      <c r="M22" s="104"/>
    </row>
    <row r="23" spans="1:13" ht="39" thickBot="1">
      <c r="A23" s="109" t="s">
        <v>30</v>
      </c>
      <c r="B23" s="104"/>
      <c r="C23" s="110"/>
      <c r="D23" s="103"/>
      <c r="E23" s="102" t="s">
        <v>855</v>
      </c>
      <c r="F23" s="102" t="s">
        <v>784</v>
      </c>
      <c r="G23" s="102" t="s">
        <v>827</v>
      </c>
      <c r="H23" s="104"/>
      <c r="I23" s="104"/>
      <c r="J23" s="104"/>
      <c r="K23" s="104"/>
      <c r="L23" s="104"/>
      <c r="M23" s="104"/>
    </row>
    <row r="24" spans="1:13" ht="39" thickBot="1">
      <c r="A24" s="109" t="s">
        <v>31</v>
      </c>
      <c r="B24" s="104"/>
      <c r="C24" s="110"/>
      <c r="D24" s="103"/>
      <c r="E24" s="102" t="s">
        <v>859</v>
      </c>
      <c r="F24" s="102" t="s">
        <v>860</v>
      </c>
      <c r="G24" s="102" t="s">
        <v>827</v>
      </c>
      <c r="H24" s="104"/>
      <c r="I24" s="104"/>
      <c r="J24" s="104"/>
      <c r="K24" s="104"/>
      <c r="L24" s="104"/>
      <c r="M24" s="104"/>
    </row>
    <row r="25" spans="1:13" ht="39" thickBot="1">
      <c r="A25" s="109" t="s">
        <v>476</v>
      </c>
      <c r="B25" s="104"/>
      <c r="C25" s="110"/>
      <c r="D25" s="103"/>
      <c r="E25" s="156" t="s">
        <v>875</v>
      </c>
      <c r="F25" s="102" t="s">
        <v>876</v>
      </c>
      <c r="G25" s="102" t="s">
        <v>827</v>
      </c>
      <c r="H25" s="104"/>
      <c r="I25" s="108"/>
      <c r="J25" s="104"/>
      <c r="K25" s="108"/>
      <c r="L25" s="104"/>
      <c r="M25" s="104"/>
    </row>
    <row r="26" spans="1:13" ht="39" thickBot="1">
      <c r="A26" s="109" t="s">
        <v>493</v>
      </c>
      <c r="B26" s="104"/>
      <c r="C26" s="110"/>
      <c r="D26" s="103"/>
      <c r="E26" s="102" t="s">
        <v>852</v>
      </c>
      <c r="F26" s="102" t="s">
        <v>407</v>
      </c>
      <c r="G26" s="102" t="s">
        <v>827</v>
      </c>
      <c r="H26" s="104"/>
      <c r="I26" s="104"/>
      <c r="J26" s="104"/>
      <c r="K26" s="104"/>
      <c r="L26" s="104"/>
      <c r="M26" s="104"/>
    </row>
    <row r="27" spans="1:13" ht="39" thickBot="1">
      <c r="A27" s="109" t="s">
        <v>320</v>
      </c>
      <c r="B27" s="104"/>
      <c r="C27" s="110"/>
      <c r="D27" s="103"/>
      <c r="E27" s="102" t="s">
        <v>843</v>
      </c>
      <c r="F27" s="156" t="s">
        <v>844</v>
      </c>
      <c r="G27" s="102" t="s">
        <v>827</v>
      </c>
      <c r="H27" s="104"/>
      <c r="I27" s="104"/>
      <c r="J27" s="104"/>
      <c r="K27" s="104"/>
      <c r="L27" s="104"/>
      <c r="M27" s="104"/>
    </row>
    <row r="28" spans="1:13" ht="39" thickBot="1">
      <c r="A28" s="109" t="s">
        <v>115</v>
      </c>
      <c r="B28" s="104"/>
      <c r="C28" s="110"/>
      <c r="D28" s="103"/>
      <c r="E28" s="102" t="s">
        <v>883</v>
      </c>
      <c r="F28" s="102" t="s">
        <v>884</v>
      </c>
      <c r="G28" s="102" t="s">
        <v>826</v>
      </c>
      <c r="H28" s="104"/>
      <c r="I28" s="104"/>
      <c r="J28" s="104"/>
      <c r="K28" s="104"/>
      <c r="L28" s="104"/>
      <c r="M28" s="104"/>
    </row>
    <row r="29" spans="1:13" ht="39" thickBot="1">
      <c r="A29" s="109" t="s">
        <v>116</v>
      </c>
      <c r="B29" s="104"/>
      <c r="C29" s="110"/>
      <c r="D29" s="103"/>
      <c r="E29" s="102" t="s">
        <v>825</v>
      </c>
      <c r="F29" s="102" t="s">
        <v>407</v>
      </c>
      <c r="G29" s="102" t="s">
        <v>827</v>
      </c>
      <c r="H29" s="104"/>
      <c r="I29" s="104"/>
      <c r="J29" s="104"/>
      <c r="K29" s="104"/>
      <c r="L29" s="104"/>
      <c r="M29" s="104"/>
    </row>
    <row r="30" spans="1:13" ht="39" thickBot="1">
      <c r="A30" s="109" t="s">
        <v>34</v>
      </c>
      <c r="B30" s="104"/>
      <c r="C30" s="110"/>
      <c r="D30" s="103"/>
      <c r="E30" s="102" t="s">
        <v>856</v>
      </c>
      <c r="F30" s="102" t="s">
        <v>857</v>
      </c>
      <c r="G30" s="102" t="s">
        <v>827</v>
      </c>
      <c r="H30" s="104"/>
      <c r="I30" s="104"/>
      <c r="J30" s="104"/>
      <c r="K30" s="104"/>
      <c r="L30" s="104"/>
      <c r="M30" s="104"/>
    </row>
    <row r="31" spans="1:13" ht="39" thickBot="1">
      <c r="A31" s="109" t="s">
        <v>35</v>
      </c>
      <c r="B31" s="104"/>
      <c r="C31" s="110"/>
      <c r="D31" s="103"/>
      <c r="E31" s="102" t="s">
        <v>853</v>
      </c>
      <c r="F31" s="102" t="s">
        <v>854</v>
      </c>
      <c r="G31" s="102" t="s">
        <v>826</v>
      </c>
      <c r="H31" s="104"/>
      <c r="I31" s="104"/>
      <c r="J31" s="104"/>
      <c r="K31" s="104"/>
      <c r="L31" s="104"/>
      <c r="M31" s="104"/>
    </row>
    <row r="32" spans="1:13" ht="39" thickBot="1">
      <c r="A32" s="109" t="s">
        <v>36</v>
      </c>
      <c r="B32" s="104"/>
      <c r="C32" s="110"/>
      <c r="D32" s="103"/>
      <c r="E32" s="102" t="s">
        <v>825</v>
      </c>
      <c r="F32" s="102" t="s">
        <v>470</v>
      </c>
      <c r="G32" s="102" t="s">
        <v>827</v>
      </c>
      <c r="H32" s="104"/>
      <c r="I32" s="104"/>
      <c r="J32" s="104"/>
      <c r="K32" s="104"/>
      <c r="L32" s="104"/>
      <c r="M32" s="104"/>
    </row>
    <row r="33" spans="1:13" ht="39" thickBot="1">
      <c r="A33" s="109" t="s">
        <v>37</v>
      </c>
      <c r="B33" s="104"/>
      <c r="C33" s="110"/>
      <c r="D33" s="103"/>
      <c r="E33" s="102" t="s">
        <v>865</v>
      </c>
      <c r="F33" s="102" t="s">
        <v>866</v>
      </c>
      <c r="G33" s="102" t="s">
        <v>867</v>
      </c>
      <c r="H33" s="104"/>
      <c r="I33" s="104"/>
      <c r="J33" s="104"/>
      <c r="K33" s="104"/>
      <c r="L33" s="104"/>
      <c r="M33" s="104"/>
    </row>
    <row r="34" spans="1:13" ht="39" thickBot="1">
      <c r="A34" s="109" t="s">
        <v>494</v>
      </c>
      <c r="B34" s="104"/>
      <c r="C34" s="110"/>
      <c r="D34" s="103"/>
      <c r="E34" s="102" t="s">
        <v>861</v>
      </c>
      <c r="F34" s="102" t="s">
        <v>407</v>
      </c>
      <c r="G34" s="102" t="s">
        <v>862</v>
      </c>
      <c r="H34" s="104"/>
      <c r="I34" s="104"/>
      <c r="J34" s="104"/>
      <c r="K34" s="104"/>
      <c r="L34" s="104"/>
      <c r="M34" s="104"/>
    </row>
    <row r="35" spans="1:13" ht="39" thickBot="1">
      <c r="A35" s="109" t="s">
        <v>40</v>
      </c>
      <c r="B35" s="104"/>
      <c r="C35" s="110"/>
      <c r="D35" s="103"/>
      <c r="E35" s="102" t="s">
        <v>831</v>
      </c>
      <c r="F35" s="102" t="s">
        <v>832</v>
      </c>
      <c r="G35" s="102" t="s">
        <v>833</v>
      </c>
      <c r="H35" s="104"/>
      <c r="I35" s="104"/>
      <c r="J35" s="104"/>
      <c r="K35" s="104"/>
      <c r="L35" s="104"/>
      <c r="M35" s="104"/>
    </row>
    <row r="36" spans="1:13" ht="39" thickBot="1">
      <c r="A36" s="109" t="s">
        <v>42</v>
      </c>
      <c r="B36" s="104"/>
      <c r="C36" s="110"/>
      <c r="D36" s="103"/>
      <c r="E36" s="156" t="s">
        <v>868</v>
      </c>
      <c r="F36" s="102" t="s">
        <v>869</v>
      </c>
      <c r="G36" s="102" t="s">
        <v>870</v>
      </c>
      <c r="H36" s="104"/>
      <c r="I36" s="104"/>
      <c r="J36" s="104"/>
      <c r="K36" s="104"/>
      <c r="L36" s="104"/>
      <c r="M36" s="104"/>
    </row>
    <row r="37" spans="1:13" ht="39" thickBot="1">
      <c r="A37" s="109" t="s">
        <v>117</v>
      </c>
      <c r="B37" s="104"/>
      <c r="C37" s="110"/>
      <c r="D37" s="103"/>
      <c r="E37" s="102" t="s">
        <v>825</v>
      </c>
      <c r="F37" s="102" t="s">
        <v>407</v>
      </c>
      <c r="G37" s="102" t="s">
        <v>827</v>
      </c>
      <c r="H37" s="104"/>
      <c r="I37" s="104"/>
      <c r="J37" s="104"/>
      <c r="K37" s="104"/>
      <c r="L37" s="104"/>
      <c r="M37" s="104"/>
    </row>
    <row r="38" spans="1:13" ht="39" thickBot="1">
      <c r="A38" s="109" t="s">
        <v>43</v>
      </c>
      <c r="B38" s="104"/>
      <c r="C38" s="110"/>
      <c r="D38" s="103"/>
      <c r="E38" s="102" t="s">
        <v>881</v>
      </c>
      <c r="F38" s="102" t="s">
        <v>882</v>
      </c>
      <c r="G38" s="102" t="s">
        <v>849</v>
      </c>
      <c r="H38" s="104"/>
      <c r="I38" s="104"/>
      <c r="J38" s="104"/>
      <c r="K38" s="104"/>
      <c r="L38" s="108"/>
      <c r="M38" s="104"/>
    </row>
    <row r="39" spans="1:13" ht="39" thickBot="1">
      <c r="A39" s="109" t="s">
        <v>46</v>
      </c>
      <c r="B39" s="104"/>
      <c r="C39" s="110"/>
      <c r="D39" s="103"/>
      <c r="E39" s="156" t="s">
        <v>850</v>
      </c>
      <c r="F39" s="102" t="s">
        <v>851</v>
      </c>
      <c r="G39" s="102" t="s">
        <v>849</v>
      </c>
      <c r="H39" s="108"/>
      <c r="I39" s="104"/>
      <c r="J39" s="104"/>
      <c r="K39" s="108"/>
      <c r="L39" s="104"/>
      <c r="M39" s="104"/>
    </row>
    <row r="40" spans="1:13" ht="38.25">
      <c r="A40" s="109" t="s">
        <v>414</v>
      </c>
      <c r="B40" s="104"/>
      <c r="C40" s="110"/>
      <c r="D40" s="103"/>
      <c r="E40" s="102" t="s">
        <v>825</v>
      </c>
      <c r="F40" s="102" t="s">
        <v>407</v>
      </c>
      <c r="G40" s="102" t="s">
        <v>827</v>
      </c>
      <c r="H40" s="104"/>
      <c r="I40" s="104"/>
      <c r="J40" s="104"/>
      <c r="K40" s="104"/>
      <c r="L40" s="104"/>
      <c r="M40" s="104"/>
    </row>
    <row r="41" spans="1:13" ht="15">
      <c r="B41"/>
      <c r="C41"/>
      <c r="D41"/>
      <c r="E41" s="118"/>
      <c r="F41" s="105"/>
      <c r="G41" s="106"/>
      <c r="H41" s="106"/>
      <c r="I41" s="105"/>
      <c r="J41" s="106"/>
      <c r="K41" s="106"/>
      <c r="L41" s="105"/>
      <c r="M41" s="106"/>
    </row>
    <row r="42" spans="1:13">
      <c r="E42" s="119"/>
      <c r="F42" s="106"/>
      <c r="G42" s="106"/>
      <c r="H42" s="120"/>
      <c r="I42" s="121"/>
      <c r="J42" s="106"/>
      <c r="K42" s="120"/>
      <c r="L42" s="106"/>
      <c r="M42" s="106"/>
    </row>
    <row r="43" spans="1:13">
      <c r="E43" s="119"/>
      <c r="F43" s="106"/>
      <c r="G43" s="106"/>
      <c r="H43" s="120"/>
      <c r="I43" s="106"/>
      <c r="J43" s="106"/>
      <c r="K43" s="120"/>
      <c r="L43" s="106"/>
      <c r="M43" s="106"/>
    </row>
    <row r="44" spans="1:13">
      <c r="E44" s="117"/>
      <c r="H44" s="120"/>
      <c r="I44" s="106"/>
      <c r="J44" s="105"/>
    </row>
    <row r="45" spans="1:13">
      <c r="H45" s="120"/>
      <c r="I45" s="106"/>
      <c r="J45" s="10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3"/>
  <sheetViews>
    <sheetView workbookViewId="0">
      <selection activeCell="G37" sqref="G37"/>
    </sheetView>
  </sheetViews>
  <sheetFormatPr defaultColWidth="19.7109375" defaultRowHeight="12.75"/>
  <cols>
    <col min="1" max="1" width="31.5703125" style="8" customWidth="1"/>
    <col min="2" max="2" width="22.7109375" style="8" customWidth="1"/>
    <col min="3" max="3" width="22" style="8" customWidth="1"/>
    <col min="4" max="4" width="22.140625" style="8" customWidth="1"/>
    <col min="5" max="5" width="21.7109375" style="80" customWidth="1"/>
    <col min="6" max="6" width="24.85546875" style="80" customWidth="1"/>
    <col min="7" max="7" width="24.28515625" style="83" customWidth="1"/>
    <col min="8" max="16384" width="19.7109375" style="8"/>
  </cols>
  <sheetData>
    <row r="1" spans="1:12" ht="30.75" thickBo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6" t="s">
        <v>6</v>
      </c>
      <c r="H1" s="7"/>
    </row>
    <row r="2" spans="1:12">
      <c r="A2" s="9" t="s">
        <v>7</v>
      </c>
      <c r="B2" s="10">
        <f>10.45+1418.88</f>
        <v>1429.3300000000002</v>
      </c>
      <c r="C2" s="10">
        <f>41+1270.08+10.45</f>
        <v>1321.53</v>
      </c>
      <c r="D2" s="11">
        <f>B2-C2</f>
        <v>107.80000000000018</v>
      </c>
      <c r="E2" s="12"/>
      <c r="F2" s="10"/>
      <c r="G2" s="13">
        <v>67.599999999999994</v>
      </c>
    </row>
    <row r="3" spans="1:12" s="19" customFormat="1" ht="13.5" thickBot="1">
      <c r="A3" s="14" t="s">
        <v>8</v>
      </c>
      <c r="B3" s="15"/>
      <c r="C3" s="15"/>
      <c r="D3" s="16">
        <f>B3-C3</f>
        <v>0</v>
      </c>
      <c r="E3" s="15"/>
      <c r="F3" s="15"/>
      <c r="G3" s="17">
        <v>37.99</v>
      </c>
      <c r="H3" s="18"/>
      <c r="I3" s="18"/>
      <c r="J3" s="18"/>
      <c r="K3" s="18"/>
      <c r="L3" s="18"/>
    </row>
    <row r="4" spans="1:12" ht="30">
      <c r="A4" s="20" t="s">
        <v>9</v>
      </c>
      <c r="B4" s="21" t="s">
        <v>1</v>
      </c>
      <c r="C4" s="22" t="s">
        <v>10</v>
      </c>
      <c r="D4" s="23" t="s">
        <v>11</v>
      </c>
      <c r="E4" s="21" t="s">
        <v>4</v>
      </c>
      <c r="F4" s="21" t="s">
        <v>12</v>
      </c>
      <c r="G4" s="24" t="s">
        <v>13</v>
      </c>
      <c r="H4" s="25"/>
    </row>
    <row r="5" spans="1:12" s="19" customFormat="1">
      <c r="A5" s="26" t="s">
        <v>14</v>
      </c>
      <c r="B5" s="27"/>
      <c r="C5" s="28"/>
      <c r="D5" s="28">
        <f t="shared" ref="D5:D29" si="0">B5-C5</f>
        <v>0</v>
      </c>
      <c r="E5" s="28"/>
      <c r="F5" s="29"/>
      <c r="G5" s="30">
        <v>1.4</v>
      </c>
      <c r="H5" s="18"/>
      <c r="I5" s="18"/>
      <c r="J5" s="18"/>
      <c r="K5" s="18"/>
      <c r="L5" s="18"/>
    </row>
    <row r="6" spans="1:12" s="19" customFormat="1">
      <c r="A6" s="26" t="s">
        <v>15</v>
      </c>
      <c r="B6" s="27">
        <f>315.78+213</f>
        <v>528.78</v>
      </c>
      <c r="C6" s="28">
        <f>315.78+213</f>
        <v>528.78</v>
      </c>
      <c r="D6" s="28">
        <f>B6-C6</f>
        <v>0</v>
      </c>
      <c r="E6" s="28"/>
      <c r="F6" s="29"/>
      <c r="G6" s="30">
        <v>63.72</v>
      </c>
      <c r="H6" s="18"/>
      <c r="I6" s="18"/>
      <c r="J6" s="18"/>
      <c r="K6" s="18"/>
      <c r="L6" s="18"/>
    </row>
    <row r="7" spans="1:12" s="19" customFormat="1" ht="13.5" customHeight="1">
      <c r="A7" s="31" t="s">
        <v>16</v>
      </c>
      <c r="B7" s="32"/>
      <c r="C7" s="28"/>
      <c r="D7" s="28">
        <f t="shared" si="0"/>
        <v>0</v>
      </c>
      <c r="E7" s="28"/>
      <c r="F7" s="29"/>
      <c r="G7" s="33">
        <v>15.04</v>
      </c>
      <c r="H7" s="18"/>
      <c r="I7" s="18"/>
      <c r="J7" s="18"/>
      <c r="K7" s="18"/>
      <c r="L7" s="18"/>
    </row>
    <row r="8" spans="1:12" s="19" customFormat="1">
      <c r="A8" s="31" t="s">
        <v>17</v>
      </c>
      <c r="B8" s="32"/>
      <c r="C8" s="28"/>
      <c r="D8" s="28">
        <f t="shared" si="0"/>
        <v>0</v>
      </c>
      <c r="E8" s="28"/>
      <c r="F8" s="29"/>
      <c r="G8" s="33">
        <v>0</v>
      </c>
      <c r="H8" s="18"/>
      <c r="I8" s="18"/>
      <c r="J8" s="18"/>
      <c r="K8" s="18"/>
      <c r="L8" s="18"/>
    </row>
    <row r="9" spans="1:12" s="19" customFormat="1">
      <c r="A9" s="31" t="s">
        <v>18</v>
      </c>
      <c r="B9" s="32">
        <v>373.5</v>
      </c>
      <c r="C9" s="28">
        <v>0</v>
      </c>
      <c r="D9" s="28">
        <f>B9-C9</f>
        <v>373.5</v>
      </c>
      <c r="E9" s="28"/>
      <c r="F9" s="29"/>
      <c r="G9" s="33">
        <v>6.93</v>
      </c>
      <c r="H9" s="18"/>
      <c r="I9" s="18"/>
      <c r="J9" s="18"/>
      <c r="K9" s="18"/>
      <c r="L9" s="18"/>
    </row>
    <row r="10" spans="1:12" s="19" customFormat="1">
      <c r="A10" s="31" t="s">
        <v>19</v>
      </c>
      <c r="B10" s="32">
        <f>373.51+510.84+160.17+111.08+28.28</f>
        <v>1183.8799999999999</v>
      </c>
      <c r="C10" s="28">
        <f>271.14+510.84+195.02+125.74+10.55+17.73</f>
        <v>1131.02</v>
      </c>
      <c r="D10" s="28">
        <f t="shared" si="0"/>
        <v>52.8599999999999</v>
      </c>
      <c r="E10" s="28"/>
      <c r="F10" s="29"/>
      <c r="G10" s="34">
        <v>804.3</v>
      </c>
      <c r="H10" s="18"/>
      <c r="I10" s="18"/>
      <c r="J10" s="18"/>
      <c r="K10" s="18"/>
      <c r="L10" s="18"/>
    </row>
    <row r="11" spans="1:12" s="19" customFormat="1">
      <c r="A11" s="31" t="s">
        <v>20</v>
      </c>
      <c r="B11" s="32">
        <v>32.450000000000003</v>
      </c>
      <c r="C11" s="28">
        <v>0</v>
      </c>
      <c r="D11" s="28">
        <f t="shared" si="0"/>
        <v>32.450000000000003</v>
      </c>
      <c r="E11" s="28"/>
      <c r="F11" s="29"/>
      <c r="G11" s="33">
        <v>0.5</v>
      </c>
      <c r="H11" s="18"/>
      <c r="I11" s="18"/>
      <c r="J11" s="18"/>
      <c r="K11" s="18"/>
      <c r="L11" s="18"/>
    </row>
    <row r="12" spans="1:12" s="19" customFormat="1">
      <c r="A12" s="31" t="s">
        <v>21</v>
      </c>
      <c r="B12" s="32"/>
      <c r="C12" s="28"/>
      <c r="D12" s="28">
        <f t="shared" si="0"/>
        <v>0</v>
      </c>
      <c r="E12" s="28"/>
      <c r="F12" s="29"/>
      <c r="G12" s="34">
        <v>51.37</v>
      </c>
      <c r="H12" s="18"/>
      <c r="I12" s="18"/>
      <c r="J12" s="18"/>
      <c r="K12" s="18"/>
      <c r="L12" s="18"/>
    </row>
    <row r="13" spans="1:12" s="19" customFormat="1">
      <c r="A13" s="31" t="s">
        <v>22</v>
      </c>
      <c r="B13" s="32"/>
      <c r="C13" s="28"/>
      <c r="D13" s="28">
        <f t="shared" si="0"/>
        <v>0</v>
      </c>
      <c r="E13" s="28"/>
      <c r="F13" s="29"/>
      <c r="G13" s="33">
        <v>0</v>
      </c>
      <c r="H13" s="18"/>
      <c r="I13" s="18"/>
      <c r="J13" s="18"/>
      <c r="K13" s="18"/>
      <c r="L13" s="18"/>
    </row>
    <row r="14" spans="1:12" s="19" customFormat="1">
      <c r="A14" s="31" t="s">
        <v>23</v>
      </c>
      <c r="B14" s="32">
        <f>427.79+126.61</f>
        <v>554.4</v>
      </c>
      <c r="C14" s="28">
        <f>362.6+128.01</f>
        <v>490.61</v>
      </c>
      <c r="D14" s="28">
        <f t="shared" si="0"/>
        <v>63.789999999999964</v>
      </c>
      <c r="E14" s="28"/>
      <c r="F14" s="29"/>
      <c r="G14" s="33">
        <v>9.8800000000000008</v>
      </c>
      <c r="H14" s="18"/>
      <c r="I14" s="18"/>
      <c r="J14" s="18"/>
      <c r="K14" s="18"/>
      <c r="L14" s="18"/>
    </row>
    <row r="15" spans="1:12" s="19" customFormat="1">
      <c r="A15" s="31" t="s">
        <v>24</v>
      </c>
      <c r="B15" s="32"/>
      <c r="C15" s="28"/>
      <c r="D15" s="28">
        <f t="shared" si="0"/>
        <v>0</v>
      </c>
      <c r="E15" s="28"/>
      <c r="F15" s="29"/>
      <c r="G15" s="33">
        <v>0</v>
      </c>
      <c r="H15" s="18"/>
      <c r="I15" s="18"/>
      <c r="J15" s="18"/>
      <c r="K15" s="18"/>
      <c r="L15" s="18"/>
    </row>
    <row r="16" spans="1:12" s="19" customFormat="1">
      <c r="A16" s="31" t="s">
        <v>25</v>
      </c>
      <c r="B16" s="32"/>
      <c r="C16" s="28"/>
      <c r="D16" s="28">
        <f t="shared" si="0"/>
        <v>0</v>
      </c>
      <c r="E16" s="28"/>
      <c r="F16" s="35"/>
      <c r="G16" s="33">
        <v>58.8</v>
      </c>
      <c r="H16" s="18"/>
      <c r="I16" s="18"/>
      <c r="J16" s="18"/>
      <c r="K16" s="18"/>
      <c r="L16" s="18"/>
    </row>
    <row r="17" spans="1:12" s="19" customFormat="1">
      <c r="A17" s="26" t="s">
        <v>26</v>
      </c>
      <c r="B17" s="27"/>
      <c r="C17" s="28"/>
      <c r="D17" s="28">
        <f t="shared" si="0"/>
        <v>0</v>
      </c>
      <c r="E17" s="28"/>
      <c r="F17" s="35"/>
      <c r="G17" s="36"/>
      <c r="H17" s="18"/>
      <c r="I17" s="18"/>
      <c r="J17" s="18"/>
      <c r="K17" s="18"/>
      <c r="L17" s="18"/>
    </row>
    <row r="18" spans="1:12" s="19" customFormat="1">
      <c r="A18" s="26" t="s">
        <v>27</v>
      </c>
      <c r="B18" s="27">
        <v>1494.82</v>
      </c>
      <c r="C18" s="28">
        <v>1494.82</v>
      </c>
      <c r="D18" s="28">
        <f t="shared" si="0"/>
        <v>0</v>
      </c>
      <c r="E18" s="28"/>
      <c r="F18" s="35"/>
      <c r="G18" s="123">
        <v>96.4</v>
      </c>
      <c r="H18" s="18"/>
      <c r="I18" s="18"/>
      <c r="J18" s="18"/>
      <c r="K18" s="18"/>
      <c r="L18" s="18"/>
    </row>
    <row r="19" spans="1:12" s="19" customFormat="1">
      <c r="A19" s="26" t="s">
        <v>28</v>
      </c>
      <c r="B19" s="27"/>
      <c r="C19" s="28"/>
      <c r="D19" s="28">
        <f t="shared" si="0"/>
        <v>0</v>
      </c>
      <c r="E19" s="28"/>
      <c r="F19" s="35"/>
      <c r="G19" s="36"/>
      <c r="H19" s="18"/>
      <c r="I19" s="18"/>
      <c r="J19" s="18"/>
      <c r="K19" s="18"/>
      <c r="L19" s="18"/>
    </row>
    <row r="20" spans="1:12" s="19" customFormat="1">
      <c r="A20" s="26" t="s">
        <v>29</v>
      </c>
      <c r="B20" s="27"/>
      <c r="C20" s="28"/>
      <c r="D20" s="28">
        <f t="shared" si="0"/>
        <v>0</v>
      </c>
      <c r="E20" s="28"/>
      <c r="F20" s="37"/>
      <c r="G20" s="36">
        <v>35.5</v>
      </c>
      <c r="H20" s="18"/>
      <c r="I20" s="18"/>
      <c r="J20" s="18"/>
      <c r="K20" s="18"/>
      <c r="L20" s="18"/>
    </row>
    <row r="21" spans="1:12" s="19" customFormat="1">
      <c r="A21" s="26" t="s">
        <v>30</v>
      </c>
      <c r="B21" s="27"/>
      <c r="C21" s="28"/>
      <c r="D21" s="28">
        <f t="shared" si="0"/>
        <v>0</v>
      </c>
      <c r="E21" s="28"/>
      <c r="F21" s="37"/>
      <c r="G21" s="36">
        <v>0</v>
      </c>
      <c r="H21" s="18"/>
      <c r="I21" s="18"/>
      <c r="J21" s="18"/>
      <c r="K21" s="18"/>
      <c r="L21" s="18"/>
    </row>
    <row r="22" spans="1:12" s="19" customFormat="1">
      <c r="A22" s="26" t="s">
        <v>31</v>
      </c>
      <c r="B22" s="27"/>
      <c r="C22" s="28"/>
      <c r="D22" s="28">
        <f t="shared" si="0"/>
        <v>0</v>
      </c>
      <c r="E22" s="28"/>
      <c r="F22" s="29"/>
      <c r="G22" s="30">
        <v>2.52</v>
      </c>
      <c r="H22" s="18"/>
      <c r="I22" s="18"/>
      <c r="J22" s="18"/>
      <c r="K22" s="18"/>
      <c r="L22" s="18"/>
    </row>
    <row r="23" spans="1:12" s="19" customFormat="1">
      <c r="A23" s="31" t="s">
        <v>32</v>
      </c>
      <c r="B23" s="32">
        <f>88.89+172.66</f>
        <v>261.55</v>
      </c>
      <c r="C23" s="28">
        <f>24.6+172.66</f>
        <v>197.26</v>
      </c>
      <c r="D23" s="28">
        <f t="shared" si="0"/>
        <v>64.29000000000002</v>
      </c>
      <c r="E23" s="28"/>
      <c r="F23" s="29"/>
      <c r="G23" s="33">
        <v>38</v>
      </c>
      <c r="H23" s="18"/>
      <c r="I23" s="18"/>
      <c r="J23" s="18"/>
      <c r="K23" s="18"/>
      <c r="L23" s="18"/>
    </row>
    <row r="24" spans="1:12" s="19" customFormat="1" ht="12.75" customHeight="1">
      <c r="A24" s="38" t="s">
        <v>33</v>
      </c>
      <c r="B24" s="39">
        <v>560.5</v>
      </c>
      <c r="C24" s="35">
        <v>0</v>
      </c>
      <c r="D24" s="40">
        <f t="shared" si="0"/>
        <v>560.5</v>
      </c>
      <c r="E24" s="28"/>
      <c r="F24" s="29"/>
      <c r="G24" s="41"/>
      <c r="H24" s="42"/>
      <c r="I24" s="18"/>
      <c r="J24" s="18"/>
      <c r="K24" s="18"/>
      <c r="L24" s="18"/>
    </row>
    <row r="25" spans="1:12" s="19" customFormat="1">
      <c r="A25" s="31" t="s">
        <v>34</v>
      </c>
      <c r="B25" s="32"/>
      <c r="C25" s="28"/>
      <c r="D25" s="28">
        <f t="shared" si="0"/>
        <v>0</v>
      </c>
      <c r="E25" s="28"/>
      <c r="F25" s="29"/>
      <c r="G25" s="33">
        <v>2.25</v>
      </c>
      <c r="H25" s="18"/>
      <c r="I25" s="18"/>
      <c r="J25" s="18"/>
      <c r="K25" s="18"/>
      <c r="L25" s="18"/>
    </row>
    <row r="26" spans="1:12" s="19" customFormat="1" ht="12.75" customHeight="1">
      <c r="A26" s="31" t="s">
        <v>35</v>
      </c>
      <c r="B26" s="39"/>
      <c r="C26" s="35"/>
      <c r="D26" s="40">
        <f t="shared" si="0"/>
        <v>0</v>
      </c>
      <c r="E26" s="28"/>
      <c r="F26" s="29"/>
      <c r="G26" s="33">
        <v>28.4</v>
      </c>
      <c r="H26" s="42"/>
      <c r="I26" s="18"/>
      <c r="J26" s="18"/>
      <c r="K26" s="18"/>
      <c r="L26" s="18"/>
    </row>
    <row r="27" spans="1:12" s="19" customFormat="1" ht="12.75" customHeight="1">
      <c r="A27" s="38" t="s">
        <v>36</v>
      </c>
      <c r="B27" s="39"/>
      <c r="C27" s="35"/>
      <c r="D27" s="28">
        <f t="shared" si="0"/>
        <v>0</v>
      </c>
      <c r="E27" s="28"/>
      <c r="F27" s="29"/>
      <c r="G27" s="41">
        <v>26.1</v>
      </c>
      <c r="H27" s="42"/>
      <c r="I27" s="18"/>
      <c r="J27" s="18"/>
      <c r="K27" s="18"/>
      <c r="L27" s="18"/>
    </row>
    <row r="28" spans="1:12" s="19" customFormat="1" ht="12.75" customHeight="1">
      <c r="A28" s="38" t="s">
        <v>37</v>
      </c>
      <c r="B28" s="39">
        <v>22.6</v>
      </c>
      <c r="C28" s="35">
        <v>22.6</v>
      </c>
      <c r="D28" s="28">
        <f t="shared" si="0"/>
        <v>0</v>
      </c>
      <c r="E28" s="28"/>
      <c r="F28" s="29"/>
      <c r="G28" s="41">
        <v>20.81</v>
      </c>
      <c r="H28" s="42"/>
      <c r="I28" s="18"/>
      <c r="J28" s="18"/>
      <c r="K28" s="18"/>
      <c r="L28" s="18"/>
    </row>
    <row r="29" spans="1:12" s="19" customFormat="1" ht="13.5" thickBot="1">
      <c r="A29" s="43" t="s">
        <v>38</v>
      </c>
      <c r="B29" s="44">
        <f>455.79+352.08+246.9</f>
        <v>1054.77</v>
      </c>
      <c r="C29" s="44">
        <f>404.21+352.08+171.74</f>
        <v>928.03</v>
      </c>
      <c r="D29" s="45">
        <f t="shared" si="0"/>
        <v>126.74000000000001</v>
      </c>
      <c r="E29" s="46"/>
      <c r="F29" s="46"/>
      <c r="G29" s="124">
        <v>353.9</v>
      </c>
      <c r="H29" s="18"/>
      <c r="I29" s="18"/>
      <c r="J29" s="18"/>
      <c r="K29" s="18"/>
      <c r="L29" s="18"/>
    </row>
    <row r="30" spans="1:12" s="19" customFormat="1" ht="30.75" thickBot="1">
      <c r="A30" s="47" t="s">
        <v>39</v>
      </c>
      <c r="B30" s="2" t="s">
        <v>1</v>
      </c>
      <c r="C30" s="48" t="s">
        <v>10</v>
      </c>
      <c r="D30" s="4" t="s">
        <v>11</v>
      </c>
      <c r="E30" s="2" t="s">
        <v>4</v>
      </c>
      <c r="F30" s="2" t="s">
        <v>12</v>
      </c>
      <c r="G30" s="6" t="s">
        <v>13</v>
      </c>
      <c r="H30" s="49"/>
    </row>
    <row r="31" spans="1:12" s="19" customFormat="1" ht="15.75" thickBot="1">
      <c r="A31" s="9" t="s">
        <v>40</v>
      </c>
      <c r="B31" s="50">
        <f>792.4</f>
        <v>792.4</v>
      </c>
      <c r="C31" s="51">
        <f>761</f>
        <v>761</v>
      </c>
      <c r="D31" s="52">
        <f>B31-C31</f>
        <v>31.399999999999977</v>
      </c>
      <c r="E31" s="53"/>
      <c r="F31" s="54"/>
      <c r="G31" s="55">
        <v>37.28</v>
      </c>
      <c r="H31" s="18"/>
      <c r="I31" s="18"/>
      <c r="J31" s="18"/>
      <c r="K31" s="18"/>
      <c r="L31" s="18"/>
    </row>
    <row r="32" spans="1:12" s="19" customFormat="1" ht="30.75" thickBot="1">
      <c r="A32" s="47" t="s">
        <v>41</v>
      </c>
      <c r="B32" s="2" t="s">
        <v>1</v>
      </c>
      <c r="C32" s="48" t="s">
        <v>10</v>
      </c>
      <c r="D32" s="4" t="s">
        <v>11</v>
      </c>
      <c r="E32" s="2" t="s">
        <v>4</v>
      </c>
      <c r="F32" s="2" t="s">
        <v>12</v>
      </c>
      <c r="G32" s="6" t="s">
        <v>13</v>
      </c>
      <c r="H32" s="49"/>
    </row>
    <row r="33" spans="1:12" s="19" customFormat="1" ht="15">
      <c r="A33" s="9" t="s">
        <v>42</v>
      </c>
      <c r="B33" s="10">
        <f>813.02+410.48</f>
        <v>1223.5</v>
      </c>
      <c r="C33" s="56">
        <f>773.2+348.35</f>
        <v>1121.5500000000002</v>
      </c>
      <c r="D33" s="57">
        <f>B33-C33</f>
        <v>101.94999999999982</v>
      </c>
      <c r="E33" s="58"/>
      <c r="F33" s="21"/>
      <c r="G33" s="126">
        <v>344.51</v>
      </c>
      <c r="H33" s="18"/>
      <c r="I33" s="18"/>
      <c r="J33" s="18"/>
      <c r="K33" s="18"/>
      <c r="L33" s="18"/>
    </row>
    <row r="34" spans="1:12" s="19" customFormat="1" ht="17.25" customHeight="1">
      <c r="A34" s="31" t="s">
        <v>43</v>
      </c>
      <c r="B34" s="32">
        <f>283.86+116.05+181.9</f>
        <v>581.81000000000006</v>
      </c>
      <c r="C34" s="59">
        <f>280.21+116.05+133.5</f>
        <v>529.76</v>
      </c>
      <c r="D34" s="35">
        <f>B34-C34</f>
        <v>52.050000000000068</v>
      </c>
      <c r="E34" s="39"/>
      <c r="F34" s="32"/>
      <c r="G34" s="33">
        <v>372.46</v>
      </c>
      <c r="H34" s="18"/>
      <c r="I34" s="18"/>
      <c r="J34" s="18"/>
      <c r="K34" s="18"/>
      <c r="L34" s="18"/>
    </row>
    <row r="35" spans="1:12" s="19" customFormat="1" ht="12.75" customHeight="1">
      <c r="A35" s="60" t="s">
        <v>44</v>
      </c>
      <c r="B35" s="39">
        <f>1880.1+67.41+489.92+318.21</f>
        <v>2755.64</v>
      </c>
      <c r="C35" s="35">
        <f>1245.7+67.41+481.47+37.54+253.68</f>
        <v>2085.8000000000002</v>
      </c>
      <c r="D35" s="35">
        <f>B35-C35</f>
        <v>669.83999999999969</v>
      </c>
      <c r="E35" s="39"/>
      <c r="F35" s="32"/>
      <c r="G35" s="33">
        <v>305.14</v>
      </c>
      <c r="H35" s="18"/>
      <c r="I35" s="18"/>
      <c r="J35" s="18"/>
      <c r="K35" s="18"/>
      <c r="L35" s="18"/>
    </row>
    <row r="36" spans="1:12" s="19" customFormat="1">
      <c r="A36" s="38" t="s">
        <v>45</v>
      </c>
      <c r="B36" s="44">
        <f>292.28+40.05+2853.46</f>
        <v>3185.79</v>
      </c>
      <c r="C36" s="44">
        <f>292.28+40.05+2818.92</f>
        <v>3151.25</v>
      </c>
      <c r="D36" s="45">
        <f>B36-C36</f>
        <v>34.539999999999964</v>
      </c>
      <c r="E36" s="61"/>
      <c r="F36" s="62"/>
      <c r="G36" s="125">
        <v>1478.65</v>
      </c>
      <c r="K36" s="18"/>
      <c r="L36" s="18"/>
    </row>
    <row r="37" spans="1:12" s="19" customFormat="1">
      <c r="A37" s="38" t="s">
        <v>46</v>
      </c>
      <c r="B37" s="39">
        <f>313.4+190.52+277.44</f>
        <v>781.3599999999999</v>
      </c>
      <c r="C37" s="35">
        <f>324.3+190.52+103.14+174.3</f>
        <v>792.26</v>
      </c>
      <c r="D37" s="35">
        <f>B37-C37</f>
        <v>-10.900000000000091</v>
      </c>
      <c r="E37" s="61"/>
      <c r="F37" s="62"/>
      <c r="G37" s="63">
        <v>202.88</v>
      </c>
      <c r="K37" s="18"/>
      <c r="L37" s="18"/>
    </row>
    <row r="38" spans="1:12" s="19" customFormat="1" ht="13.5" thickBot="1">
      <c r="A38" s="43" t="s">
        <v>47</v>
      </c>
      <c r="B38" s="64">
        <f>1013.54+2885.87</f>
        <v>3899.41</v>
      </c>
      <c r="C38" s="65">
        <v>0</v>
      </c>
      <c r="D38" s="64">
        <f>B38</f>
        <v>3899.41</v>
      </c>
      <c r="E38" s="66"/>
      <c r="F38" s="67"/>
      <c r="G38" s="127">
        <v>1311.53</v>
      </c>
      <c r="K38" s="18"/>
      <c r="L38" s="18"/>
    </row>
    <row r="39" spans="1:12" ht="34.5" customHeight="1" thickBot="1">
      <c r="A39" s="47" t="s">
        <v>48</v>
      </c>
      <c r="B39" s="2" t="s">
        <v>1</v>
      </c>
      <c r="C39" s="48" t="s">
        <v>10</v>
      </c>
      <c r="D39" s="4" t="s">
        <v>11</v>
      </c>
      <c r="E39" s="2" t="s">
        <v>4</v>
      </c>
      <c r="F39" s="5" t="s">
        <v>5</v>
      </c>
      <c r="G39" s="68"/>
      <c r="H39" s="18"/>
      <c r="I39" s="18"/>
      <c r="J39" s="18"/>
      <c r="K39" s="18"/>
      <c r="L39" s="18"/>
    </row>
    <row r="40" spans="1:12" ht="19.5" customHeight="1" thickBot="1">
      <c r="A40" s="9" t="s">
        <v>49</v>
      </c>
      <c r="B40" s="69"/>
      <c r="C40" s="69"/>
      <c r="D40" s="70">
        <f>B40-C40</f>
        <v>0</v>
      </c>
      <c r="E40" s="71"/>
      <c r="F40" s="72"/>
      <c r="G40" s="68"/>
    </row>
    <row r="41" spans="1:12" ht="19.5" customHeight="1" thickBot="1">
      <c r="A41" s="47" t="s">
        <v>50</v>
      </c>
      <c r="B41" s="73" t="s">
        <v>51</v>
      </c>
      <c r="C41" s="68"/>
      <c r="D41" s="68"/>
      <c r="E41" s="68"/>
      <c r="F41" s="68"/>
      <c r="G41" s="68"/>
      <c r="H41" s="18"/>
      <c r="I41" s="18"/>
      <c r="J41" s="18"/>
      <c r="K41" s="18"/>
      <c r="L41" s="18"/>
    </row>
    <row r="42" spans="1:12" ht="30" customHeight="1">
      <c r="A42" s="74" t="s">
        <v>52</v>
      </c>
      <c r="B42" s="75"/>
      <c r="C42" s="68"/>
      <c r="D42" s="68"/>
      <c r="E42" s="68"/>
      <c r="F42" s="68"/>
      <c r="G42" s="68"/>
    </row>
    <row r="43" spans="1:12" ht="15">
      <c r="A43" s="76" t="s">
        <v>53</v>
      </c>
      <c r="B43" s="77">
        <v>5.77</v>
      </c>
      <c r="C43" s="68"/>
      <c r="D43" s="68"/>
      <c r="E43" s="68"/>
      <c r="F43" s="68"/>
      <c r="G43" s="68"/>
    </row>
    <row r="44" spans="1:12" ht="15">
      <c r="A44" s="76" t="s">
        <v>54</v>
      </c>
      <c r="B44" s="77">
        <v>0.25</v>
      </c>
      <c r="C44" s="68"/>
      <c r="D44" s="68"/>
      <c r="E44" s="68"/>
      <c r="F44" s="68"/>
      <c r="G44" s="68"/>
    </row>
    <row r="45" spans="1:12" ht="15">
      <c r="A45" s="76" t="s">
        <v>55</v>
      </c>
      <c r="B45" s="77"/>
      <c r="C45" s="68"/>
      <c r="D45" s="68"/>
      <c r="E45" s="68"/>
      <c r="F45" s="68"/>
      <c r="G45" s="68"/>
    </row>
    <row r="46" spans="1:12" ht="15">
      <c r="A46" s="31" t="s">
        <v>56</v>
      </c>
      <c r="B46" s="77"/>
      <c r="C46" s="68"/>
      <c r="D46" s="68"/>
      <c r="E46" s="68"/>
      <c r="F46" s="68"/>
      <c r="G46" s="68"/>
    </row>
    <row r="47" spans="1:12" ht="15">
      <c r="A47" s="31" t="s">
        <v>188</v>
      </c>
      <c r="B47" s="77">
        <v>0</v>
      </c>
      <c r="C47" s="68"/>
      <c r="D47" s="68"/>
      <c r="E47" s="68"/>
      <c r="F47" s="68"/>
      <c r="G47" s="68"/>
    </row>
    <row r="48" spans="1:12" ht="25.5">
      <c r="A48" s="78" t="s">
        <v>57</v>
      </c>
      <c r="B48" s="77"/>
      <c r="C48" s="68"/>
      <c r="D48" s="68"/>
      <c r="E48" s="68"/>
      <c r="F48" s="68"/>
      <c r="G48" s="68"/>
    </row>
    <row r="49" spans="1:12" ht="25.5">
      <c r="A49" s="78" t="s">
        <v>58</v>
      </c>
      <c r="B49" s="77"/>
      <c r="C49" s="68"/>
      <c r="D49" s="68"/>
      <c r="E49" s="68"/>
      <c r="F49" s="68"/>
      <c r="G49" s="68"/>
    </row>
    <row r="50" spans="1:12" ht="25.5">
      <c r="A50" s="78" t="s">
        <v>59</v>
      </c>
      <c r="B50" s="77"/>
      <c r="C50" s="68"/>
      <c r="D50" s="68"/>
      <c r="E50" s="68"/>
      <c r="F50" s="68"/>
      <c r="G50" s="68"/>
    </row>
    <row r="51" spans="1:12" ht="15">
      <c r="A51" s="26" t="s">
        <v>60</v>
      </c>
      <c r="B51" s="77"/>
      <c r="C51" s="68"/>
      <c r="D51" s="68"/>
      <c r="E51" s="68"/>
      <c r="F51" s="68"/>
      <c r="G51" s="68"/>
    </row>
    <row r="52" spans="1:12" ht="14.25" customHeight="1">
      <c r="A52" s="76" t="s">
        <v>61</v>
      </c>
      <c r="B52" s="77"/>
      <c r="C52" s="68"/>
      <c r="D52" s="68"/>
      <c r="E52" s="68"/>
      <c r="F52" s="68"/>
      <c r="G52" s="68"/>
    </row>
    <row r="53" spans="1:12" ht="26.25" customHeight="1">
      <c r="A53" s="76" t="s">
        <v>62</v>
      </c>
      <c r="B53" s="77"/>
      <c r="C53" s="68"/>
      <c r="D53" s="68"/>
      <c r="E53" s="68"/>
      <c r="F53" s="68"/>
      <c r="G53" s="68"/>
    </row>
    <row r="54" spans="1:12" ht="33" customHeight="1">
      <c r="A54" s="76" t="s">
        <v>63</v>
      </c>
      <c r="B54" s="77"/>
      <c r="C54" s="68"/>
      <c r="D54" s="68"/>
      <c r="E54" s="68"/>
      <c r="F54" s="68"/>
      <c r="G54" s="68"/>
      <c r="J54" s="18"/>
      <c r="K54" s="18"/>
      <c r="L54" s="18"/>
    </row>
    <row r="55" spans="1:12" ht="32.25" customHeight="1">
      <c r="A55" s="76" t="s">
        <v>64</v>
      </c>
      <c r="B55" s="77"/>
      <c r="C55" s="68"/>
      <c r="D55" s="68"/>
      <c r="E55" s="68"/>
      <c r="F55" s="68"/>
      <c r="G55" s="68"/>
    </row>
    <row r="56" spans="1:12" ht="31.5" customHeight="1">
      <c r="A56" s="76" t="s">
        <v>65</v>
      </c>
      <c r="B56" s="77"/>
      <c r="C56" s="68"/>
      <c r="D56" s="68"/>
      <c r="E56" s="68"/>
      <c r="F56" s="68"/>
      <c r="G56" s="68"/>
    </row>
    <row r="57" spans="1:12" s="19" customFormat="1" ht="15">
      <c r="A57" s="76" t="s">
        <v>66</v>
      </c>
      <c r="B57" s="77"/>
      <c r="C57" s="68"/>
      <c r="D57" s="68"/>
      <c r="E57" s="68"/>
      <c r="F57" s="68"/>
      <c r="G57" s="68"/>
      <c r="H57" s="8"/>
      <c r="I57" s="8"/>
      <c r="J57" s="18"/>
      <c r="K57" s="18"/>
      <c r="L57" s="18"/>
    </row>
    <row r="58" spans="1:12" s="19" customFormat="1" ht="15">
      <c r="A58" s="76" t="s">
        <v>67</v>
      </c>
      <c r="B58" s="77"/>
      <c r="C58" s="68"/>
      <c r="D58" s="68"/>
      <c r="E58" s="68"/>
      <c r="F58" s="68"/>
      <c r="G58" s="68"/>
      <c r="H58" s="8"/>
      <c r="I58" s="8"/>
      <c r="J58" s="18"/>
      <c r="K58" s="18"/>
      <c r="L58" s="18"/>
    </row>
    <row r="59" spans="1:12" s="19" customFormat="1" ht="15">
      <c r="A59" s="76" t="s">
        <v>68</v>
      </c>
      <c r="B59" s="77"/>
      <c r="C59" s="68"/>
      <c r="D59" s="68"/>
      <c r="E59" s="68"/>
      <c r="F59" s="68"/>
      <c r="G59" s="68"/>
      <c r="H59" s="8"/>
      <c r="I59" s="8"/>
      <c r="J59" s="18"/>
      <c r="K59" s="18"/>
      <c r="L59" s="18"/>
    </row>
    <row r="60" spans="1:12" s="19" customFormat="1" ht="15">
      <c r="A60" s="76" t="s">
        <v>69</v>
      </c>
      <c r="B60" s="77"/>
      <c r="C60" s="68"/>
      <c r="D60" s="68"/>
      <c r="E60" s="68"/>
      <c r="F60" s="68"/>
      <c r="G60" s="68"/>
      <c r="H60" s="8"/>
      <c r="I60" s="8"/>
      <c r="J60" s="18"/>
      <c r="K60" s="18"/>
      <c r="L60" s="18"/>
    </row>
    <row r="61" spans="1:12" s="19" customFormat="1" ht="15">
      <c r="A61" s="78" t="s">
        <v>70</v>
      </c>
      <c r="B61" s="77"/>
      <c r="C61" s="68"/>
      <c r="D61" s="68"/>
      <c r="E61" s="68"/>
      <c r="F61" s="68"/>
      <c r="G61" s="68"/>
      <c r="H61" s="8"/>
      <c r="I61" s="8"/>
      <c r="J61" s="18"/>
      <c r="K61" s="18"/>
      <c r="L61" s="18"/>
    </row>
    <row r="62" spans="1:12" s="19" customFormat="1" ht="25.5">
      <c r="A62" s="78" t="s">
        <v>71</v>
      </c>
      <c r="B62" s="77"/>
      <c r="C62" s="68"/>
      <c r="D62" s="68"/>
      <c r="E62" s="68"/>
      <c r="F62" s="68"/>
      <c r="G62" s="68"/>
      <c r="H62" s="8"/>
      <c r="I62" s="8"/>
      <c r="J62" s="18"/>
      <c r="K62" s="18"/>
      <c r="L62" s="18"/>
    </row>
    <row r="63" spans="1:12" ht="15">
      <c r="A63" s="79" t="s">
        <v>72</v>
      </c>
      <c r="B63" s="77"/>
      <c r="C63" s="68"/>
      <c r="D63" s="68"/>
      <c r="E63" s="68"/>
      <c r="F63" s="68"/>
      <c r="G63" s="68"/>
    </row>
    <row r="64" spans="1:12" ht="15">
      <c r="A64" s="38" t="s">
        <v>73</v>
      </c>
      <c r="B64" s="77"/>
      <c r="C64" s="68"/>
      <c r="D64" s="68"/>
      <c r="E64" s="68"/>
      <c r="F64" s="68"/>
      <c r="G64" s="68"/>
    </row>
    <row r="65" spans="1:12" ht="15">
      <c r="A65" s="78" t="s">
        <v>74</v>
      </c>
      <c r="B65" s="122">
        <v>132.16999999999999</v>
      </c>
      <c r="C65" s="68"/>
      <c r="D65" s="68"/>
      <c r="E65" s="68"/>
      <c r="F65" s="68"/>
      <c r="G65" s="68"/>
    </row>
    <row r="66" spans="1:12" ht="15">
      <c r="A66" s="78" t="s">
        <v>75</v>
      </c>
      <c r="B66" s="77"/>
      <c r="C66" s="68"/>
      <c r="D66" s="68"/>
      <c r="E66" s="68"/>
      <c r="F66" s="68"/>
      <c r="G66" s="68"/>
    </row>
    <row r="67" spans="1:12" s="19" customFormat="1" ht="15">
      <c r="A67" s="78" t="s">
        <v>76</v>
      </c>
      <c r="B67" s="77"/>
      <c r="C67" s="68"/>
      <c r="D67" s="68"/>
      <c r="E67" s="68"/>
      <c r="F67" s="68"/>
      <c r="G67" s="68"/>
      <c r="H67" s="18"/>
      <c r="I67" s="18"/>
      <c r="J67" s="8"/>
      <c r="K67" s="8"/>
      <c r="L67" s="8"/>
    </row>
    <row r="68" spans="1:12" ht="15">
      <c r="A68" s="78" t="s">
        <v>77</v>
      </c>
      <c r="B68" s="77"/>
      <c r="C68" s="68"/>
      <c r="D68" s="68"/>
      <c r="E68" s="68"/>
      <c r="F68" s="68"/>
      <c r="G68" s="68"/>
      <c r="H68" s="18"/>
      <c r="I68" s="18"/>
    </row>
    <row r="69" spans="1:12" ht="15">
      <c r="A69" s="78" t="s">
        <v>78</v>
      </c>
      <c r="B69" s="77">
        <v>13.22</v>
      </c>
      <c r="C69" s="68"/>
      <c r="D69" s="68"/>
      <c r="E69" s="68"/>
      <c r="F69" s="68"/>
      <c r="G69" s="68"/>
    </row>
    <row r="70" spans="1:12" ht="15">
      <c r="A70" s="78" t="s">
        <v>79</v>
      </c>
      <c r="B70" s="77">
        <v>11.66</v>
      </c>
      <c r="C70" s="68"/>
      <c r="D70" s="68"/>
      <c r="E70" s="68"/>
      <c r="F70" s="68"/>
      <c r="G70" s="68"/>
    </row>
    <row r="71" spans="1:12" ht="15">
      <c r="A71" s="78" t="s">
        <v>80</v>
      </c>
      <c r="B71" s="77">
        <v>16.670000000000002</v>
      </c>
      <c r="C71" s="68"/>
      <c r="D71" s="68"/>
      <c r="E71" s="68"/>
      <c r="F71" s="68"/>
      <c r="G71" s="68"/>
    </row>
    <row r="72" spans="1:12" ht="15">
      <c r="A72" s="78" t="s">
        <v>81</v>
      </c>
      <c r="B72" s="122"/>
      <c r="C72" s="80"/>
      <c r="D72" s="81"/>
      <c r="E72" s="82"/>
      <c r="F72" s="82"/>
    </row>
    <row r="73" spans="1:12" ht="15">
      <c r="A73" s="78" t="s">
        <v>82</v>
      </c>
      <c r="B73" s="77"/>
      <c r="C73" s="80"/>
      <c r="D73" s="81"/>
      <c r="E73" s="82"/>
      <c r="F73" s="82"/>
    </row>
    <row r="74" spans="1:12" ht="15">
      <c r="A74" s="78" t="s">
        <v>83</v>
      </c>
      <c r="B74" s="77"/>
      <c r="C74" s="80"/>
      <c r="D74" s="81"/>
      <c r="E74" s="82"/>
      <c r="F74" s="82"/>
    </row>
    <row r="75" spans="1:12" ht="15">
      <c r="A75" s="78" t="s">
        <v>84</v>
      </c>
      <c r="B75" s="77"/>
      <c r="C75" s="80"/>
      <c r="D75" s="81"/>
      <c r="E75" s="82"/>
      <c r="F75" s="82"/>
    </row>
    <row r="76" spans="1:12" ht="15">
      <c r="A76" s="78" t="s">
        <v>85</v>
      </c>
      <c r="B76" s="77"/>
      <c r="C76" s="80"/>
      <c r="D76" s="81"/>
      <c r="E76" s="82"/>
      <c r="F76" s="82"/>
    </row>
    <row r="77" spans="1:12" ht="15">
      <c r="A77" s="78" t="s">
        <v>86</v>
      </c>
      <c r="B77" s="77"/>
      <c r="C77" s="80"/>
      <c r="D77" s="81"/>
      <c r="E77" s="82"/>
      <c r="F77" s="82"/>
    </row>
    <row r="78" spans="1:12" ht="15">
      <c r="A78" s="78" t="s">
        <v>87</v>
      </c>
      <c r="B78" s="77"/>
      <c r="C78" s="80"/>
      <c r="D78" s="81"/>
      <c r="E78" s="82"/>
      <c r="F78" s="82"/>
    </row>
    <row r="79" spans="1:12" ht="25.5">
      <c r="A79" s="78" t="s">
        <v>88</v>
      </c>
      <c r="B79" s="77"/>
      <c r="C79" s="80"/>
      <c r="D79" s="81"/>
      <c r="E79" s="82"/>
      <c r="F79" s="82"/>
    </row>
    <row r="80" spans="1:12" ht="25.5">
      <c r="A80" s="78" t="s">
        <v>89</v>
      </c>
      <c r="B80" s="77"/>
      <c r="C80" s="80"/>
      <c r="D80" s="81"/>
      <c r="E80" s="82"/>
      <c r="F80" s="82"/>
    </row>
    <row r="81" spans="1:12" ht="25.5">
      <c r="A81" s="78" t="s">
        <v>90</v>
      </c>
      <c r="B81" s="77"/>
      <c r="C81" s="80"/>
      <c r="D81" s="81"/>
      <c r="E81" s="82"/>
      <c r="F81" s="82"/>
    </row>
    <row r="82" spans="1:12" ht="15">
      <c r="A82" s="78" t="s">
        <v>91</v>
      </c>
      <c r="B82" s="77"/>
      <c r="C82" s="80"/>
      <c r="D82" s="81"/>
      <c r="E82" s="82"/>
      <c r="F82" s="82"/>
    </row>
    <row r="83" spans="1:12" ht="15">
      <c r="A83" s="78" t="s">
        <v>92</v>
      </c>
      <c r="B83" s="77">
        <v>0.16</v>
      </c>
      <c r="C83" s="80"/>
      <c r="D83" s="81"/>
      <c r="E83" s="82"/>
      <c r="F83" s="82"/>
    </row>
    <row r="84" spans="1:12" ht="15">
      <c r="A84" s="84" t="s">
        <v>93</v>
      </c>
      <c r="B84" s="77">
        <v>0.9</v>
      </c>
      <c r="C84" s="80"/>
      <c r="D84" s="81"/>
      <c r="E84" s="82"/>
      <c r="F84" s="82"/>
    </row>
    <row r="85" spans="1:12" ht="15">
      <c r="A85" s="84" t="s">
        <v>94</v>
      </c>
      <c r="B85" s="77">
        <v>28.33</v>
      </c>
      <c r="C85" s="80"/>
      <c r="D85" s="81"/>
      <c r="E85" s="82"/>
      <c r="F85" s="82"/>
    </row>
    <row r="86" spans="1:12" ht="15">
      <c r="A86" s="84" t="s">
        <v>95</v>
      </c>
      <c r="B86" s="77">
        <v>0</v>
      </c>
      <c r="C86" s="80"/>
      <c r="D86" s="81"/>
      <c r="E86" s="82"/>
      <c r="F86" s="82"/>
    </row>
    <row r="87" spans="1:12" ht="15">
      <c r="A87" s="84" t="s">
        <v>96</v>
      </c>
      <c r="B87" s="77">
        <v>0</v>
      </c>
      <c r="C87" s="80"/>
      <c r="D87" s="81"/>
      <c r="E87" s="82"/>
      <c r="F87" s="82"/>
    </row>
    <row r="88" spans="1:12" ht="15">
      <c r="A88" s="84" t="s">
        <v>97</v>
      </c>
      <c r="B88" s="77">
        <v>8.8800000000000008</v>
      </c>
      <c r="C88" s="80"/>
      <c r="D88" s="81"/>
      <c r="E88" s="82"/>
      <c r="F88" s="82"/>
    </row>
    <row r="89" spans="1:12" ht="25.5">
      <c r="A89" s="85" t="s">
        <v>98</v>
      </c>
      <c r="B89" s="77"/>
      <c r="C89" s="80"/>
      <c r="D89" s="81"/>
      <c r="E89" s="82"/>
      <c r="F89" s="82"/>
    </row>
    <row r="90" spans="1:12" ht="26.25" thickBot="1">
      <c r="A90" s="86" t="s">
        <v>99</v>
      </c>
      <c r="B90" s="87"/>
      <c r="C90" s="80"/>
      <c r="D90" s="81"/>
      <c r="E90" s="82"/>
      <c r="F90" s="82"/>
    </row>
    <row r="91" spans="1:12" ht="15.75" thickBot="1">
      <c r="A91" s="88"/>
      <c r="B91" s="89"/>
      <c r="C91" s="80"/>
      <c r="D91" s="81"/>
      <c r="E91" s="82"/>
      <c r="F91" s="82"/>
    </row>
    <row r="92" spans="1:12" s="19" customFormat="1" ht="15.75" thickBot="1">
      <c r="A92" s="90" t="s">
        <v>100</v>
      </c>
      <c r="B92" s="91">
        <f>SUM(B2:B40)</f>
        <v>20716.489999999998</v>
      </c>
      <c r="C92" s="92"/>
      <c r="D92" s="93"/>
      <c r="E92" s="68"/>
      <c r="F92" s="68"/>
      <c r="G92" s="93"/>
      <c r="H92" s="18"/>
      <c r="I92" s="18"/>
      <c r="J92" s="18"/>
      <c r="K92" s="18"/>
      <c r="L92" s="18"/>
    </row>
    <row r="93" spans="1:12" s="19" customFormat="1" ht="15.75" thickBot="1">
      <c r="A93" s="94" t="s">
        <v>101</v>
      </c>
      <c r="B93" s="95">
        <f>SUM(G2:G38)</f>
        <v>5773.86</v>
      </c>
      <c r="C93" s="93"/>
      <c r="D93" s="93"/>
      <c r="E93" s="68"/>
      <c r="F93" s="68"/>
      <c r="G93" s="96"/>
      <c r="H93" s="18"/>
      <c r="I93" s="18"/>
      <c r="J93" s="18"/>
      <c r="K93" s="18"/>
      <c r="L93" s="18"/>
    </row>
    <row r="94" spans="1:12" ht="15.75" thickBot="1">
      <c r="A94" s="97" t="s">
        <v>102</v>
      </c>
      <c r="B94" s="91">
        <f>SUM(B42:B90)</f>
        <v>218.01</v>
      </c>
      <c r="C94" s="80"/>
      <c r="D94" s="81"/>
      <c r="E94" s="82"/>
      <c r="F94" s="82"/>
    </row>
    <row r="95" spans="1:12" ht="15.75" thickBot="1">
      <c r="A95" s="98" t="s">
        <v>103</v>
      </c>
      <c r="B95" s="91">
        <f>B92+B93+B94</f>
        <v>26708.359999999997</v>
      </c>
      <c r="C95" s="80"/>
      <c r="D95" s="81"/>
    </row>
    <row r="96" spans="1:12">
      <c r="B96" s="80"/>
      <c r="C96" s="80"/>
      <c r="D96" s="81"/>
    </row>
    <row r="97" spans="1:12">
      <c r="B97" s="80"/>
      <c r="C97" s="80"/>
      <c r="D97" s="81"/>
    </row>
    <row r="98" spans="1:12">
      <c r="B98" s="80"/>
      <c r="C98" s="80"/>
      <c r="D98" s="80"/>
    </row>
    <row r="99" spans="1:12">
      <c r="B99" s="80"/>
      <c r="C99" s="80"/>
      <c r="D99" s="80"/>
    </row>
    <row r="100" spans="1:12">
      <c r="B100" s="80"/>
      <c r="C100" s="80"/>
      <c r="D100" s="80"/>
    </row>
    <row r="101" spans="1:12">
      <c r="B101" s="80"/>
      <c r="C101" s="80"/>
      <c r="D101" s="80"/>
    </row>
    <row r="102" spans="1:12" s="80" customFormat="1">
      <c r="A102" s="8"/>
      <c r="G102" s="83"/>
      <c r="H102" s="8"/>
      <c r="I102" s="8"/>
      <c r="J102" s="8"/>
      <c r="K102" s="8"/>
      <c r="L102" s="8"/>
    </row>
    <row r="103" spans="1:12" s="80" customFormat="1">
      <c r="A103" s="8"/>
      <c r="G103" s="83"/>
      <c r="H103" s="8"/>
      <c r="I103" s="8"/>
      <c r="J103" s="8"/>
      <c r="K103" s="8"/>
      <c r="L103" s="8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03"/>
  <sheetViews>
    <sheetView workbookViewId="0">
      <selection activeCell="G37" sqref="G37"/>
    </sheetView>
  </sheetViews>
  <sheetFormatPr defaultColWidth="19.7109375" defaultRowHeight="12.75"/>
  <cols>
    <col min="1" max="1" width="31.5703125" style="8" customWidth="1"/>
    <col min="2" max="2" width="22.7109375" style="8" customWidth="1"/>
    <col min="3" max="3" width="22" style="8" customWidth="1"/>
    <col min="4" max="4" width="22.140625" style="8" customWidth="1"/>
    <col min="5" max="5" width="21.7109375" style="80" customWidth="1"/>
    <col min="6" max="6" width="24.85546875" style="80" customWidth="1"/>
    <col min="7" max="7" width="24.28515625" style="83" customWidth="1"/>
    <col min="8" max="16384" width="19.7109375" style="8"/>
  </cols>
  <sheetData>
    <row r="1" spans="1:12" ht="30.75" thickBo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6" t="s">
        <v>6</v>
      </c>
      <c r="H1" s="7"/>
    </row>
    <row r="2" spans="1:12">
      <c r="A2" s="9" t="s">
        <v>7</v>
      </c>
      <c r="B2" s="10">
        <f>33.5+651.06</f>
        <v>684.56</v>
      </c>
      <c r="C2" s="10">
        <f>33.5+402.66</f>
        <v>436.16</v>
      </c>
      <c r="D2" s="11">
        <f>B2-C2</f>
        <v>248.39999999999992</v>
      </c>
      <c r="E2" s="12"/>
      <c r="F2" s="10"/>
      <c r="G2" s="13">
        <v>54.78</v>
      </c>
    </row>
    <row r="3" spans="1:12" s="19" customFormat="1" ht="13.5" thickBot="1">
      <c r="A3" s="14" t="s">
        <v>8</v>
      </c>
      <c r="B3" s="15"/>
      <c r="C3" s="15"/>
      <c r="D3" s="16">
        <f>B3-C3</f>
        <v>0</v>
      </c>
      <c r="E3" s="15"/>
      <c r="F3" s="15"/>
      <c r="G3" s="17">
        <v>53.15</v>
      </c>
      <c r="H3" s="18"/>
      <c r="I3" s="18"/>
      <c r="J3" s="18"/>
      <c r="K3" s="18"/>
      <c r="L3" s="18"/>
    </row>
    <row r="4" spans="1:12" ht="30">
      <c r="A4" s="20" t="s">
        <v>9</v>
      </c>
      <c r="B4" s="21" t="s">
        <v>1</v>
      </c>
      <c r="C4" s="22" t="s">
        <v>10</v>
      </c>
      <c r="D4" s="23" t="s">
        <v>11</v>
      </c>
      <c r="E4" s="21" t="s">
        <v>4</v>
      </c>
      <c r="F4" s="21" t="s">
        <v>12</v>
      </c>
      <c r="G4" s="24" t="s">
        <v>13</v>
      </c>
      <c r="H4" s="25"/>
    </row>
    <row r="5" spans="1:12" s="19" customFormat="1">
      <c r="A5" s="26" t="s">
        <v>14</v>
      </c>
      <c r="B5" s="27"/>
      <c r="C5" s="28"/>
      <c r="D5" s="28">
        <f t="shared" ref="D5:D29" si="0">B5-C5</f>
        <v>0</v>
      </c>
      <c r="E5" s="28"/>
      <c r="F5" s="29"/>
      <c r="G5" s="30">
        <v>0</v>
      </c>
      <c r="H5" s="18"/>
      <c r="I5" s="18"/>
      <c r="J5" s="18"/>
      <c r="K5" s="18"/>
      <c r="L5" s="18"/>
    </row>
    <row r="6" spans="1:12" s="19" customFormat="1">
      <c r="A6" s="26" t="s">
        <v>15</v>
      </c>
      <c r="B6" s="27">
        <f>1007.34+275.93</f>
        <v>1283.27</v>
      </c>
      <c r="C6" s="28">
        <f>1031.46+272.26</f>
        <v>1303.72</v>
      </c>
      <c r="D6" s="28">
        <f>B6-C6</f>
        <v>-20.450000000000045</v>
      </c>
      <c r="E6" s="28"/>
      <c r="F6" s="29"/>
      <c r="G6" s="131">
        <v>450.26</v>
      </c>
      <c r="H6" s="18"/>
      <c r="I6" s="18"/>
      <c r="J6" s="18"/>
      <c r="K6" s="18"/>
      <c r="L6" s="18"/>
    </row>
    <row r="7" spans="1:12" s="19" customFormat="1" ht="13.5" customHeight="1">
      <c r="A7" s="31" t="s">
        <v>16</v>
      </c>
      <c r="B7" s="32"/>
      <c r="C7" s="28"/>
      <c r="D7" s="28">
        <f t="shared" si="0"/>
        <v>0</v>
      </c>
      <c r="E7" s="28"/>
      <c r="F7" s="29"/>
      <c r="G7" s="33">
        <v>19.14</v>
      </c>
      <c r="H7" s="18"/>
      <c r="I7" s="18"/>
      <c r="J7" s="18"/>
      <c r="K7" s="18"/>
      <c r="L7" s="18"/>
    </row>
    <row r="8" spans="1:12" s="19" customFormat="1">
      <c r="A8" s="31" t="s">
        <v>17</v>
      </c>
      <c r="B8" s="32"/>
      <c r="C8" s="28"/>
      <c r="D8" s="28">
        <f t="shared" si="0"/>
        <v>0</v>
      </c>
      <c r="E8" s="28"/>
      <c r="F8" s="29"/>
      <c r="G8" s="33">
        <v>0.25</v>
      </c>
      <c r="H8" s="18"/>
      <c r="I8" s="18"/>
      <c r="J8" s="18"/>
      <c r="K8" s="18"/>
      <c r="L8" s="18"/>
    </row>
    <row r="9" spans="1:12" s="19" customFormat="1">
      <c r="A9" s="31" t="s">
        <v>18</v>
      </c>
      <c r="B9" s="32"/>
      <c r="C9" s="28"/>
      <c r="D9" s="28">
        <f>B9-C9</f>
        <v>0</v>
      </c>
      <c r="E9" s="28"/>
      <c r="F9" s="29"/>
      <c r="G9" s="33">
        <v>0.63</v>
      </c>
      <c r="H9" s="18"/>
      <c r="I9" s="18"/>
      <c r="J9" s="18"/>
      <c r="K9" s="18"/>
      <c r="L9" s="18"/>
    </row>
    <row r="10" spans="1:12" s="19" customFormat="1">
      <c r="A10" s="31" t="s">
        <v>19</v>
      </c>
      <c r="B10" s="32">
        <v>200</v>
      </c>
      <c r="C10" s="28">
        <v>200</v>
      </c>
      <c r="D10" s="28">
        <f t="shared" si="0"/>
        <v>0</v>
      </c>
      <c r="E10" s="28"/>
      <c r="F10" s="29"/>
      <c r="G10" s="34">
        <v>544.62</v>
      </c>
      <c r="H10" s="18"/>
      <c r="I10" s="18"/>
      <c r="J10" s="18"/>
      <c r="K10" s="18"/>
      <c r="L10" s="18"/>
    </row>
    <row r="11" spans="1:12" s="19" customFormat="1">
      <c r="A11" s="31" t="s">
        <v>20</v>
      </c>
      <c r="B11" s="32"/>
      <c r="C11" s="28"/>
      <c r="D11" s="28">
        <f t="shared" si="0"/>
        <v>0</v>
      </c>
      <c r="E11" s="28"/>
      <c r="F11" s="29"/>
      <c r="G11" s="33">
        <v>100.17</v>
      </c>
      <c r="H11" s="18"/>
      <c r="I11" s="18"/>
      <c r="J11" s="18"/>
      <c r="K11" s="18"/>
      <c r="L11" s="18"/>
    </row>
    <row r="12" spans="1:12" s="19" customFormat="1">
      <c r="A12" s="31" t="s">
        <v>21</v>
      </c>
      <c r="B12" s="32">
        <f>642.59+532.72+261.81+42.29</f>
        <v>1479.4099999999999</v>
      </c>
      <c r="C12" s="28">
        <f>288.99+605.01+261.81+70.45</f>
        <v>1226.26</v>
      </c>
      <c r="D12" s="28">
        <f t="shared" si="0"/>
        <v>253.14999999999986</v>
      </c>
      <c r="E12" s="28"/>
      <c r="F12" s="29"/>
      <c r="G12" s="34">
        <v>842.42</v>
      </c>
      <c r="H12" s="18"/>
      <c r="I12" s="18"/>
      <c r="J12" s="18"/>
      <c r="K12" s="18"/>
      <c r="L12" s="18"/>
    </row>
    <row r="13" spans="1:12" s="19" customFormat="1">
      <c r="A13" s="31" t="s">
        <v>22</v>
      </c>
      <c r="B13" s="32"/>
      <c r="C13" s="28"/>
      <c r="D13" s="28">
        <f t="shared" si="0"/>
        <v>0</v>
      </c>
      <c r="E13" s="28"/>
      <c r="F13" s="29"/>
      <c r="G13" s="33">
        <v>40.549999999999997</v>
      </c>
      <c r="H13" s="18"/>
      <c r="I13" s="18"/>
      <c r="J13" s="18"/>
      <c r="K13" s="18"/>
      <c r="L13" s="18"/>
    </row>
    <row r="14" spans="1:12" s="19" customFormat="1">
      <c r="A14" s="31" t="s">
        <v>23</v>
      </c>
      <c r="B14" s="32"/>
      <c r="C14" s="28"/>
      <c r="D14" s="28">
        <f t="shared" si="0"/>
        <v>0</v>
      </c>
      <c r="E14" s="28"/>
      <c r="F14" s="29"/>
      <c r="G14" s="33"/>
      <c r="H14" s="18"/>
      <c r="I14" s="18"/>
      <c r="J14" s="18"/>
      <c r="K14" s="18"/>
      <c r="L14" s="18"/>
    </row>
    <row r="15" spans="1:12" s="19" customFormat="1">
      <c r="A15" s="31" t="s">
        <v>24</v>
      </c>
      <c r="B15" s="32"/>
      <c r="C15" s="28"/>
      <c r="D15" s="28">
        <f t="shared" si="0"/>
        <v>0</v>
      </c>
      <c r="E15" s="28"/>
      <c r="F15" s="29"/>
      <c r="G15" s="33">
        <v>7.81</v>
      </c>
      <c r="H15" s="18"/>
      <c r="I15" s="18"/>
      <c r="J15" s="18"/>
      <c r="K15" s="18"/>
      <c r="L15" s="18"/>
    </row>
    <row r="16" spans="1:12" s="19" customFormat="1">
      <c r="A16" s="31" t="s">
        <v>25</v>
      </c>
      <c r="B16" s="32"/>
      <c r="C16" s="28"/>
      <c r="D16" s="28">
        <f t="shared" si="0"/>
        <v>0</v>
      </c>
      <c r="E16" s="28"/>
      <c r="F16" s="35"/>
      <c r="G16" s="33">
        <v>50.34</v>
      </c>
      <c r="H16" s="18"/>
      <c r="I16" s="18"/>
      <c r="J16" s="18"/>
      <c r="K16" s="18"/>
      <c r="L16" s="18"/>
    </row>
    <row r="17" spans="1:12" s="19" customFormat="1">
      <c r="A17" s="26" t="s">
        <v>26</v>
      </c>
      <c r="B17" s="27"/>
      <c r="C17" s="28"/>
      <c r="D17" s="28">
        <f t="shared" si="0"/>
        <v>0</v>
      </c>
      <c r="E17" s="28"/>
      <c r="F17" s="35"/>
      <c r="G17" s="36">
        <v>2.14</v>
      </c>
      <c r="H17" s="18"/>
      <c r="I17" s="18"/>
      <c r="J17" s="18"/>
      <c r="K17" s="18"/>
      <c r="L17" s="18"/>
    </row>
    <row r="18" spans="1:12" s="19" customFormat="1">
      <c r="A18" s="26" t="s">
        <v>27</v>
      </c>
      <c r="B18" s="27">
        <f>113.6+720.95+1464.07</f>
        <v>2298.62</v>
      </c>
      <c r="C18" s="28">
        <f>113.6+720.95+1464.07</f>
        <v>2298.62</v>
      </c>
      <c r="D18" s="28">
        <f t="shared" si="0"/>
        <v>0</v>
      </c>
      <c r="E18" s="28"/>
      <c r="F18" s="35"/>
      <c r="G18" s="123">
        <v>126.41</v>
      </c>
      <c r="H18" s="18"/>
      <c r="I18" s="18"/>
      <c r="J18" s="18"/>
      <c r="K18" s="18"/>
      <c r="L18" s="18"/>
    </row>
    <row r="19" spans="1:12" s="19" customFormat="1">
      <c r="A19" s="26" t="s">
        <v>28</v>
      </c>
      <c r="B19" s="27"/>
      <c r="C19" s="28"/>
      <c r="D19" s="28">
        <f t="shared" si="0"/>
        <v>0</v>
      </c>
      <c r="E19" s="28"/>
      <c r="F19" s="35"/>
      <c r="G19" s="36">
        <v>0</v>
      </c>
      <c r="H19" s="18"/>
      <c r="I19" s="18"/>
      <c r="J19" s="18"/>
      <c r="K19" s="18"/>
      <c r="L19" s="18"/>
    </row>
    <row r="20" spans="1:12" s="19" customFormat="1">
      <c r="A20" s="26" t="s">
        <v>29</v>
      </c>
      <c r="B20" s="27"/>
      <c r="C20" s="28"/>
      <c r="D20" s="28">
        <f t="shared" si="0"/>
        <v>0</v>
      </c>
      <c r="E20" s="28"/>
      <c r="F20" s="37"/>
      <c r="G20" s="36">
        <v>37.590000000000003</v>
      </c>
      <c r="H20" s="18"/>
      <c r="I20" s="18"/>
      <c r="J20" s="18"/>
      <c r="K20" s="18"/>
      <c r="L20" s="18"/>
    </row>
    <row r="21" spans="1:12" s="19" customFormat="1">
      <c r="A21" s="26" t="s">
        <v>30</v>
      </c>
      <c r="B21" s="27"/>
      <c r="C21" s="28"/>
      <c r="D21" s="28">
        <f t="shared" si="0"/>
        <v>0</v>
      </c>
      <c r="E21" s="28"/>
      <c r="F21" s="37"/>
      <c r="G21" s="36">
        <v>0</v>
      </c>
      <c r="H21" s="18"/>
      <c r="I21" s="18"/>
      <c r="J21" s="18"/>
      <c r="K21" s="18"/>
      <c r="L21" s="18"/>
    </row>
    <row r="22" spans="1:12" s="19" customFormat="1">
      <c r="A22" s="26" t="s">
        <v>31</v>
      </c>
      <c r="B22" s="27"/>
      <c r="C22" s="28"/>
      <c r="D22" s="28">
        <f t="shared" si="0"/>
        <v>0</v>
      </c>
      <c r="E22" s="28"/>
      <c r="F22" s="29"/>
      <c r="G22" s="30">
        <v>4.1100000000000003</v>
      </c>
      <c r="H22" s="18"/>
      <c r="I22" s="18"/>
      <c r="J22" s="18"/>
      <c r="K22" s="18"/>
      <c r="L22" s="18"/>
    </row>
    <row r="23" spans="1:12" s="19" customFormat="1">
      <c r="A23" s="31" t="s">
        <v>32</v>
      </c>
      <c r="B23" s="32"/>
      <c r="C23" s="28"/>
      <c r="D23" s="28">
        <f t="shared" si="0"/>
        <v>0</v>
      </c>
      <c r="E23" s="28"/>
      <c r="F23" s="29"/>
      <c r="G23" s="34">
        <v>234.62</v>
      </c>
      <c r="H23" s="18"/>
      <c r="I23" s="18"/>
      <c r="J23" s="18"/>
      <c r="K23" s="18"/>
      <c r="L23" s="18"/>
    </row>
    <row r="24" spans="1:12" s="19" customFormat="1" ht="12.75" customHeight="1">
      <c r="A24" s="38" t="s">
        <v>33</v>
      </c>
      <c r="B24" s="39">
        <f>148.21+151.89+274.41</f>
        <v>574.51</v>
      </c>
      <c r="C24" s="35">
        <v>0</v>
      </c>
      <c r="D24" s="40">
        <f t="shared" si="0"/>
        <v>574.51</v>
      </c>
      <c r="E24" s="28"/>
      <c r="F24" s="29"/>
      <c r="G24" s="41"/>
      <c r="H24" s="42"/>
      <c r="I24" s="18"/>
      <c r="J24" s="18"/>
      <c r="K24" s="18"/>
      <c r="L24" s="18"/>
    </row>
    <row r="25" spans="1:12" s="19" customFormat="1">
      <c r="A25" s="31" t="s">
        <v>34</v>
      </c>
      <c r="B25" s="32"/>
      <c r="C25" s="28"/>
      <c r="D25" s="28">
        <f t="shared" si="0"/>
        <v>0</v>
      </c>
      <c r="E25" s="28"/>
      <c r="F25" s="29"/>
      <c r="G25" s="33">
        <v>32.68</v>
      </c>
      <c r="H25" s="18"/>
      <c r="I25" s="18"/>
      <c r="J25" s="18"/>
      <c r="K25" s="18"/>
      <c r="L25" s="18"/>
    </row>
    <row r="26" spans="1:12" s="19" customFormat="1" ht="12.75" customHeight="1">
      <c r="A26" s="31" t="s">
        <v>35</v>
      </c>
      <c r="B26" s="39">
        <f>61.37+494.69+24.43+105.94+12.5</f>
        <v>698.92999999999984</v>
      </c>
      <c r="C26" s="35">
        <f>105.94+12.5</f>
        <v>118.44</v>
      </c>
      <c r="D26" s="40">
        <f t="shared" si="0"/>
        <v>580.48999999999978</v>
      </c>
      <c r="E26" s="28"/>
      <c r="F26" s="29"/>
      <c r="G26" s="33">
        <v>190.87</v>
      </c>
      <c r="H26" s="42"/>
      <c r="I26" s="18"/>
      <c r="J26" s="18"/>
      <c r="K26" s="18"/>
      <c r="L26" s="18"/>
    </row>
    <row r="27" spans="1:12" s="19" customFormat="1" ht="12.75" customHeight="1">
      <c r="A27" s="38" t="s">
        <v>36</v>
      </c>
      <c r="B27" s="39"/>
      <c r="C27" s="35"/>
      <c r="D27" s="28">
        <f t="shared" si="0"/>
        <v>0</v>
      </c>
      <c r="E27" s="28"/>
      <c r="F27" s="29"/>
      <c r="G27" s="41">
        <v>85.52</v>
      </c>
      <c r="H27" s="42"/>
      <c r="I27" s="18"/>
      <c r="J27" s="18"/>
      <c r="K27" s="18"/>
      <c r="L27" s="18"/>
    </row>
    <row r="28" spans="1:12" s="19" customFormat="1" ht="12.75" customHeight="1">
      <c r="A28" s="38" t="s">
        <v>37</v>
      </c>
      <c r="B28" s="39"/>
      <c r="C28" s="35"/>
      <c r="D28" s="28">
        <f t="shared" si="0"/>
        <v>0</v>
      </c>
      <c r="E28" s="28"/>
      <c r="F28" s="29"/>
      <c r="G28" s="41">
        <v>22.33</v>
      </c>
      <c r="H28" s="42"/>
      <c r="I28" s="18"/>
      <c r="J28" s="18"/>
      <c r="K28" s="18"/>
      <c r="L28" s="18"/>
    </row>
    <row r="29" spans="1:12" s="19" customFormat="1" ht="13.5" thickBot="1">
      <c r="A29" s="43" t="s">
        <v>38</v>
      </c>
      <c r="B29" s="44">
        <f>298.59+218+157.7+103.6</f>
        <v>777.89</v>
      </c>
      <c r="C29" s="44">
        <f>298.59+218+126.9</f>
        <v>643.4899999999999</v>
      </c>
      <c r="D29" s="45">
        <f t="shared" si="0"/>
        <v>134.40000000000009</v>
      </c>
      <c r="E29" s="46"/>
      <c r="F29" s="46"/>
      <c r="G29" s="124">
        <v>321.17</v>
      </c>
      <c r="H29" s="18"/>
      <c r="I29" s="18"/>
      <c r="J29" s="18"/>
      <c r="K29" s="18"/>
      <c r="L29" s="18"/>
    </row>
    <row r="30" spans="1:12" s="19" customFormat="1" ht="30.75" thickBot="1">
      <c r="A30" s="47" t="s">
        <v>39</v>
      </c>
      <c r="B30" s="2" t="s">
        <v>1</v>
      </c>
      <c r="C30" s="48" t="s">
        <v>10</v>
      </c>
      <c r="D30" s="4" t="s">
        <v>11</v>
      </c>
      <c r="E30" s="2" t="s">
        <v>4</v>
      </c>
      <c r="F30" s="2" t="s">
        <v>12</v>
      </c>
      <c r="G30" s="6" t="s">
        <v>13</v>
      </c>
      <c r="H30" s="49"/>
    </row>
    <row r="31" spans="1:12" s="19" customFormat="1" ht="15.75" thickBot="1">
      <c r="A31" s="9" t="s">
        <v>40</v>
      </c>
      <c r="B31" s="50">
        <f>489.22+127.15+992.59+871.38</f>
        <v>2480.34</v>
      </c>
      <c r="C31" s="51">
        <f>489.22+127.15+1001.92+68.9+734.5</f>
        <v>2421.69</v>
      </c>
      <c r="D31" s="52">
        <f>B31-C31</f>
        <v>58.650000000000091</v>
      </c>
      <c r="E31" s="53"/>
      <c r="F31" s="54"/>
      <c r="G31" s="128">
        <v>440.77</v>
      </c>
      <c r="H31" s="18"/>
      <c r="I31" s="18"/>
      <c r="J31" s="18"/>
      <c r="K31" s="18"/>
      <c r="L31" s="18"/>
    </row>
    <row r="32" spans="1:12" s="19" customFormat="1" ht="30.75" thickBot="1">
      <c r="A32" s="47" t="s">
        <v>41</v>
      </c>
      <c r="B32" s="2" t="s">
        <v>1</v>
      </c>
      <c r="C32" s="48" t="s">
        <v>10</v>
      </c>
      <c r="D32" s="4" t="s">
        <v>11</v>
      </c>
      <c r="E32" s="2" t="s">
        <v>4</v>
      </c>
      <c r="F32" s="2" t="s">
        <v>12</v>
      </c>
      <c r="G32" s="6" t="s">
        <v>13</v>
      </c>
      <c r="H32" s="49"/>
    </row>
    <row r="33" spans="1:12" s="19" customFormat="1" ht="15">
      <c r="A33" s="9" t="s">
        <v>42</v>
      </c>
      <c r="B33" s="10">
        <f>379.25+951.47+178.41</f>
        <v>1509.13</v>
      </c>
      <c r="C33" s="56">
        <f>374.81+948.28+95</f>
        <v>1418.09</v>
      </c>
      <c r="D33" s="57">
        <f>B33-C33</f>
        <v>91.040000000000191</v>
      </c>
      <c r="E33" s="58"/>
      <c r="F33" s="21"/>
      <c r="G33" s="130">
        <v>510.14</v>
      </c>
      <c r="H33" s="18"/>
      <c r="I33" s="18"/>
      <c r="J33" s="18"/>
      <c r="K33" s="18"/>
      <c r="L33" s="18"/>
    </row>
    <row r="34" spans="1:12" s="19" customFormat="1" ht="17.25" customHeight="1">
      <c r="A34" s="31" t="s">
        <v>43</v>
      </c>
      <c r="B34" s="32">
        <f>1042.35+280.22</f>
        <v>1322.57</v>
      </c>
      <c r="C34" s="59">
        <f>1013.3+269.11</f>
        <v>1282.4099999999999</v>
      </c>
      <c r="D34" s="35">
        <f>B34-C34</f>
        <v>40.160000000000082</v>
      </c>
      <c r="E34" s="39"/>
      <c r="F34" s="32"/>
      <c r="G34" s="33">
        <v>195.72</v>
      </c>
      <c r="H34" s="18"/>
      <c r="I34" s="18"/>
      <c r="J34" s="18"/>
      <c r="K34" s="18"/>
      <c r="L34" s="18"/>
    </row>
    <row r="35" spans="1:12" s="19" customFormat="1" ht="12.75" customHeight="1">
      <c r="A35" s="60" t="s">
        <v>44</v>
      </c>
      <c r="B35" s="39">
        <f>806.54+183.88+1253.2+119.71+445.37</f>
        <v>2808.7</v>
      </c>
      <c r="C35" s="35">
        <f>773.59+183.88+1035.8+55.93+511.7</f>
        <v>2560.8999999999996</v>
      </c>
      <c r="D35" s="35">
        <f>B35-C35</f>
        <v>247.80000000000018</v>
      </c>
      <c r="E35" s="39"/>
      <c r="F35" s="32"/>
      <c r="G35" s="34">
        <v>836.74</v>
      </c>
      <c r="H35" s="18"/>
      <c r="I35" s="18"/>
      <c r="J35" s="18"/>
      <c r="K35" s="18"/>
      <c r="L35" s="18"/>
    </row>
    <row r="36" spans="1:12" s="19" customFormat="1">
      <c r="A36" s="38" t="s">
        <v>45</v>
      </c>
      <c r="B36" s="44">
        <f>283.25+8.88+147.07+6351.45</f>
        <v>6790.65</v>
      </c>
      <c r="C36" s="44">
        <f>1031.07+283.25+8.88+64.5</f>
        <v>1387.7</v>
      </c>
      <c r="D36" s="45">
        <f>B36-C36</f>
        <v>5402.95</v>
      </c>
      <c r="E36" s="61"/>
      <c r="F36" s="62"/>
      <c r="G36" s="125">
        <v>859.56</v>
      </c>
      <c r="K36" s="18"/>
      <c r="L36" s="18"/>
    </row>
    <row r="37" spans="1:12" s="19" customFormat="1">
      <c r="A37" s="38" t="s">
        <v>46</v>
      </c>
      <c r="B37" s="39">
        <f>2177.1</f>
        <v>2177.1</v>
      </c>
      <c r="C37" s="35">
        <f>2180.1</f>
        <v>2180.1</v>
      </c>
      <c r="D37" s="35">
        <f>B37-C37</f>
        <v>-3</v>
      </c>
      <c r="E37" s="61"/>
      <c r="F37" s="62"/>
      <c r="G37" s="129">
        <v>558.17999999999995</v>
      </c>
      <c r="K37" s="18"/>
      <c r="L37" s="18"/>
    </row>
    <row r="38" spans="1:12" s="19" customFormat="1" ht="13.5" thickBot="1">
      <c r="A38" s="43" t="s">
        <v>47</v>
      </c>
      <c r="B38" s="64">
        <f>963.32+791.61+925.45</f>
        <v>2680.38</v>
      </c>
      <c r="C38" s="65">
        <f>963.32+791.61+925.45</f>
        <v>2680.38</v>
      </c>
      <c r="D38" s="64">
        <f>B38</f>
        <v>2680.38</v>
      </c>
      <c r="E38" s="66"/>
      <c r="F38" s="67"/>
      <c r="G38" s="127">
        <v>1170.94</v>
      </c>
      <c r="K38" s="18"/>
      <c r="L38" s="18"/>
    </row>
    <row r="39" spans="1:12" ht="34.5" customHeight="1" thickBot="1">
      <c r="A39" s="47" t="s">
        <v>48</v>
      </c>
      <c r="B39" s="2" t="s">
        <v>1</v>
      </c>
      <c r="C39" s="48" t="s">
        <v>10</v>
      </c>
      <c r="D39" s="4" t="s">
        <v>11</v>
      </c>
      <c r="E39" s="2" t="s">
        <v>4</v>
      </c>
      <c r="F39" s="5" t="s">
        <v>5</v>
      </c>
      <c r="G39" s="68"/>
      <c r="H39" s="18"/>
      <c r="I39" s="18"/>
      <c r="J39" s="18"/>
      <c r="K39" s="18"/>
      <c r="L39" s="18"/>
    </row>
    <row r="40" spans="1:12" ht="19.5" customHeight="1" thickBot="1">
      <c r="A40" s="9" t="s">
        <v>49</v>
      </c>
      <c r="B40" s="69"/>
      <c r="C40" s="69"/>
      <c r="D40" s="70">
        <f>B40-C40</f>
        <v>0</v>
      </c>
      <c r="E40" s="71"/>
      <c r="F40" s="72"/>
      <c r="G40" s="68"/>
    </row>
    <row r="41" spans="1:12" ht="19.5" customHeight="1" thickBot="1">
      <c r="A41" s="47" t="s">
        <v>50</v>
      </c>
      <c r="B41" s="73" t="s">
        <v>51</v>
      </c>
      <c r="C41" s="68"/>
      <c r="D41" s="68"/>
      <c r="E41" s="68"/>
      <c r="F41" s="68"/>
      <c r="G41" s="68"/>
      <c r="H41" s="18"/>
      <c r="I41" s="18"/>
      <c r="J41" s="18"/>
      <c r="K41" s="18"/>
      <c r="L41" s="18"/>
    </row>
    <row r="42" spans="1:12" ht="30" customHeight="1">
      <c r="A42" s="74" t="s">
        <v>52</v>
      </c>
      <c r="B42" s="75"/>
      <c r="C42" s="68"/>
      <c r="D42" s="68"/>
      <c r="E42" s="68"/>
      <c r="F42" s="68"/>
      <c r="G42" s="68"/>
    </row>
    <row r="43" spans="1:12" ht="15">
      <c r="A43" s="76" t="s">
        <v>53</v>
      </c>
      <c r="B43" s="77">
        <v>0</v>
      </c>
      <c r="C43" s="68"/>
      <c r="D43" s="68"/>
      <c r="E43" s="68"/>
      <c r="F43" s="68"/>
      <c r="G43" s="68"/>
    </row>
    <row r="44" spans="1:12" ht="15">
      <c r="A44" s="76" t="s">
        <v>54</v>
      </c>
      <c r="B44" s="77">
        <v>0.13</v>
      </c>
      <c r="C44" s="68"/>
      <c r="D44" s="68"/>
      <c r="E44" s="68"/>
      <c r="F44" s="68"/>
      <c r="G44" s="68"/>
    </row>
    <row r="45" spans="1:12" ht="15">
      <c r="A45" s="76" t="s">
        <v>55</v>
      </c>
      <c r="B45" s="77"/>
      <c r="C45" s="68"/>
      <c r="D45" s="68"/>
      <c r="E45" s="68"/>
      <c r="F45" s="68"/>
      <c r="G45" s="68"/>
    </row>
    <row r="46" spans="1:12" ht="15">
      <c r="A46" s="31" t="s">
        <v>56</v>
      </c>
      <c r="B46" s="77"/>
      <c r="C46" s="68"/>
      <c r="D46" s="68"/>
      <c r="E46" s="68"/>
      <c r="F46" s="68"/>
      <c r="G46" s="68"/>
    </row>
    <row r="47" spans="1:12" ht="15">
      <c r="A47" s="31" t="s">
        <v>188</v>
      </c>
      <c r="B47" s="77">
        <v>0</v>
      </c>
      <c r="C47" s="68"/>
      <c r="D47" s="68"/>
      <c r="E47" s="68"/>
      <c r="F47" s="68"/>
      <c r="G47" s="68"/>
    </row>
    <row r="48" spans="1:12" ht="25.5">
      <c r="A48" s="78" t="s">
        <v>57</v>
      </c>
      <c r="B48" s="77">
        <v>0</v>
      </c>
      <c r="C48" s="68"/>
      <c r="D48" s="68"/>
      <c r="E48" s="68"/>
      <c r="F48" s="68"/>
      <c r="G48" s="68"/>
    </row>
    <row r="49" spans="1:12" ht="25.5">
      <c r="A49" s="78" t="s">
        <v>58</v>
      </c>
      <c r="B49" s="77">
        <v>0</v>
      </c>
      <c r="C49" s="68"/>
      <c r="D49" s="68"/>
      <c r="E49" s="68"/>
      <c r="F49" s="68"/>
      <c r="G49" s="68"/>
    </row>
    <row r="50" spans="1:12" ht="25.5">
      <c r="A50" s="78" t="s">
        <v>59</v>
      </c>
      <c r="B50" s="77">
        <v>2.25</v>
      </c>
      <c r="C50" s="68"/>
      <c r="D50" s="68"/>
      <c r="E50" s="68"/>
      <c r="F50" s="68"/>
      <c r="G50" s="68"/>
    </row>
    <row r="51" spans="1:12" ht="15">
      <c r="A51" s="26" t="s">
        <v>60</v>
      </c>
      <c r="B51" s="77"/>
      <c r="C51" s="68"/>
      <c r="D51" s="68"/>
      <c r="E51" s="68"/>
      <c r="F51" s="68"/>
      <c r="G51" s="68"/>
    </row>
    <row r="52" spans="1:12" ht="14.25" customHeight="1">
      <c r="A52" s="76" t="s">
        <v>61</v>
      </c>
      <c r="B52" s="77"/>
      <c r="C52" s="68"/>
      <c r="D52" s="68"/>
      <c r="E52" s="68"/>
      <c r="F52" s="68"/>
      <c r="G52" s="68"/>
    </row>
    <row r="53" spans="1:12" ht="26.25" customHeight="1">
      <c r="A53" s="76" t="s">
        <v>62</v>
      </c>
      <c r="B53" s="77"/>
      <c r="C53" s="68"/>
      <c r="D53" s="68"/>
      <c r="E53" s="68"/>
      <c r="F53" s="68"/>
      <c r="G53" s="68"/>
    </row>
    <row r="54" spans="1:12" ht="33" customHeight="1">
      <c r="A54" s="76" t="s">
        <v>63</v>
      </c>
      <c r="B54" s="77">
        <v>0</v>
      </c>
      <c r="C54" s="68"/>
      <c r="D54" s="68"/>
      <c r="E54" s="68"/>
      <c r="F54" s="68"/>
      <c r="G54" s="68"/>
      <c r="J54" s="18"/>
      <c r="K54" s="18"/>
      <c r="L54" s="18"/>
    </row>
    <row r="55" spans="1:12" ht="32.25" customHeight="1">
      <c r="A55" s="76" t="s">
        <v>64</v>
      </c>
      <c r="B55" s="77"/>
      <c r="C55" s="68"/>
      <c r="D55" s="68"/>
      <c r="E55" s="68"/>
      <c r="F55" s="68"/>
      <c r="G55" s="68"/>
    </row>
    <row r="56" spans="1:12" ht="31.5" customHeight="1">
      <c r="A56" s="76" t="s">
        <v>65</v>
      </c>
      <c r="B56" s="77"/>
      <c r="C56" s="68"/>
      <c r="D56" s="68"/>
      <c r="E56" s="68"/>
      <c r="F56" s="68"/>
      <c r="G56" s="68"/>
    </row>
    <row r="57" spans="1:12" s="19" customFormat="1" ht="15">
      <c r="A57" s="76" t="s">
        <v>66</v>
      </c>
      <c r="B57" s="77"/>
      <c r="C57" s="68"/>
      <c r="D57" s="68"/>
      <c r="E57" s="68"/>
      <c r="F57" s="68"/>
      <c r="G57" s="68"/>
      <c r="H57" s="8"/>
      <c r="I57" s="8"/>
      <c r="J57" s="18"/>
      <c r="K57" s="18"/>
      <c r="L57" s="18"/>
    </row>
    <row r="58" spans="1:12" s="19" customFormat="1" ht="15">
      <c r="A58" s="76" t="s">
        <v>67</v>
      </c>
      <c r="B58" s="77">
        <v>0</v>
      </c>
      <c r="C58" s="68"/>
      <c r="D58" s="68"/>
      <c r="E58" s="68"/>
      <c r="F58" s="68"/>
      <c r="G58" s="68"/>
      <c r="H58" s="8"/>
      <c r="I58" s="8"/>
      <c r="J58" s="18"/>
      <c r="K58" s="18"/>
      <c r="L58" s="18"/>
    </row>
    <row r="59" spans="1:12" s="19" customFormat="1" ht="15">
      <c r="A59" s="76" t="s">
        <v>68</v>
      </c>
      <c r="B59" s="77">
        <v>0</v>
      </c>
      <c r="C59" s="68"/>
      <c r="D59" s="68"/>
      <c r="E59" s="68"/>
      <c r="F59" s="68"/>
      <c r="G59" s="68"/>
      <c r="H59" s="8"/>
      <c r="I59" s="8"/>
      <c r="J59" s="18"/>
      <c r="K59" s="18"/>
      <c r="L59" s="18"/>
    </row>
    <row r="60" spans="1:12" s="19" customFormat="1" ht="15">
      <c r="A60" s="76" t="s">
        <v>69</v>
      </c>
      <c r="B60" s="77"/>
      <c r="C60" s="68"/>
      <c r="D60" s="68"/>
      <c r="E60" s="68"/>
      <c r="F60" s="68"/>
      <c r="G60" s="68"/>
      <c r="H60" s="8"/>
      <c r="I60" s="8"/>
      <c r="J60" s="18"/>
      <c r="K60" s="18"/>
      <c r="L60" s="18"/>
    </row>
    <row r="61" spans="1:12" s="19" customFormat="1" ht="15">
      <c r="A61" s="78" t="s">
        <v>70</v>
      </c>
      <c r="B61" s="77"/>
      <c r="C61" s="68"/>
      <c r="D61" s="68"/>
      <c r="E61" s="68"/>
      <c r="F61" s="68"/>
      <c r="G61" s="68"/>
      <c r="H61" s="8"/>
      <c r="I61" s="8"/>
      <c r="J61" s="18"/>
      <c r="K61" s="18"/>
      <c r="L61" s="18"/>
    </row>
    <row r="62" spans="1:12" s="19" customFormat="1" ht="25.5">
      <c r="A62" s="78" t="s">
        <v>71</v>
      </c>
      <c r="B62" s="77"/>
      <c r="C62" s="68"/>
      <c r="D62" s="68"/>
      <c r="E62" s="68"/>
      <c r="F62" s="68"/>
      <c r="G62" s="68"/>
      <c r="H62" s="8"/>
      <c r="I62" s="8"/>
      <c r="J62" s="18"/>
      <c r="K62" s="18"/>
      <c r="L62" s="18"/>
    </row>
    <row r="63" spans="1:12" ht="15">
      <c r="A63" s="79" t="s">
        <v>72</v>
      </c>
      <c r="B63" s="77"/>
      <c r="C63" s="68"/>
      <c r="D63" s="68"/>
      <c r="E63" s="68"/>
      <c r="F63" s="68"/>
      <c r="G63" s="68"/>
    </row>
    <row r="64" spans="1:12" ht="15">
      <c r="A64" s="38" t="s">
        <v>73</v>
      </c>
      <c r="B64" s="77">
        <v>0</v>
      </c>
      <c r="C64" s="68"/>
      <c r="D64" s="68"/>
      <c r="E64" s="68"/>
      <c r="F64" s="68"/>
      <c r="G64" s="68"/>
    </row>
    <row r="65" spans="1:12" ht="15">
      <c r="A65" s="78" t="s">
        <v>74</v>
      </c>
      <c r="B65" s="77">
        <v>0</v>
      </c>
      <c r="C65" s="68"/>
      <c r="D65" s="68"/>
      <c r="E65" s="68"/>
      <c r="F65" s="68"/>
      <c r="G65" s="68"/>
    </row>
    <row r="66" spans="1:12" ht="15">
      <c r="A66" s="78" t="s">
        <v>75</v>
      </c>
      <c r="B66" s="77">
        <v>0</v>
      </c>
      <c r="C66" s="68"/>
      <c r="D66" s="68"/>
      <c r="E66" s="68"/>
      <c r="F66" s="68"/>
      <c r="G66" s="68"/>
    </row>
    <row r="67" spans="1:12" s="19" customFormat="1" ht="15">
      <c r="A67" s="78" t="s">
        <v>76</v>
      </c>
      <c r="B67" s="77">
        <v>0</v>
      </c>
      <c r="C67" s="68"/>
      <c r="D67" s="68"/>
      <c r="E67" s="68"/>
      <c r="F67" s="68"/>
      <c r="G67" s="68"/>
      <c r="H67" s="18"/>
      <c r="I67" s="18"/>
      <c r="J67" s="8"/>
      <c r="K67" s="8"/>
      <c r="L67" s="8"/>
    </row>
    <row r="68" spans="1:12" ht="15">
      <c r="A68" s="78" t="s">
        <v>77</v>
      </c>
      <c r="B68" s="77">
        <v>0</v>
      </c>
      <c r="C68" s="68"/>
      <c r="D68" s="68"/>
      <c r="E68" s="68"/>
      <c r="F68" s="68"/>
      <c r="G68" s="68"/>
      <c r="H68" s="18"/>
      <c r="I68" s="18"/>
    </row>
    <row r="69" spans="1:12" ht="15">
      <c r="A69" s="78" t="s">
        <v>78</v>
      </c>
      <c r="B69" s="77">
        <v>13.22</v>
      </c>
      <c r="C69" s="68"/>
      <c r="D69" s="68"/>
      <c r="E69" s="68"/>
      <c r="F69" s="68"/>
      <c r="G69" s="68"/>
    </row>
    <row r="70" spans="1:12" ht="15">
      <c r="A70" s="78" t="s">
        <v>79</v>
      </c>
      <c r="B70" s="77">
        <v>11.75</v>
      </c>
      <c r="C70" s="68"/>
      <c r="D70" s="68"/>
      <c r="E70" s="68"/>
      <c r="F70" s="68"/>
      <c r="G70" s="68"/>
    </row>
    <row r="71" spans="1:12" ht="15">
      <c r="A71" s="78" t="s">
        <v>80</v>
      </c>
      <c r="B71" s="77">
        <v>18.329999999999998</v>
      </c>
      <c r="C71" s="68"/>
      <c r="D71" s="68"/>
      <c r="E71" s="68"/>
      <c r="F71" s="68"/>
      <c r="G71" s="68"/>
    </row>
    <row r="72" spans="1:12" ht="15">
      <c r="A72" s="78" t="s">
        <v>81</v>
      </c>
      <c r="B72" s="77">
        <v>0</v>
      </c>
      <c r="C72" s="80"/>
      <c r="D72" s="81"/>
      <c r="E72" s="82"/>
      <c r="F72" s="82"/>
    </row>
    <row r="73" spans="1:12" ht="15">
      <c r="A73" s="78" t="s">
        <v>82</v>
      </c>
      <c r="B73" s="77"/>
      <c r="C73" s="80"/>
      <c r="D73" s="81"/>
      <c r="E73" s="82"/>
      <c r="F73" s="82"/>
    </row>
    <row r="74" spans="1:12" ht="15">
      <c r="A74" s="78" t="s">
        <v>83</v>
      </c>
      <c r="B74" s="77"/>
      <c r="C74" s="80"/>
      <c r="D74" s="81"/>
      <c r="E74" s="82"/>
      <c r="F74" s="82"/>
    </row>
    <row r="75" spans="1:12" ht="15">
      <c r="A75" s="78" t="s">
        <v>84</v>
      </c>
      <c r="B75" s="77"/>
      <c r="C75" s="80"/>
      <c r="D75" s="81"/>
      <c r="E75" s="82"/>
      <c r="F75" s="82"/>
    </row>
    <row r="76" spans="1:12" ht="15">
      <c r="A76" s="78" t="s">
        <v>85</v>
      </c>
      <c r="B76" s="77"/>
      <c r="C76" s="80"/>
      <c r="D76" s="81"/>
      <c r="E76" s="82"/>
      <c r="F76" s="82"/>
    </row>
    <row r="77" spans="1:12" ht="15">
      <c r="A77" s="78" t="s">
        <v>86</v>
      </c>
      <c r="B77" s="77"/>
      <c r="C77" s="80"/>
      <c r="D77" s="81"/>
      <c r="E77" s="82"/>
      <c r="F77" s="82"/>
    </row>
    <row r="78" spans="1:12" ht="15">
      <c r="A78" s="78" t="s">
        <v>87</v>
      </c>
      <c r="B78" s="77"/>
      <c r="C78" s="80"/>
      <c r="D78" s="81"/>
      <c r="E78" s="82"/>
      <c r="F78" s="82"/>
    </row>
    <row r="79" spans="1:12" ht="25.5">
      <c r="A79" s="78" t="s">
        <v>88</v>
      </c>
      <c r="B79" s="77"/>
      <c r="C79" s="80"/>
      <c r="D79" s="81"/>
      <c r="E79" s="82"/>
      <c r="F79" s="82"/>
    </row>
    <row r="80" spans="1:12" ht="25.5">
      <c r="A80" s="78" t="s">
        <v>89</v>
      </c>
      <c r="B80" s="77"/>
      <c r="C80" s="80"/>
      <c r="D80" s="81"/>
      <c r="E80" s="82"/>
      <c r="F80" s="82"/>
    </row>
    <row r="81" spans="1:12" ht="25.5">
      <c r="A81" s="78" t="s">
        <v>90</v>
      </c>
      <c r="B81" s="77"/>
      <c r="C81" s="80"/>
      <c r="D81" s="81"/>
      <c r="E81" s="82"/>
      <c r="F81" s="82"/>
    </row>
    <row r="82" spans="1:12" ht="15">
      <c r="A82" s="78" t="s">
        <v>91</v>
      </c>
      <c r="B82" s="77">
        <v>0</v>
      </c>
      <c r="C82" s="80"/>
      <c r="D82" s="81"/>
      <c r="E82" s="82"/>
      <c r="F82" s="82"/>
    </row>
    <row r="83" spans="1:12" ht="15">
      <c r="A83" s="78" t="s">
        <v>92</v>
      </c>
      <c r="B83" s="77">
        <v>2.9</v>
      </c>
      <c r="C83" s="80"/>
      <c r="D83" s="81"/>
      <c r="E83" s="82"/>
      <c r="F83" s="82"/>
    </row>
    <row r="84" spans="1:12" ht="15">
      <c r="A84" s="84" t="s">
        <v>93</v>
      </c>
      <c r="B84" s="77">
        <v>0</v>
      </c>
      <c r="C84" s="80"/>
      <c r="D84" s="81"/>
      <c r="E84" s="82"/>
      <c r="F84" s="82"/>
    </row>
    <row r="85" spans="1:12" ht="15">
      <c r="A85" s="84" t="s">
        <v>94</v>
      </c>
      <c r="B85" s="77">
        <v>10.130000000000001</v>
      </c>
      <c r="C85" s="80"/>
      <c r="D85" s="81"/>
      <c r="E85" s="82"/>
      <c r="F85" s="82"/>
    </row>
    <row r="86" spans="1:12" ht="15">
      <c r="A86" s="84" t="s">
        <v>95</v>
      </c>
      <c r="B86" s="77"/>
      <c r="C86" s="80"/>
      <c r="D86" s="81"/>
      <c r="E86" s="82"/>
      <c r="F86" s="82"/>
    </row>
    <row r="87" spans="1:12" ht="15">
      <c r="A87" s="84" t="s">
        <v>96</v>
      </c>
      <c r="B87" s="77"/>
      <c r="C87" s="80"/>
      <c r="D87" s="81"/>
      <c r="E87" s="82"/>
      <c r="F87" s="82"/>
    </row>
    <row r="88" spans="1:12" ht="15">
      <c r="A88" s="84" t="s">
        <v>97</v>
      </c>
      <c r="B88" s="77">
        <v>0</v>
      </c>
      <c r="C88" s="80"/>
      <c r="D88" s="81"/>
      <c r="E88" s="82"/>
      <c r="F88" s="82"/>
    </row>
    <row r="89" spans="1:12" ht="25.5">
      <c r="A89" s="85" t="s">
        <v>98</v>
      </c>
      <c r="B89" s="77">
        <v>0.04</v>
      </c>
      <c r="C89" s="80"/>
      <c r="D89" s="81"/>
      <c r="E89" s="82"/>
      <c r="F89" s="82"/>
    </row>
    <row r="90" spans="1:12" ht="26.25" thickBot="1">
      <c r="A90" s="86" t="s">
        <v>99</v>
      </c>
      <c r="B90" s="87"/>
      <c r="C90" s="80"/>
      <c r="D90" s="81"/>
      <c r="E90" s="82"/>
      <c r="F90" s="82"/>
    </row>
    <row r="91" spans="1:12" ht="15.75" thickBot="1">
      <c r="A91" s="88"/>
      <c r="B91" s="89"/>
      <c r="C91" s="80"/>
      <c r="D91" s="81"/>
      <c r="E91" s="82"/>
      <c r="F91" s="82"/>
    </row>
    <row r="92" spans="1:12" s="19" customFormat="1" ht="15.75" thickBot="1">
      <c r="A92" s="90" t="s">
        <v>100</v>
      </c>
      <c r="B92" s="91">
        <f>SUM(B2:B40)</f>
        <v>27766.06</v>
      </c>
      <c r="C92" s="92"/>
      <c r="D92" s="93"/>
      <c r="E92" s="68"/>
      <c r="F92" s="68"/>
      <c r="G92" s="93"/>
      <c r="H92" s="18"/>
      <c r="I92" s="18"/>
      <c r="J92" s="18"/>
      <c r="K92" s="18"/>
      <c r="L92" s="18"/>
    </row>
    <row r="93" spans="1:12" s="19" customFormat="1" ht="15.75" thickBot="1">
      <c r="A93" s="94" t="s">
        <v>101</v>
      </c>
      <c r="B93" s="95">
        <f>SUM(G2:G38)</f>
        <v>7793.6100000000006</v>
      </c>
      <c r="C93" s="93"/>
      <c r="D93" s="93"/>
      <c r="E93" s="68"/>
      <c r="F93" s="68"/>
      <c r="G93" s="96"/>
      <c r="H93" s="18"/>
      <c r="I93" s="18"/>
      <c r="J93" s="18"/>
      <c r="K93" s="18"/>
      <c r="L93" s="18"/>
    </row>
    <row r="94" spans="1:12" ht="15.75" thickBot="1">
      <c r="A94" s="97" t="s">
        <v>102</v>
      </c>
      <c r="B94" s="91">
        <f>SUM(B42:B90)</f>
        <v>58.75</v>
      </c>
      <c r="C94" s="80"/>
      <c r="D94" s="81"/>
      <c r="E94" s="82"/>
      <c r="F94" s="82"/>
    </row>
    <row r="95" spans="1:12" ht="15.75" thickBot="1">
      <c r="A95" s="98" t="s">
        <v>103</v>
      </c>
      <c r="B95" s="91">
        <f>B92+B93+B94</f>
        <v>35618.42</v>
      </c>
      <c r="C95" s="80"/>
      <c r="D95" s="81"/>
    </row>
    <row r="96" spans="1:12">
      <c r="B96" s="80"/>
      <c r="C96" s="80"/>
      <c r="D96" s="81"/>
    </row>
    <row r="97" spans="1:12">
      <c r="B97" s="80"/>
      <c r="C97" s="80"/>
      <c r="D97" s="81"/>
    </row>
    <row r="98" spans="1:12">
      <c r="B98" s="80"/>
      <c r="C98" s="80"/>
      <c r="D98" s="80"/>
    </row>
    <row r="99" spans="1:12">
      <c r="B99" s="80"/>
      <c r="C99" s="80"/>
      <c r="D99" s="80"/>
    </row>
    <row r="100" spans="1:12">
      <c r="B100" s="80"/>
      <c r="C100" s="80"/>
      <c r="D100" s="80"/>
    </row>
    <row r="101" spans="1:12">
      <c r="B101" s="80"/>
      <c r="C101" s="80"/>
      <c r="D101" s="80"/>
    </row>
    <row r="102" spans="1:12" s="80" customFormat="1">
      <c r="A102" s="8"/>
      <c r="G102" s="83"/>
      <c r="H102" s="8"/>
      <c r="I102" s="8"/>
      <c r="J102" s="8"/>
      <c r="K102" s="8"/>
      <c r="L102" s="8"/>
    </row>
    <row r="103" spans="1:12" s="80" customFormat="1">
      <c r="A103" s="8"/>
      <c r="G103" s="83"/>
      <c r="H103" s="8"/>
      <c r="I103" s="8"/>
      <c r="J103" s="8"/>
      <c r="K103" s="8"/>
      <c r="L10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activeCell="B40" sqref="B40"/>
    </sheetView>
  </sheetViews>
  <sheetFormatPr defaultRowHeight="15"/>
  <cols>
    <col min="1" max="1" width="29.7109375" bestFit="1" customWidth="1"/>
    <col min="2" max="2" width="22.7109375" bestFit="1" customWidth="1"/>
    <col min="3" max="3" width="17.28515625" customWidth="1"/>
    <col min="4" max="4" width="18.42578125" customWidth="1"/>
  </cols>
  <sheetData>
    <row r="1" spans="1:4" ht="45.75" thickBot="1">
      <c r="A1" s="1" t="s">
        <v>0</v>
      </c>
      <c r="B1" s="2" t="s">
        <v>1</v>
      </c>
      <c r="C1" s="3" t="s">
        <v>2</v>
      </c>
      <c r="D1" s="4" t="s">
        <v>3</v>
      </c>
    </row>
    <row r="2" spans="1:4">
      <c r="A2" s="9" t="s">
        <v>7</v>
      </c>
      <c r="B2" s="10">
        <f>SUM(GENNAIO!B2+FEBBRAIO!B2+MARZO!B2)</f>
        <v>2902.65</v>
      </c>
      <c r="C2" s="10">
        <f>SUM(GENNAIO!C2+FEBBRAIO!C2+MARZO!C2)</f>
        <v>2376.4499999999998</v>
      </c>
      <c r="D2" s="10">
        <f>SUM(GENNAIO!D2+FEBBRAIO!D2+MARZO!D2)</f>
        <v>526.20000000000005</v>
      </c>
    </row>
    <row r="3" spans="1:4" ht="15.75" thickBot="1">
      <c r="A3" s="14" t="s">
        <v>8</v>
      </c>
      <c r="B3" s="10">
        <f>SUM(GENNAIO!B3+FEBBRAIO!B3+MARZO!B3)</f>
        <v>0</v>
      </c>
      <c r="C3" s="10">
        <f>SUM(GENNAIO!C3+FEBBRAIO!C3+MARZO!C3)</f>
        <v>0</v>
      </c>
      <c r="D3" s="16">
        <f>B3-C3</f>
        <v>0</v>
      </c>
    </row>
    <row r="4" spans="1:4" ht="45">
      <c r="A4" s="20" t="s">
        <v>9</v>
      </c>
      <c r="B4" s="21" t="s">
        <v>1</v>
      </c>
      <c r="C4" s="22" t="s">
        <v>10</v>
      </c>
      <c r="D4" s="23" t="s">
        <v>11</v>
      </c>
    </row>
    <row r="5" spans="1:4">
      <c r="A5" s="26" t="s">
        <v>14</v>
      </c>
      <c r="B5" s="27">
        <f>GENNAIO!B5+FEBBRAIO!B5+MARZO!B5</f>
        <v>0</v>
      </c>
      <c r="C5" s="27">
        <f>GENNAIO!C5+FEBBRAIO!C5+MARZO!C5</f>
        <v>0</v>
      </c>
      <c r="D5" s="27">
        <f>GENNAIO!D5+FEBBRAIO!D5+MARZO!D5</f>
        <v>0</v>
      </c>
    </row>
    <row r="6" spans="1:4">
      <c r="A6" s="26" t="s">
        <v>15</v>
      </c>
      <c r="B6" s="27">
        <f>GENNAIO!B6+FEBBRAIO!B6+MARZO!B6</f>
        <v>2373.69</v>
      </c>
      <c r="C6" s="27">
        <f>GENNAIO!C6+FEBBRAIO!C6+MARZO!C6</f>
        <v>2372.63</v>
      </c>
      <c r="D6" s="27">
        <f>GENNAIO!D6+FEBBRAIO!D6+MARZO!D6</f>
        <v>1.0599999999999454</v>
      </c>
    </row>
    <row r="7" spans="1:4">
      <c r="A7" s="31" t="s">
        <v>16</v>
      </c>
      <c r="B7" s="27">
        <f>GENNAIO!B7+FEBBRAIO!B7+MARZO!B7</f>
        <v>0</v>
      </c>
      <c r="C7" s="27">
        <f>GENNAIO!C7+FEBBRAIO!C7+MARZO!C7</f>
        <v>0</v>
      </c>
      <c r="D7" s="27">
        <f>GENNAIO!D7+FEBBRAIO!D7+MARZO!D7</f>
        <v>0</v>
      </c>
    </row>
    <row r="8" spans="1:4">
      <c r="A8" s="31" t="s">
        <v>17</v>
      </c>
      <c r="B8" s="27">
        <f>GENNAIO!B8+FEBBRAIO!B8+MARZO!B8</f>
        <v>0</v>
      </c>
      <c r="C8" s="27">
        <f>GENNAIO!C8+FEBBRAIO!C8+MARZO!C8</f>
        <v>0</v>
      </c>
      <c r="D8" s="27">
        <f>GENNAIO!D8+FEBBRAIO!D8+MARZO!D8</f>
        <v>0</v>
      </c>
    </row>
    <row r="9" spans="1:4">
      <c r="A9" s="31" t="s">
        <v>18</v>
      </c>
      <c r="B9" s="27">
        <f>GENNAIO!B9+FEBBRAIO!B9+MARZO!B9</f>
        <v>373.5</v>
      </c>
      <c r="C9" s="27">
        <f>GENNAIO!C9+FEBBRAIO!C9+MARZO!C9</f>
        <v>0</v>
      </c>
      <c r="D9" s="27">
        <f>GENNAIO!D9+FEBBRAIO!D9+MARZO!D9</f>
        <v>373.5</v>
      </c>
    </row>
    <row r="10" spans="1:4">
      <c r="A10" s="31" t="s">
        <v>19</v>
      </c>
      <c r="B10" s="27">
        <f>GENNAIO!B10+FEBBRAIO!B10+MARZO!B10</f>
        <v>1764.1799999999998</v>
      </c>
      <c r="C10" s="27">
        <f>GENNAIO!C10+FEBBRAIO!C10+MARZO!C10</f>
        <v>1651.42</v>
      </c>
      <c r="D10" s="27">
        <f>GENNAIO!D10+FEBBRAIO!D10+MARZO!D10</f>
        <v>112.75999999999988</v>
      </c>
    </row>
    <row r="11" spans="1:4">
      <c r="A11" s="31" t="s">
        <v>20</v>
      </c>
      <c r="B11" s="27">
        <f>GENNAIO!B11+FEBBRAIO!B11+MARZO!B11</f>
        <v>32.450000000000003</v>
      </c>
      <c r="C11" s="27">
        <f>GENNAIO!C11+FEBBRAIO!C11+MARZO!C11</f>
        <v>0</v>
      </c>
      <c r="D11" s="27">
        <f>GENNAIO!D11+FEBBRAIO!D11+MARZO!D11</f>
        <v>32.450000000000003</v>
      </c>
    </row>
    <row r="12" spans="1:4">
      <c r="A12" s="31" t="s">
        <v>21</v>
      </c>
      <c r="B12" s="27">
        <f>GENNAIO!B12+FEBBRAIO!B12+MARZO!B12</f>
        <v>1840.7109999999998</v>
      </c>
      <c r="C12" s="27">
        <f>GENNAIO!C12+FEBBRAIO!C12+MARZO!C12</f>
        <v>1576.6</v>
      </c>
      <c r="D12" s="27">
        <f>GENNAIO!D12+FEBBRAIO!D12+MARZO!D12</f>
        <v>264.11099999999982</v>
      </c>
    </row>
    <row r="13" spans="1:4">
      <c r="A13" s="31" t="s">
        <v>22</v>
      </c>
      <c r="B13" s="27">
        <f>GENNAIO!B13+FEBBRAIO!B13+MARZO!B13</f>
        <v>0</v>
      </c>
      <c r="C13" s="27">
        <f>GENNAIO!C13+FEBBRAIO!C13+MARZO!C13</f>
        <v>0</v>
      </c>
      <c r="D13" s="27">
        <f>GENNAIO!D13+FEBBRAIO!D13+MARZO!D13</f>
        <v>0</v>
      </c>
    </row>
    <row r="14" spans="1:4">
      <c r="A14" s="31" t="s">
        <v>23</v>
      </c>
      <c r="B14" s="27">
        <f>GENNAIO!B14+FEBBRAIO!B14+MARZO!B14</f>
        <v>1692.0100000000002</v>
      </c>
      <c r="C14" s="27">
        <f>GENNAIO!C14+FEBBRAIO!C14+MARZO!C14</f>
        <v>1554.65</v>
      </c>
      <c r="D14" s="27">
        <f>GENNAIO!D14+FEBBRAIO!D14+MARZO!D14</f>
        <v>137.36000000000013</v>
      </c>
    </row>
    <row r="15" spans="1:4">
      <c r="A15" s="31" t="s">
        <v>24</v>
      </c>
      <c r="B15" s="27">
        <f>GENNAIO!B15+FEBBRAIO!B15+MARZO!B15</f>
        <v>0</v>
      </c>
      <c r="C15" s="27">
        <f>GENNAIO!C15+FEBBRAIO!C15+MARZO!C15</f>
        <v>0</v>
      </c>
      <c r="D15" s="27">
        <f>GENNAIO!D15+FEBBRAIO!D15+MARZO!D15</f>
        <v>0</v>
      </c>
    </row>
    <row r="16" spans="1:4">
      <c r="A16" s="31" t="s">
        <v>25</v>
      </c>
      <c r="B16" s="27">
        <f>GENNAIO!B16+FEBBRAIO!B16+MARZO!B16</f>
        <v>0</v>
      </c>
      <c r="C16" s="27">
        <f>GENNAIO!C16+FEBBRAIO!C16+MARZO!C16</f>
        <v>0</v>
      </c>
      <c r="D16" s="27">
        <f>GENNAIO!D16+FEBBRAIO!D16+MARZO!D16</f>
        <v>0</v>
      </c>
    </row>
    <row r="17" spans="1:4">
      <c r="A17" s="26" t="s">
        <v>26</v>
      </c>
      <c r="B17" s="27">
        <f>GENNAIO!B17+FEBBRAIO!B17+MARZO!B17</f>
        <v>0</v>
      </c>
      <c r="C17" s="27">
        <f>GENNAIO!C17+FEBBRAIO!C17+MARZO!C17</f>
        <v>0</v>
      </c>
      <c r="D17" s="27">
        <f>GENNAIO!D17+FEBBRAIO!D17+MARZO!D17</f>
        <v>0</v>
      </c>
    </row>
    <row r="18" spans="1:4">
      <c r="A18" s="26" t="s">
        <v>27</v>
      </c>
      <c r="B18" s="27">
        <f>GENNAIO!B18+FEBBRAIO!B18+MARZO!B18</f>
        <v>4170.67</v>
      </c>
      <c r="C18" s="27">
        <f>GENNAIO!C18+FEBBRAIO!C18+MARZO!C18</f>
        <v>4156.87</v>
      </c>
      <c r="D18" s="27">
        <f>GENNAIO!D18+FEBBRAIO!D18+MARZO!D18</f>
        <v>13.800000000000011</v>
      </c>
    </row>
    <row r="19" spans="1:4">
      <c r="A19" s="26" t="s">
        <v>28</v>
      </c>
      <c r="B19" s="27">
        <f>GENNAIO!B19+FEBBRAIO!B19+MARZO!B19</f>
        <v>0</v>
      </c>
      <c r="C19" s="27">
        <f>GENNAIO!C19+FEBBRAIO!C19+MARZO!C19</f>
        <v>0</v>
      </c>
      <c r="D19" s="27">
        <f>GENNAIO!D19+FEBBRAIO!D19+MARZO!D19</f>
        <v>0</v>
      </c>
    </row>
    <row r="20" spans="1:4">
      <c r="A20" s="26" t="s">
        <v>29</v>
      </c>
      <c r="B20" s="27">
        <f>GENNAIO!B20+FEBBRAIO!B20+MARZO!B20</f>
        <v>0</v>
      </c>
      <c r="C20" s="27">
        <f>GENNAIO!C20+FEBBRAIO!C20+MARZO!C20</f>
        <v>0</v>
      </c>
      <c r="D20" s="27">
        <f>GENNAIO!D20+FEBBRAIO!D20+MARZO!D20</f>
        <v>0</v>
      </c>
    </row>
    <row r="21" spans="1:4">
      <c r="A21" s="26" t="s">
        <v>30</v>
      </c>
      <c r="B21" s="27">
        <f>GENNAIO!B21+FEBBRAIO!B21+MARZO!B21</f>
        <v>0</v>
      </c>
      <c r="C21" s="27">
        <f>GENNAIO!C21+FEBBRAIO!C21+MARZO!C21</f>
        <v>0</v>
      </c>
      <c r="D21" s="27">
        <f>GENNAIO!D21+FEBBRAIO!D21+MARZO!D21</f>
        <v>0</v>
      </c>
    </row>
    <row r="22" spans="1:4">
      <c r="A22" s="26" t="s">
        <v>31</v>
      </c>
      <c r="B22" s="27">
        <f>GENNAIO!B22+FEBBRAIO!B22+MARZO!B22</f>
        <v>0</v>
      </c>
      <c r="C22" s="27">
        <f>GENNAIO!C22+FEBBRAIO!C22+MARZO!C22</f>
        <v>0</v>
      </c>
      <c r="D22" s="27">
        <f>GENNAIO!D22+FEBBRAIO!D22+MARZO!D22</f>
        <v>0</v>
      </c>
    </row>
    <row r="23" spans="1:4">
      <c r="A23" s="31" t="s">
        <v>32</v>
      </c>
      <c r="B23" s="27">
        <f>GENNAIO!B23+FEBBRAIO!B23+MARZO!B23</f>
        <v>2429.6000000000004</v>
      </c>
      <c r="C23" s="27">
        <f>GENNAIO!C23+FEBBRAIO!C23+MARZO!C23</f>
        <v>2309.33</v>
      </c>
      <c r="D23" s="27">
        <f>GENNAIO!D23+FEBBRAIO!D23+MARZO!D23</f>
        <v>120.27000000000049</v>
      </c>
    </row>
    <row r="24" spans="1:4">
      <c r="A24" s="38" t="s">
        <v>33</v>
      </c>
      <c r="B24" s="27">
        <f>GENNAIO!B24+FEBBRAIO!B24+MARZO!B24</f>
        <v>1859.16</v>
      </c>
      <c r="C24" s="27">
        <f>GENNAIO!C24+FEBBRAIO!C24+MARZO!C24</f>
        <v>0</v>
      </c>
      <c r="D24" s="27">
        <f>GENNAIO!D24+FEBBRAIO!D24+MARZO!D24</f>
        <v>1859.16</v>
      </c>
    </row>
    <row r="25" spans="1:4">
      <c r="A25" s="31" t="s">
        <v>34</v>
      </c>
      <c r="B25" s="27">
        <f>GENNAIO!B25+FEBBRAIO!B25+MARZO!B25</f>
        <v>0</v>
      </c>
      <c r="C25" s="27">
        <f>GENNAIO!C25+FEBBRAIO!C25+MARZO!C25</f>
        <v>0</v>
      </c>
      <c r="D25" s="27">
        <f>GENNAIO!D25+FEBBRAIO!D25+MARZO!D25</f>
        <v>0</v>
      </c>
    </row>
    <row r="26" spans="1:4">
      <c r="A26" s="31" t="s">
        <v>35</v>
      </c>
      <c r="B26" s="27">
        <f>GENNAIO!B26+FEBBRAIO!B26+MARZO!B26</f>
        <v>1362.1999999999998</v>
      </c>
      <c r="C26" s="27">
        <f>GENNAIO!C26+FEBBRAIO!C26+MARZO!C26</f>
        <v>392.75</v>
      </c>
      <c r="D26" s="27">
        <f>GENNAIO!D26+FEBBRAIO!D26+MARZO!D26</f>
        <v>969.44999999999982</v>
      </c>
    </row>
    <row r="27" spans="1:4">
      <c r="A27" s="38" t="s">
        <v>36</v>
      </c>
      <c r="B27" s="27">
        <f>GENNAIO!B27+FEBBRAIO!B27+MARZO!B27</f>
        <v>0</v>
      </c>
      <c r="C27" s="27">
        <f>GENNAIO!C27+FEBBRAIO!C27+MARZO!C27</f>
        <v>0</v>
      </c>
      <c r="D27" s="27">
        <f>GENNAIO!D27+FEBBRAIO!D27+MARZO!D27</f>
        <v>0</v>
      </c>
    </row>
    <row r="28" spans="1:4">
      <c r="A28" s="38" t="s">
        <v>37</v>
      </c>
      <c r="B28" s="27">
        <f>GENNAIO!B28+FEBBRAIO!B28+MARZO!B28</f>
        <v>22.6</v>
      </c>
      <c r="C28" s="27">
        <f>GENNAIO!C28+FEBBRAIO!C28+MARZO!C28</f>
        <v>22.6</v>
      </c>
      <c r="D28" s="27">
        <f>GENNAIO!D28+FEBBRAIO!D28+MARZO!D28</f>
        <v>0</v>
      </c>
    </row>
    <row r="29" spans="1:4" ht="15.75" thickBot="1">
      <c r="A29" s="43" t="s">
        <v>38</v>
      </c>
      <c r="B29" s="132">
        <f>GENNAIO!B29+FEBBRAIO!B29+MARZO!B29</f>
        <v>2744.11</v>
      </c>
      <c r="C29" s="132">
        <f>GENNAIO!C29+FEBBRAIO!C29+MARZO!C29</f>
        <v>2255.6999999999998</v>
      </c>
      <c r="D29" s="132">
        <f>GENNAIO!D29+FEBBRAIO!D29+MARZO!D29</f>
        <v>488.41000000000008</v>
      </c>
    </row>
    <row r="30" spans="1:4" ht="45.75" thickBot="1">
      <c r="A30" s="47" t="s">
        <v>39</v>
      </c>
      <c r="B30" s="2" t="s">
        <v>1</v>
      </c>
      <c r="C30" s="48" t="s">
        <v>10</v>
      </c>
      <c r="D30" s="4" t="s">
        <v>11</v>
      </c>
    </row>
    <row r="31" spans="1:4" ht="15.75" thickBot="1">
      <c r="A31" s="9" t="s">
        <v>40</v>
      </c>
      <c r="B31" s="50">
        <f>SUM(GENNAIO!B31+FEBBRAIO!B31+MARZO!B31)</f>
        <v>4065.1400000000003</v>
      </c>
      <c r="C31" s="50">
        <f>SUM(GENNAIO!C31+FEBBRAIO!C31+MARZO!C31)</f>
        <v>3943.69</v>
      </c>
      <c r="D31" s="50">
        <f>SUM(GENNAIO!D31+FEBBRAIO!D31+MARZO!D31)</f>
        <v>121.45000000000005</v>
      </c>
    </row>
    <row r="32" spans="1:4" ht="45.75" thickBot="1">
      <c r="A32" s="47" t="s">
        <v>41</v>
      </c>
      <c r="B32" s="2" t="s">
        <v>1</v>
      </c>
      <c r="C32" s="48" t="s">
        <v>10</v>
      </c>
      <c r="D32" s="4" t="s">
        <v>11</v>
      </c>
    </row>
    <row r="33" spans="1:4">
      <c r="A33" s="9" t="s">
        <v>42</v>
      </c>
      <c r="B33" s="10">
        <f>SUM(GENNAIO!B33+FEBBRAIO!B33+MARZO!B33)</f>
        <v>3489.55</v>
      </c>
      <c r="C33" s="10">
        <f>SUM(GENNAIO!C33+FEBBRAIO!C33+MARZO!C33)</f>
        <v>3101.74</v>
      </c>
      <c r="D33" s="10">
        <f>SUM(GENNAIO!D33+FEBBRAIO!D33+MARZO!D33)</f>
        <v>387.80999999999995</v>
      </c>
    </row>
    <row r="34" spans="1:4">
      <c r="A34" s="31" t="s">
        <v>43</v>
      </c>
      <c r="B34" s="10">
        <f>SUM(GENNAIO!B34+FEBBRAIO!B34+MARZO!B34)</f>
        <v>2029.38</v>
      </c>
      <c r="C34" s="10">
        <f>SUM(GENNAIO!C34+FEBBRAIO!C34+MARZO!C34)</f>
        <v>1937.1699999999998</v>
      </c>
      <c r="D34" s="10">
        <f>SUM(GENNAIO!D34+FEBBRAIO!D34+MARZO!D34)</f>
        <v>92.21000000000015</v>
      </c>
    </row>
    <row r="35" spans="1:4">
      <c r="A35" s="60" t="s">
        <v>44</v>
      </c>
      <c r="B35" s="10">
        <f>SUM(GENNAIO!B35+FEBBRAIO!B35+MARZO!B35)</f>
        <v>6730.6399999999994</v>
      </c>
      <c r="C35" s="10">
        <f>SUM(GENNAIO!C35+FEBBRAIO!C35+MARZO!C35)</f>
        <v>5422.26</v>
      </c>
      <c r="D35" s="10">
        <f>SUM(GENNAIO!D35+FEBBRAIO!D35+MARZO!D35)</f>
        <v>1308.3800000000001</v>
      </c>
    </row>
    <row r="36" spans="1:4">
      <c r="A36" s="38" t="s">
        <v>45</v>
      </c>
      <c r="B36" s="133">
        <f>SUM(GENNAIO!B36+FEBBRAIO!B36+MARZO!B36)</f>
        <v>13041.439999999999</v>
      </c>
      <c r="C36" s="133">
        <f>SUM(GENNAIO!C36+FEBBRAIO!C36+MARZO!C36)</f>
        <v>7603.95</v>
      </c>
      <c r="D36" s="133">
        <f>SUM(GENNAIO!D36+FEBBRAIO!D36+MARZO!D36)</f>
        <v>5437.49</v>
      </c>
    </row>
    <row r="37" spans="1:4">
      <c r="A37" s="38" t="s">
        <v>46</v>
      </c>
      <c r="B37" s="10">
        <f>SUM(GENNAIO!B37+FEBBRAIO!B37+MARZO!B37)</f>
        <v>3763.1499999999996</v>
      </c>
      <c r="C37" s="10">
        <f>SUM(GENNAIO!C37+FEBBRAIO!C37+MARZO!C37)</f>
        <v>3851.95</v>
      </c>
      <c r="D37" s="10">
        <f>SUM(GENNAIO!D37+FEBBRAIO!D37+MARZO!D37)</f>
        <v>-88.800000000000182</v>
      </c>
    </row>
    <row r="38" spans="1:4" ht="15.75" thickBot="1">
      <c r="A38" s="43" t="s">
        <v>47</v>
      </c>
      <c r="B38" s="133">
        <f>SUM(GENNAIO!B38+FEBBRAIO!B38+MARZO!B38)</f>
        <v>10188.59</v>
      </c>
      <c r="C38" s="133">
        <f>SUM(GENNAIO!C38+FEBBRAIO!C38+MARZO!C38)</f>
        <v>2680.38</v>
      </c>
      <c r="D38" s="133">
        <f>SUM(GENNAIO!D38+FEBBRAIO!D38+MARZO!D38)</f>
        <v>10188.59</v>
      </c>
    </row>
    <row r="39" spans="1:4" ht="45.75" thickBot="1">
      <c r="A39" s="47" t="s">
        <v>48</v>
      </c>
      <c r="B39" s="2" t="s">
        <v>1</v>
      </c>
      <c r="C39" s="48" t="s">
        <v>10</v>
      </c>
      <c r="D39" s="4" t="s">
        <v>11</v>
      </c>
    </row>
    <row r="40" spans="1:4" ht="15.75" thickBot="1">
      <c r="A40" s="9" t="s">
        <v>49</v>
      </c>
      <c r="B40" s="69"/>
      <c r="C40" s="69"/>
      <c r="D40" s="70">
        <f>B40-C40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43"/>
  <sheetViews>
    <sheetView workbookViewId="0">
      <pane xSplit="4" ySplit="1" topLeftCell="E8" activePane="bottomRight" state="frozen"/>
      <selection pane="topRight" activeCell="E1" sqref="E1"/>
      <selection pane="bottomLeft" activeCell="A2" sqref="A2"/>
      <selection pane="bottomRight" activeCell="A16" sqref="A16"/>
    </sheetView>
  </sheetViews>
  <sheetFormatPr defaultRowHeight="12.75"/>
  <cols>
    <col min="1" max="1" width="47.140625" style="8" customWidth="1"/>
    <col min="2" max="2" width="29" style="8" hidden="1" customWidth="1"/>
    <col min="3" max="3" width="24.42578125" style="8" hidden="1" customWidth="1"/>
    <col min="4" max="4" width="24.5703125" style="8" hidden="1" customWidth="1"/>
    <col min="5" max="5" width="29" style="8" customWidth="1"/>
    <col min="6" max="6" width="24.42578125" style="8" customWidth="1"/>
    <col min="7" max="7" width="24.5703125" style="8" customWidth="1"/>
    <col min="8" max="8" width="29" style="8" customWidth="1"/>
    <col min="9" max="9" width="24.42578125" style="8" customWidth="1"/>
    <col min="10" max="10" width="24.5703125" style="8" customWidth="1"/>
    <col min="11" max="11" width="29" style="8" customWidth="1"/>
    <col min="12" max="12" width="24.42578125" style="8" customWidth="1"/>
    <col min="13" max="13" width="24.5703125" style="8" customWidth="1"/>
    <col min="14" max="16384" width="9.140625" style="8"/>
  </cols>
  <sheetData>
    <row r="1" spans="1:17" ht="46.5" customHeight="1" thickBot="1">
      <c r="A1" s="99" t="s">
        <v>104</v>
      </c>
      <c r="B1" s="99" t="s">
        <v>105</v>
      </c>
      <c r="C1" s="99" t="s">
        <v>106</v>
      </c>
      <c r="D1" s="100" t="s">
        <v>107</v>
      </c>
      <c r="E1" s="99" t="s">
        <v>105</v>
      </c>
      <c r="F1" s="99" t="s">
        <v>106</v>
      </c>
      <c r="G1" s="100" t="s">
        <v>107</v>
      </c>
      <c r="H1" s="99" t="s">
        <v>118</v>
      </c>
      <c r="I1" s="99" t="s">
        <v>119</v>
      </c>
      <c r="J1" s="100" t="s">
        <v>120</v>
      </c>
      <c r="K1" s="99" t="s">
        <v>121</v>
      </c>
      <c r="L1" s="99" t="s">
        <v>122</v>
      </c>
      <c r="M1" s="100" t="s">
        <v>123</v>
      </c>
    </row>
    <row r="2" spans="1:17" ht="53.25" customHeight="1">
      <c r="A2" s="101" t="s">
        <v>7</v>
      </c>
      <c r="B2" s="102" t="s">
        <v>108</v>
      </c>
      <c r="C2" s="102" t="s">
        <v>109</v>
      </c>
      <c r="D2" s="103" t="s">
        <v>110</v>
      </c>
      <c r="E2" s="102" t="s">
        <v>166</v>
      </c>
      <c r="F2" s="102" t="s">
        <v>167</v>
      </c>
      <c r="G2" s="102" t="s">
        <v>144</v>
      </c>
      <c r="H2" s="102" t="s">
        <v>229</v>
      </c>
      <c r="I2" s="102" t="s">
        <v>230</v>
      </c>
      <c r="J2" s="102" t="s">
        <v>190</v>
      </c>
      <c r="K2" s="104" t="s">
        <v>288</v>
      </c>
      <c r="L2" s="104" t="s">
        <v>189</v>
      </c>
      <c r="M2" s="104" t="s">
        <v>190</v>
      </c>
    </row>
    <row r="3" spans="1:17" ht="53.25" customHeight="1">
      <c r="A3" s="101" t="s">
        <v>8</v>
      </c>
      <c r="B3" s="104"/>
      <c r="C3" s="104"/>
      <c r="D3" s="103"/>
      <c r="E3" s="104" t="s">
        <v>143</v>
      </c>
      <c r="F3" s="104" t="s">
        <v>125</v>
      </c>
      <c r="G3" s="104" t="s">
        <v>144</v>
      </c>
      <c r="H3" s="104" t="s">
        <v>210</v>
      </c>
      <c r="I3" s="104" t="s">
        <v>189</v>
      </c>
      <c r="J3" s="104" t="s">
        <v>209</v>
      </c>
      <c r="K3" s="104" t="s">
        <v>265</v>
      </c>
      <c r="L3" s="104" t="s">
        <v>189</v>
      </c>
      <c r="M3" s="104" t="s">
        <v>266</v>
      </c>
      <c r="N3" s="105"/>
      <c r="O3" s="106"/>
      <c r="P3" s="107"/>
      <c r="Q3"/>
    </row>
    <row r="4" spans="1:17" ht="53.25" customHeight="1">
      <c r="A4" s="78" t="s">
        <v>14</v>
      </c>
      <c r="B4" s="104"/>
      <c r="C4" s="104"/>
      <c r="D4" s="103"/>
      <c r="E4" s="104" t="s">
        <v>139</v>
      </c>
      <c r="F4" s="104" t="s">
        <v>140</v>
      </c>
      <c r="G4" s="104" t="s">
        <v>111</v>
      </c>
      <c r="H4" s="104" t="s">
        <v>204</v>
      </c>
      <c r="I4" s="104" t="s">
        <v>205</v>
      </c>
      <c r="J4" s="104" t="s">
        <v>206</v>
      </c>
      <c r="K4" s="104" t="s">
        <v>263</v>
      </c>
      <c r="L4" s="104" t="s">
        <v>264</v>
      </c>
      <c r="M4" s="104" t="s">
        <v>190</v>
      </c>
      <c r="N4" s="106"/>
      <c r="O4" s="106"/>
      <c r="P4" s="106"/>
      <c r="Q4" s="107"/>
    </row>
    <row r="5" spans="1:17" ht="53.25" customHeight="1">
      <c r="A5" s="78" t="s">
        <v>112</v>
      </c>
      <c r="B5" s="104"/>
      <c r="C5" s="104"/>
      <c r="D5" s="103"/>
      <c r="E5" s="104" t="s">
        <v>179</v>
      </c>
      <c r="F5" s="104" t="s">
        <v>180</v>
      </c>
      <c r="G5" s="104" t="s">
        <v>181</v>
      </c>
      <c r="H5" s="104" t="s">
        <v>243</v>
      </c>
      <c r="I5" s="104" t="s">
        <v>189</v>
      </c>
      <c r="J5" s="104" t="s">
        <v>244</v>
      </c>
      <c r="K5" s="104" t="s">
        <v>301</v>
      </c>
      <c r="L5" s="104" t="s">
        <v>302</v>
      </c>
      <c r="M5" s="104" t="s">
        <v>240</v>
      </c>
      <c r="N5" s="106"/>
      <c r="O5" s="106"/>
      <c r="P5" s="106"/>
      <c r="Q5" s="107"/>
    </row>
    <row r="6" spans="1:17" ht="53.25" customHeight="1">
      <c r="A6" s="78" t="s">
        <v>15</v>
      </c>
      <c r="B6" s="104"/>
      <c r="C6" s="104"/>
      <c r="D6" s="103"/>
      <c r="E6" s="104" t="s">
        <v>168</v>
      </c>
      <c r="F6" s="104" t="s">
        <v>169</v>
      </c>
      <c r="G6" s="104" t="s">
        <v>111</v>
      </c>
      <c r="H6" s="104" t="s">
        <v>231</v>
      </c>
      <c r="I6" s="104" t="s">
        <v>232</v>
      </c>
      <c r="J6" s="104" t="s">
        <v>190</v>
      </c>
      <c r="K6" s="108" t="s">
        <v>289</v>
      </c>
      <c r="L6" s="104" t="s">
        <v>290</v>
      </c>
      <c r="M6" s="104" t="s">
        <v>190</v>
      </c>
    </row>
    <row r="7" spans="1:17" ht="53.25" customHeight="1">
      <c r="A7" s="109" t="s">
        <v>16</v>
      </c>
      <c r="B7" s="104"/>
      <c r="C7" s="110"/>
      <c r="D7" s="103"/>
      <c r="E7" s="104" t="s">
        <v>145</v>
      </c>
      <c r="F7" s="104" t="s">
        <v>146</v>
      </c>
      <c r="G7" s="104" t="s">
        <v>111</v>
      </c>
      <c r="H7" s="104" t="s">
        <v>211</v>
      </c>
      <c r="I7" s="104" t="s">
        <v>189</v>
      </c>
      <c r="J7" s="104" t="s">
        <v>190</v>
      </c>
      <c r="K7" s="104" t="s">
        <v>267</v>
      </c>
      <c r="L7" s="104" t="s">
        <v>189</v>
      </c>
      <c r="M7" s="104" t="s">
        <v>190</v>
      </c>
    </row>
    <row r="8" spans="1:17" ht="53.25" customHeight="1">
      <c r="A8" s="109" t="s">
        <v>17</v>
      </c>
      <c r="B8" s="104"/>
      <c r="C8" s="110"/>
      <c r="D8" s="103"/>
      <c r="E8" s="104" t="s">
        <v>154</v>
      </c>
      <c r="F8" s="104" t="s">
        <v>155</v>
      </c>
      <c r="G8" s="104" t="s">
        <v>113</v>
      </c>
      <c r="H8" s="104" t="s">
        <v>124</v>
      </c>
      <c r="I8" s="104" t="s">
        <v>189</v>
      </c>
      <c r="J8" s="104" t="s">
        <v>190</v>
      </c>
      <c r="K8" s="104" t="s">
        <v>274</v>
      </c>
      <c r="L8" s="104" t="s">
        <v>275</v>
      </c>
      <c r="M8" s="104" t="s">
        <v>190</v>
      </c>
    </row>
    <row r="9" spans="1:17" ht="53.25" customHeight="1">
      <c r="A9" s="109" t="s">
        <v>18</v>
      </c>
      <c r="B9" s="104"/>
      <c r="C9" s="110"/>
      <c r="D9" s="111"/>
      <c r="E9" s="104" t="s">
        <v>174</v>
      </c>
      <c r="F9" s="104" t="s">
        <v>125</v>
      </c>
      <c r="G9" s="104" t="s">
        <v>111</v>
      </c>
      <c r="H9" s="104" t="s">
        <v>236</v>
      </c>
      <c r="I9" s="104" t="s">
        <v>237</v>
      </c>
      <c r="J9" s="104" t="s">
        <v>190</v>
      </c>
      <c r="K9" s="104" t="s">
        <v>296</v>
      </c>
      <c r="L9" s="104" t="s">
        <v>195</v>
      </c>
      <c r="M9" s="104" t="s">
        <v>190</v>
      </c>
    </row>
    <row r="10" spans="1:17" ht="53.25" customHeight="1">
      <c r="A10" s="109" t="s">
        <v>19</v>
      </c>
      <c r="B10" s="104"/>
      <c r="C10" s="110"/>
      <c r="D10" s="112"/>
      <c r="E10" s="108" t="s">
        <v>171</v>
      </c>
      <c r="F10" s="104" t="s">
        <v>172</v>
      </c>
      <c r="G10" s="104" t="s">
        <v>173</v>
      </c>
      <c r="H10" s="108" t="s">
        <v>233</v>
      </c>
      <c r="I10" s="108" t="s">
        <v>234</v>
      </c>
      <c r="J10" s="104" t="s">
        <v>235</v>
      </c>
      <c r="K10" s="108" t="s">
        <v>293</v>
      </c>
      <c r="L10" s="104" t="s">
        <v>294</v>
      </c>
      <c r="M10" s="104" t="s">
        <v>295</v>
      </c>
    </row>
    <row r="11" spans="1:17" ht="53.25" customHeight="1">
      <c r="A11" s="109" t="s">
        <v>20</v>
      </c>
      <c r="B11" s="104"/>
      <c r="C11" s="110"/>
      <c r="D11" s="103"/>
      <c r="E11" s="104" t="s">
        <v>165</v>
      </c>
      <c r="F11" s="104" t="s">
        <v>125</v>
      </c>
      <c r="G11" s="104" t="s">
        <v>111</v>
      </c>
      <c r="H11" s="104" t="s">
        <v>228</v>
      </c>
      <c r="I11" s="104" t="s">
        <v>189</v>
      </c>
      <c r="J11" s="104" t="s">
        <v>190</v>
      </c>
      <c r="K11" s="104" t="s">
        <v>286</v>
      </c>
      <c r="L11" s="108" t="s">
        <v>287</v>
      </c>
      <c r="M11" s="104" t="s">
        <v>190</v>
      </c>
    </row>
    <row r="12" spans="1:17" ht="53.25" customHeight="1">
      <c r="A12" s="109" t="s">
        <v>21</v>
      </c>
      <c r="B12" s="104"/>
      <c r="C12" s="110"/>
      <c r="D12" s="103"/>
      <c r="E12" s="104" t="s">
        <v>184</v>
      </c>
      <c r="F12" s="108" t="s">
        <v>185</v>
      </c>
      <c r="G12" s="104" t="s">
        <v>111</v>
      </c>
      <c r="H12" s="104" t="s">
        <v>247</v>
      </c>
      <c r="I12" s="104" t="s">
        <v>248</v>
      </c>
      <c r="J12" s="104" t="s">
        <v>190</v>
      </c>
      <c r="K12" s="108" t="s">
        <v>307</v>
      </c>
      <c r="L12" s="108" t="s">
        <v>308</v>
      </c>
      <c r="M12" s="104" t="s">
        <v>190</v>
      </c>
    </row>
    <row r="13" spans="1:17" ht="53.25" customHeight="1">
      <c r="A13" s="109" t="s">
        <v>114</v>
      </c>
      <c r="B13" s="113"/>
      <c r="C13" s="114"/>
      <c r="D13" s="103"/>
      <c r="E13" s="104" t="s">
        <v>186</v>
      </c>
      <c r="F13" s="104" t="s">
        <v>187</v>
      </c>
      <c r="G13" s="104" t="s">
        <v>111</v>
      </c>
      <c r="H13" s="104" t="s">
        <v>249</v>
      </c>
      <c r="I13" s="104" t="s">
        <v>250</v>
      </c>
      <c r="J13" s="104" t="s">
        <v>190</v>
      </c>
      <c r="K13" s="104" t="s">
        <v>309</v>
      </c>
      <c r="L13" s="104" t="s">
        <v>310</v>
      </c>
      <c r="M13" s="104" t="s">
        <v>190</v>
      </c>
    </row>
    <row r="14" spans="1:17" ht="53.25" customHeight="1">
      <c r="A14" s="109" t="s">
        <v>22</v>
      </c>
      <c r="B14" s="104"/>
      <c r="C14" s="110"/>
      <c r="D14" s="103"/>
      <c r="E14" s="104" t="s">
        <v>124</v>
      </c>
      <c r="F14" s="104" t="s">
        <v>125</v>
      </c>
      <c r="G14" s="104" t="s">
        <v>111</v>
      </c>
      <c r="H14" s="104" t="s">
        <v>124</v>
      </c>
      <c r="I14" s="104" t="s">
        <v>189</v>
      </c>
      <c r="J14" s="104" t="s">
        <v>190</v>
      </c>
      <c r="K14" s="104" t="s">
        <v>305</v>
      </c>
      <c r="L14" s="104" t="s">
        <v>306</v>
      </c>
      <c r="M14" s="104" t="s">
        <v>190</v>
      </c>
    </row>
    <row r="15" spans="1:17" ht="53.25" customHeight="1">
      <c r="A15" s="109" t="s">
        <v>258</v>
      </c>
      <c r="B15" s="104"/>
      <c r="C15" s="110"/>
      <c r="D15" s="103"/>
      <c r="E15" s="104" t="s">
        <v>124</v>
      </c>
      <c r="F15" s="104" t="s">
        <v>125</v>
      </c>
      <c r="G15" s="104" t="s">
        <v>111</v>
      </c>
      <c r="H15" s="104" t="s">
        <v>124</v>
      </c>
      <c r="I15" s="104" t="s">
        <v>189</v>
      </c>
      <c r="J15" s="104" t="s">
        <v>190</v>
      </c>
      <c r="K15" s="104" t="s">
        <v>124</v>
      </c>
      <c r="L15" s="104" t="s">
        <v>189</v>
      </c>
      <c r="M15" s="104" t="s">
        <v>190</v>
      </c>
    </row>
    <row r="16" spans="1:17" ht="53.25" customHeight="1">
      <c r="A16" s="109" t="s">
        <v>23</v>
      </c>
      <c r="B16" s="104"/>
      <c r="C16" s="110"/>
      <c r="D16" s="103"/>
      <c r="E16" s="104" t="s">
        <v>141</v>
      </c>
      <c r="F16" s="104" t="s">
        <v>142</v>
      </c>
      <c r="G16" s="104" t="s">
        <v>113</v>
      </c>
      <c r="H16" s="104" t="s">
        <v>207</v>
      </c>
      <c r="I16" s="104" t="s">
        <v>208</v>
      </c>
      <c r="J16" s="104" t="s">
        <v>209</v>
      </c>
      <c r="K16" s="104" t="s">
        <v>124</v>
      </c>
      <c r="L16" s="104" t="s">
        <v>189</v>
      </c>
      <c r="M16" s="104" t="s">
        <v>190</v>
      </c>
    </row>
    <row r="17" spans="1:13" ht="38.25">
      <c r="A17" s="109" t="s">
        <v>24</v>
      </c>
      <c r="B17" s="104"/>
      <c r="C17" s="110"/>
      <c r="D17" s="103"/>
      <c r="E17" s="104" t="s">
        <v>170</v>
      </c>
      <c r="F17" s="104" t="s">
        <v>125</v>
      </c>
      <c r="G17" s="104" t="s">
        <v>111</v>
      </c>
      <c r="H17" s="104" t="s">
        <v>124</v>
      </c>
      <c r="I17" s="104" t="s">
        <v>189</v>
      </c>
      <c r="J17" s="104" t="s">
        <v>190</v>
      </c>
      <c r="K17" s="104" t="s">
        <v>291</v>
      </c>
      <c r="L17" s="104" t="s">
        <v>292</v>
      </c>
      <c r="M17" s="104" t="s">
        <v>190</v>
      </c>
    </row>
    <row r="18" spans="1:13" ht="38.25">
      <c r="A18" s="109" t="s">
        <v>25</v>
      </c>
      <c r="B18" s="104"/>
      <c r="C18" s="110"/>
      <c r="D18" s="103"/>
      <c r="E18" s="104" t="s">
        <v>160</v>
      </c>
      <c r="F18" s="104" t="s">
        <v>161</v>
      </c>
      <c r="G18" s="104" t="s">
        <v>113</v>
      </c>
      <c r="H18" s="104" t="s">
        <v>222</v>
      </c>
      <c r="I18" s="104" t="s">
        <v>223</v>
      </c>
      <c r="J18" s="104" t="s">
        <v>190</v>
      </c>
      <c r="K18" s="104" t="s">
        <v>280</v>
      </c>
      <c r="L18" s="104" t="s">
        <v>281</v>
      </c>
      <c r="M18" s="104" t="s">
        <v>190</v>
      </c>
    </row>
    <row r="19" spans="1:13" ht="38.25">
      <c r="A19" s="78" t="s">
        <v>26</v>
      </c>
      <c r="B19" s="104"/>
      <c r="C19" s="110"/>
      <c r="D19" s="103"/>
      <c r="E19" s="104" t="s">
        <v>128</v>
      </c>
      <c r="F19" s="104" t="s">
        <v>129</v>
      </c>
      <c r="G19" s="104" t="s">
        <v>111</v>
      </c>
      <c r="H19" s="104" t="s">
        <v>194</v>
      </c>
      <c r="I19" s="104" t="s">
        <v>195</v>
      </c>
      <c r="J19" s="104" t="s">
        <v>198</v>
      </c>
      <c r="K19" s="104" t="s">
        <v>254</v>
      </c>
      <c r="L19" s="104" t="s">
        <v>255</v>
      </c>
      <c r="M19" s="104" t="s">
        <v>190</v>
      </c>
    </row>
    <row r="20" spans="1:13" ht="38.25">
      <c r="A20" s="78" t="s">
        <v>27</v>
      </c>
      <c r="B20" s="113"/>
      <c r="C20" s="114"/>
      <c r="D20" s="103"/>
      <c r="E20" s="104" t="s">
        <v>132</v>
      </c>
      <c r="F20" s="104" t="s">
        <v>133</v>
      </c>
      <c r="G20" s="104" t="s">
        <v>134</v>
      </c>
      <c r="H20" s="104" t="s">
        <v>199</v>
      </c>
      <c r="I20" s="104" t="s">
        <v>200</v>
      </c>
      <c r="J20" s="104" t="s">
        <v>190</v>
      </c>
      <c r="K20" s="104" t="s">
        <v>256</v>
      </c>
      <c r="L20" s="104" t="s">
        <v>257</v>
      </c>
      <c r="M20" s="104" t="s">
        <v>190</v>
      </c>
    </row>
    <row r="21" spans="1:13" ht="38.25">
      <c r="A21" s="78" t="s">
        <v>28</v>
      </c>
      <c r="B21" s="113"/>
      <c r="C21" s="114"/>
      <c r="D21" s="103"/>
      <c r="E21" s="104" t="s">
        <v>130</v>
      </c>
      <c r="F21" s="104" t="s">
        <v>131</v>
      </c>
      <c r="G21" s="104" t="s">
        <v>111</v>
      </c>
      <c r="H21" s="104" t="s">
        <v>196</v>
      </c>
      <c r="I21" s="104" t="s">
        <v>197</v>
      </c>
      <c r="J21" s="104" t="s">
        <v>198</v>
      </c>
      <c r="K21" s="104" t="s">
        <v>124</v>
      </c>
      <c r="L21" s="104" t="s">
        <v>189</v>
      </c>
      <c r="M21" s="104" t="s">
        <v>190</v>
      </c>
    </row>
    <row r="22" spans="1:13" ht="38.25">
      <c r="A22" s="78" t="s">
        <v>29</v>
      </c>
      <c r="B22" s="104"/>
      <c r="C22" s="110"/>
      <c r="D22" s="103"/>
      <c r="E22" s="104" t="s">
        <v>137</v>
      </c>
      <c r="F22" s="104" t="s">
        <v>138</v>
      </c>
      <c r="G22" s="104" t="s">
        <v>111</v>
      </c>
      <c r="H22" s="104" t="s">
        <v>203</v>
      </c>
      <c r="I22" s="104" t="s">
        <v>189</v>
      </c>
      <c r="J22" s="104" t="s">
        <v>190</v>
      </c>
      <c r="K22" s="104" t="s">
        <v>261</v>
      </c>
      <c r="L22" s="104" t="s">
        <v>262</v>
      </c>
      <c r="M22" s="104" t="s">
        <v>244</v>
      </c>
    </row>
    <row r="23" spans="1:13" ht="38.25">
      <c r="A23" s="78" t="s">
        <v>30</v>
      </c>
      <c r="B23" s="113"/>
      <c r="C23" s="114"/>
      <c r="D23" s="103"/>
      <c r="E23" s="104" t="s">
        <v>124</v>
      </c>
      <c r="F23" s="104" t="s">
        <v>125</v>
      </c>
      <c r="G23" s="104" t="s">
        <v>111</v>
      </c>
      <c r="H23" s="104" t="s">
        <v>124</v>
      </c>
      <c r="I23" s="104" t="s">
        <v>189</v>
      </c>
      <c r="J23" s="104" t="s">
        <v>190</v>
      </c>
      <c r="K23" s="104" t="s">
        <v>124</v>
      </c>
      <c r="L23" s="104" t="s">
        <v>189</v>
      </c>
      <c r="M23" s="104" t="s">
        <v>190</v>
      </c>
    </row>
    <row r="24" spans="1:13" ht="38.25">
      <c r="A24" s="78" t="s">
        <v>31</v>
      </c>
      <c r="B24" s="113"/>
      <c r="C24" s="114"/>
      <c r="D24" s="103"/>
      <c r="E24" s="104" t="s">
        <v>156</v>
      </c>
      <c r="F24" s="104" t="s">
        <v>157</v>
      </c>
      <c r="G24" s="104" t="s">
        <v>111</v>
      </c>
      <c r="H24" s="104" t="s">
        <v>218</v>
      </c>
      <c r="I24" s="104" t="s">
        <v>219</v>
      </c>
      <c r="J24" s="104" t="s">
        <v>220</v>
      </c>
      <c r="K24" s="104" t="s">
        <v>276</v>
      </c>
      <c r="L24" s="104" t="s">
        <v>277</v>
      </c>
      <c r="M24" s="104" t="s">
        <v>190</v>
      </c>
    </row>
    <row r="25" spans="1:13" ht="38.25">
      <c r="A25" s="109" t="s">
        <v>32</v>
      </c>
      <c r="B25" s="113"/>
      <c r="C25" s="114"/>
      <c r="D25" s="103"/>
      <c r="E25" s="108" t="s">
        <v>158</v>
      </c>
      <c r="F25" s="104" t="s">
        <v>159</v>
      </c>
      <c r="G25" s="104" t="s">
        <v>111</v>
      </c>
      <c r="H25" s="104" t="s">
        <v>221</v>
      </c>
      <c r="I25" s="104" t="s">
        <v>189</v>
      </c>
      <c r="J25" s="104" t="s">
        <v>190</v>
      </c>
      <c r="K25" s="108" t="s">
        <v>278</v>
      </c>
      <c r="L25" s="104" t="s">
        <v>279</v>
      </c>
      <c r="M25" s="104" t="s">
        <v>190</v>
      </c>
    </row>
    <row r="26" spans="1:13" ht="38.25">
      <c r="A26" s="109" t="s">
        <v>115</v>
      </c>
      <c r="B26" s="113"/>
      <c r="C26" s="114"/>
      <c r="D26" s="103"/>
      <c r="E26" s="104" t="s">
        <v>177</v>
      </c>
      <c r="F26" s="104" t="s">
        <v>178</v>
      </c>
      <c r="G26" s="104" t="s">
        <v>111</v>
      </c>
      <c r="H26" s="104" t="s">
        <v>241</v>
      </c>
      <c r="I26" s="104" t="s">
        <v>242</v>
      </c>
      <c r="J26" s="104" t="s">
        <v>190</v>
      </c>
      <c r="K26" s="104" t="s">
        <v>299</v>
      </c>
      <c r="L26" s="104" t="s">
        <v>300</v>
      </c>
      <c r="M26" s="104" t="s">
        <v>190</v>
      </c>
    </row>
    <row r="27" spans="1:13" ht="38.25">
      <c r="A27" s="109" t="s">
        <v>116</v>
      </c>
      <c r="B27" s="113"/>
      <c r="C27" s="114"/>
      <c r="D27" s="103"/>
      <c r="E27" s="104" t="s">
        <v>124</v>
      </c>
      <c r="F27" s="104" t="s">
        <v>125</v>
      </c>
      <c r="G27" s="104" t="s">
        <v>111</v>
      </c>
      <c r="H27" s="104" t="s">
        <v>124</v>
      </c>
      <c r="I27" s="104" t="s">
        <v>189</v>
      </c>
      <c r="J27" s="104" t="s">
        <v>190</v>
      </c>
      <c r="K27" s="104" t="s">
        <v>124</v>
      </c>
      <c r="L27" s="104" t="s">
        <v>189</v>
      </c>
      <c r="M27" s="104" t="s">
        <v>190</v>
      </c>
    </row>
    <row r="28" spans="1:13" ht="38.25">
      <c r="A28" s="109" t="s">
        <v>34</v>
      </c>
      <c r="B28" s="104"/>
      <c r="C28" s="110"/>
      <c r="D28" s="103"/>
      <c r="E28" s="104" t="s">
        <v>152</v>
      </c>
      <c r="F28" s="104" t="s">
        <v>153</v>
      </c>
      <c r="G28" s="104" t="s">
        <v>113</v>
      </c>
      <c r="H28" s="104" t="s">
        <v>217</v>
      </c>
      <c r="I28" s="104" t="s">
        <v>189</v>
      </c>
      <c r="J28" s="104" t="s">
        <v>190</v>
      </c>
      <c r="K28" s="104" t="s">
        <v>273</v>
      </c>
      <c r="L28" s="104" t="s">
        <v>189</v>
      </c>
      <c r="M28" s="104" t="s">
        <v>190</v>
      </c>
    </row>
    <row r="29" spans="1:13" ht="38.25">
      <c r="A29" s="109" t="s">
        <v>35</v>
      </c>
      <c r="B29" s="113"/>
      <c r="C29" s="114"/>
      <c r="D29" s="103"/>
      <c r="E29" s="104" t="s">
        <v>150</v>
      </c>
      <c r="F29" s="104" t="s">
        <v>151</v>
      </c>
      <c r="G29" s="104" t="s">
        <v>111</v>
      </c>
      <c r="H29" s="104" t="s">
        <v>215</v>
      </c>
      <c r="I29" s="104" t="s">
        <v>216</v>
      </c>
      <c r="J29" s="104" t="s">
        <v>190</v>
      </c>
      <c r="K29" s="104" t="s">
        <v>271</v>
      </c>
      <c r="L29" s="104" t="s">
        <v>272</v>
      </c>
      <c r="M29" s="104" t="s">
        <v>190</v>
      </c>
    </row>
    <row r="30" spans="1:13" ht="38.25">
      <c r="A30" s="115" t="s">
        <v>36</v>
      </c>
      <c r="B30" s="113"/>
      <c r="C30" s="114"/>
      <c r="D30" s="103"/>
      <c r="E30" s="104" t="s">
        <v>182</v>
      </c>
      <c r="F30" s="104" t="s">
        <v>183</v>
      </c>
      <c r="G30" s="104" t="s">
        <v>111</v>
      </c>
      <c r="H30" s="104" t="s">
        <v>245</v>
      </c>
      <c r="I30" s="104" t="s">
        <v>246</v>
      </c>
      <c r="J30" s="104" t="s">
        <v>190</v>
      </c>
      <c r="K30" s="108" t="s">
        <v>303</v>
      </c>
      <c r="L30" s="104" t="s">
        <v>304</v>
      </c>
      <c r="M30" s="104" t="s">
        <v>190</v>
      </c>
    </row>
    <row r="31" spans="1:13" ht="38.25">
      <c r="A31" s="116" t="s">
        <v>37</v>
      </c>
      <c r="B31" s="113"/>
      <c r="C31" s="114"/>
      <c r="D31" s="103"/>
      <c r="E31" s="104" t="s">
        <v>162</v>
      </c>
      <c r="F31" s="104" t="s">
        <v>125</v>
      </c>
      <c r="G31" s="104" t="s">
        <v>144</v>
      </c>
      <c r="H31" s="104" t="s">
        <v>224</v>
      </c>
      <c r="I31" s="104" t="s">
        <v>225</v>
      </c>
      <c r="J31" s="104" t="s">
        <v>209</v>
      </c>
      <c r="K31" s="104" t="s">
        <v>282</v>
      </c>
      <c r="L31" s="104" t="s">
        <v>283</v>
      </c>
      <c r="M31" s="104" t="s">
        <v>240</v>
      </c>
    </row>
    <row r="32" spans="1:13" ht="38.25">
      <c r="A32" s="101" t="s">
        <v>40</v>
      </c>
      <c r="B32" s="113"/>
      <c r="C32" s="114"/>
      <c r="D32" s="103"/>
      <c r="E32" s="104" t="s">
        <v>126</v>
      </c>
      <c r="F32" s="104" t="s">
        <v>127</v>
      </c>
      <c r="G32" s="104" t="s">
        <v>113</v>
      </c>
      <c r="H32" s="104" t="s">
        <v>191</v>
      </c>
      <c r="I32" s="104" t="s">
        <v>192</v>
      </c>
      <c r="J32" s="104" t="s">
        <v>193</v>
      </c>
      <c r="K32" s="108" t="s">
        <v>251</v>
      </c>
      <c r="L32" s="104" t="s">
        <v>252</v>
      </c>
      <c r="M32" s="104" t="s">
        <v>253</v>
      </c>
    </row>
    <row r="33" spans="1:13" ht="38.25">
      <c r="A33" s="101" t="s">
        <v>42</v>
      </c>
      <c r="B33" s="113"/>
      <c r="C33" s="114"/>
      <c r="D33" s="103"/>
      <c r="E33" s="104" t="s">
        <v>163</v>
      </c>
      <c r="F33" s="104" t="s">
        <v>164</v>
      </c>
      <c r="G33" s="104" t="s">
        <v>134</v>
      </c>
      <c r="H33" s="108" t="s">
        <v>226</v>
      </c>
      <c r="I33" s="108" t="s">
        <v>227</v>
      </c>
      <c r="J33" s="104" t="s">
        <v>190</v>
      </c>
      <c r="K33" s="108" t="s">
        <v>284</v>
      </c>
      <c r="L33" s="104" t="s">
        <v>285</v>
      </c>
      <c r="M33" s="104" t="s">
        <v>209</v>
      </c>
    </row>
    <row r="34" spans="1:13" ht="38.25">
      <c r="A34" s="101" t="s">
        <v>117</v>
      </c>
      <c r="B34" s="113"/>
      <c r="C34" s="114"/>
      <c r="D34" s="103"/>
      <c r="E34" s="104" t="s">
        <v>124</v>
      </c>
      <c r="F34" s="104" t="s">
        <v>125</v>
      </c>
      <c r="G34" s="104" t="s">
        <v>111</v>
      </c>
      <c r="H34" s="104" t="s">
        <v>124</v>
      </c>
      <c r="I34" s="104" t="s">
        <v>189</v>
      </c>
      <c r="J34" s="104" t="s">
        <v>190</v>
      </c>
      <c r="K34" s="104" t="s">
        <v>124</v>
      </c>
      <c r="L34" s="104" t="s">
        <v>189</v>
      </c>
      <c r="M34" s="104" t="s">
        <v>190</v>
      </c>
    </row>
    <row r="35" spans="1:13" ht="38.25">
      <c r="A35" s="109" t="s">
        <v>43</v>
      </c>
      <c r="B35" s="113"/>
      <c r="C35" s="114"/>
      <c r="D35" s="103"/>
      <c r="E35" s="104" t="s">
        <v>175</v>
      </c>
      <c r="F35" s="104" t="s">
        <v>176</v>
      </c>
      <c r="G35" s="104" t="s">
        <v>111</v>
      </c>
      <c r="H35" s="108" t="s">
        <v>238</v>
      </c>
      <c r="I35" s="104" t="s">
        <v>239</v>
      </c>
      <c r="J35" s="104" t="s">
        <v>240</v>
      </c>
      <c r="K35" s="104" t="s">
        <v>297</v>
      </c>
      <c r="L35" s="104" t="s">
        <v>298</v>
      </c>
      <c r="M35" s="104" t="s">
        <v>190</v>
      </c>
    </row>
    <row r="36" spans="1:13" ht="38.25">
      <c r="A36" s="109" t="s">
        <v>44</v>
      </c>
      <c r="B36" s="113"/>
      <c r="C36" s="114"/>
      <c r="D36" s="103"/>
      <c r="E36" s="108" t="s">
        <v>135</v>
      </c>
      <c r="F36" s="104" t="s">
        <v>136</v>
      </c>
      <c r="G36" s="104" t="s">
        <v>111</v>
      </c>
      <c r="H36" s="104" t="s">
        <v>201</v>
      </c>
      <c r="I36" s="104" t="s">
        <v>202</v>
      </c>
      <c r="J36" s="104" t="s">
        <v>190</v>
      </c>
      <c r="K36" s="108" t="s">
        <v>259</v>
      </c>
      <c r="L36" s="104" t="s">
        <v>260</v>
      </c>
      <c r="M36" s="104" t="s">
        <v>190</v>
      </c>
    </row>
    <row r="37" spans="1:13" ht="38.25">
      <c r="A37" s="109" t="s">
        <v>46</v>
      </c>
      <c r="B37" s="113"/>
      <c r="C37" s="114"/>
      <c r="D37" s="103"/>
      <c r="E37" s="104" t="s">
        <v>147</v>
      </c>
      <c r="F37" s="104" t="s">
        <v>148</v>
      </c>
      <c r="G37" s="104" t="s">
        <v>149</v>
      </c>
      <c r="H37" s="104" t="s">
        <v>212</v>
      </c>
      <c r="I37" s="104" t="s">
        <v>213</v>
      </c>
      <c r="J37" s="104" t="s">
        <v>214</v>
      </c>
      <c r="K37" s="108" t="s">
        <v>268</v>
      </c>
      <c r="L37" s="108" t="s">
        <v>269</v>
      </c>
      <c r="M37" s="104" t="s">
        <v>270</v>
      </c>
    </row>
    <row r="38" spans="1:13">
      <c r="A38" s="117"/>
      <c r="B38" s="117"/>
      <c r="C38" s="117"/>
      <c r="D38" s="117"/>
      <c r="E38" s="117"/>
      <c r="F38" s="117"/>
      <c r="H38" s="106"/>
      <c r="I38" s="105"/>
      <c r="J38" s="106"/>
    </row>
    <row r="39" spans="1:13" ht="15">
      <c r="B39"/>
      <c r="C39"/>
      <c r="D39"/>
      <c r="E39" s="118"/>
      <c r="F39" s="105"/>
      <c r="G39" s="106"/>
      <c r="H39" s="106"/>
      <c r="I39" s="105"/>
      <c r="J39" s="106"/>
      <c r="K39" s="106"/>
      <c r="L39" s="105"/>
      <c r="M39" s="106"/>
    </row>
    <row r="40" spans="1:13">
      <c r="E40" s="119"/>
      <c r="F40" s="106"/>
      <c r="G40" s="106"/>
      <c r="H40" s="120"/>
      <c r="I40" s="121"/>
      <c r="J40" s="106"/>
      <c r="K40" s="120"/>
      <c r="L40" s="106"/>
      <c r="M40" s="106"/>
    </row>
    <row r="41" spans="1:13">
      <c r="E41" s="119"/>
      <c r="F41" s="106"/>
      <c r="G41" s="106"/>
      <c r="H41" s="120"/>
      <c r="I41" s="106"/>
      <c r="J41" s="106"/>
      <c r="K41" s="120"/>
      <c r="L41" s="106"/>
      <c r="M41" s="106"/>
    </row>
    <row r="42" spans="1:13">
      <c r="E42" s="117"/>
      <c r="H42" s="120"/>
      <c r="I42" s="106"/>
      <c r="J42" s="105"/>
    </row>
    <row r="43" spans="1:13">
      <c r="H43" s="120"/>
      <c r="I43" s="106"/>
      <c r="J43" s="106"/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02"/>
  <sheetViews>
    <sheetView workbookViewId="0">
      <selection sqref="A1:XFD1048576"/>
    </sheetView>
  </sheetViews>
  <sheetFormatPr defaultColWidth="19.7109375" defaultRowHeight="12.75"/>
  <cols>
    <col min="1" max="1" width="31.5703125" style="8" customWidth="1"/>
    <col min="2" max="2" width="22.7109375" style="8" customWidth="1"/>
    <col min="3" max="3" width="22" style="8" customWidth="1"/>
    <col min="4" max="4" width="22.140625" style="8" customWidth="1"/>
    <col min="5" max="5" width="21.7109375" style="80" customWidth="1"/>
    <col min="6" max="6" width="24.85546875" style="80" customWidth="1"/>
    <col min="7" max="7" width="24.28515625" style="83" customWidth="1"/>
    <col min="8" max="16384" width="19.7109375" style="8"/>
  </cols>
  <sheetData>
    <row r="1" spans="1:12" ht="30.75" thickBo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6" t="s">
        <v>6</v>
      </c>
      <c r="H1" s="7"/>
    </row>
    <row r="2" spans="1:12">
      <c r="A2" s="9" t="s">
        <v>7</v>
      </c>
      <c r="B2" s="10">
        <f>7.26+677.19</f>
        <v>684.45</v>
      </c>
      <c r="C2" s="10">
        <f>7.26+504.49</f>
        <v>511.75</v>
      </c>
      <c r="D2" s="11">
        <f>B2-C2</f>
        <v>172.70000000000005</v>
      </c>
      <c r="E2" s="12"/>
      <c r="F2" s="10"/>
      <c r="G2" s="13">
        <v>42.21</v>
      </c>
    </row>
    <row r="3" spans="1:12" s="19" customFormat="1" ht="13.5" thickBot="1">
      <c r="A3" s="14" t="s">
        <v>8</v>
      </c>
      <c r="B3" s="15"/>
      <c r="C3" s="15"/>
      <c r="D3" s="16">
        <f>B3-C3</f>
        <v>0</v>
      </c>
      <c r="E3" s="15"/>
      <c r="F3" s="15"/>
      <c r="G3" s="17">
        <v>66.02</v>
      </c>
      <c r="H3" s="18"/>
      <c r="I3" s="18"/>
      <c r="J3" s="18"/>
      <c r="K3" s="18"/>
      <c r="L3" s="18"/>
    </row>
    <row r="4" spans="1:12" ht="30">
      <c r="A4" s="20" t="s">
        <v>9</v>
      </c>
      <c r="B4" s="21" t="s">
        <v>1</v>
      </c>
      <c r="C4" s="22" t="s">
        <v>10</v>
      </c>
      <c r="D4" s="23" t="s">
        <v>11</v>
      </c>
      <c r="E4" s="21" t="s">
        <v>4</v>
      </c>
      <c r="F4" s="21" t="s">
        <v>12</v>
      </c>
      <c r="G4" s="24" t="s">
        <v>13</v>
      </c>
      <c r="H4" s="25"/>
    </row>
    <row r="5" spans="1:12" s="19" customFormat="1">
      <c r="A5" s="26" t="s">
        <v>14</v>
      </c>
      <c r="B5" s="27"/>
      <c r="C5" s="28"/>
      <c r="D5" s="28">
        <f t="shared" ref="D5:D28" si="0">B5-C5</f>
        <v>0</v>
      </c>
      <c r="E5" s="28"/>
      <c r="F5" s="29"/>
      <c r="G5" s="30">
        <v>1.81</v>
      </c>
      <c r="H5" s="18"/>
      <c r="I5" s="18"/>
      <c r="J5" s="18"/>
      <c r="K5" s="18"/>
      <c r="L5" s="18"/>
    </row>
    <row r="6" spans="1:12" s="19" customFormat="1">
      <c r="A6" s="26" t="s">
        <v>15</v>
      </c>
      <c r="B6" s="27">
        <f>526.58+518</f>
        <v>1044.58</v>
      </c>
      <c r="C6" s="28">
        <f>530.33+518</f>
        <v>1048.33</v>
      </c>
      <c r="D6" s="28">
        <f>B6-C6</f>
        <v>-3.75</v>
      </c>
      <c r="E6" s="28"/>
      <c r="F6" s="29"/>
      <c r="G6" s="30">
        <v>142.66</v>
      </c>
      <c r="H6" s="18"/>
      <c r="I6" s="18"/>
      <c r="J6" s="18"/>
      <c r="K6" s="18"/>
      <c r="L6" s="18"/>
    </row>
    <row r="7" spans="1:12" s="19" customFormat="1" ht="13.5" customHeight="1">
      <c r="A7" s="31" t="s">
        <v>16</v>
      </c>
      <c r="B7" s="32"/>
      <c r="C7" s="28"/>
      <c r="D7" s="28">
        <f t="shared" si="0"/>
        <v>0</v>
      </c>
      <c r="E7" s="28"/>
      <c r="F7" s="29"/>
      <c r="G7" s="33">
        <v>8.65</v>
      </c>
      <c r="H7" s="18"/>
      <c r="I7" s="18"/>
      <c r="J7" s="18"/>
      <c r="K7" s="18"/>
      <c r="L7" s="18"/>
    </row>
    <row r="8" spans="1:12" s="19" customFormat="1">
      <c r="A8" s="31" t="s">
        <v>17</v>
      </c>
      <c r="B8" s="32"/>
      <c r="C8" s="28"/>
      <c r="D8" s="28">
        <f t="shared" si="0"/>
        <v>0</v>
      </c>
      <c r="E8" s="28"/>
      <c r="F8" s="29"/>
      <c r="G8" s="33">
        <v>0.25</v>
      </c>
      <c r="H8" s="18"/>
      <c r="I8" s="18"/>
      <c r="J8" s="18"/>
      <c r="K8" s="18"/>
      <c r="L8" s="18"/>
    </row>
    <row r="9" spans="1:12" s="19" customFormat="1">
      <c r="A9" s="31" t="s">
        <v>18</v>
      </c>
      <c r="B9" s="32"/>
      <c r="C9" s="28"/>
      <c r="D9" s="28">
        <f>B9-C9</f>
        <v>0</v>
      </c>
      <c r="E9" s="28"/>
      <c r="F9" s="29"/>
      <c r="G9" s="33">
        <v>4.6399999999999997</v>
      </c>
      <c r="H9" s="18"/>
      <c r="I9" s="18"/>
      <c r="J9" s="18"/>
      <c r="K9" s="18"/>
      <c r="L9" s="18"/>
    </row>
    <row r="10" spans="1:12" s="19" customFormat="1">
      <c r="A10" s="31" t="s">
        <v>19</v>
      </c>
      <c r="B10" s="32">
        <f>2.78+499.57+86.4+414.63+270.97+82.87</f>
        <v>1357.2199999999998</v>
      </c>
      <c r="C10" s="28">
        <f>2.78+487.66+86.4+405.1+128.6+302.12</f>
        <v>1412.6599999999999</v>
      </c>
      <c r="D10" s="28">
        <f t="shared" si="0"/>
        <v>-55.440000000000055</v>
      </c>
      <c r="E10" s="28"/>
      <c r="F10" s="29"/>
      <c r="G10" s="34">
        <v>547.54</v>
      </c>
      <c r="H10" s="18"/>
      <c r="I10" s="18"/>
      <c r="J10" s="18"/>
      <c r="K10" s="18"/>
      <c r="L10" s="18"/>
    </row>
    <row r="11" spans="1:12" s="19" customFormat="1">
      <c r="A11" s="31" t="s">
        <v>20</v>
      </c>
      <c r="B11" s="32"/>
      <c r="C11" s="28"/>
      <c r="D11" s="28">
        <f t="shared" si="0"/>
        <v>0</v>
      </c>
      <c r="E11" s="28"/>
      <c r="F11" s="29"/>
      <c r="G11" s="33">
        <v>1.1299999999999999</v>
      </c>
      <c r="H11" s="18"/>
      <c r="I11" s="18"/>
      <c r="J11" s="18"/>
      <c r="K11" s="18"/>
      <c r="L11" s="18"/>
    </row>
    <row r="12" spans="1:12" s="19" customFormat="1">
      <c r="A12" s="31" t="s">
        <v>21</v>
      </c>
      <c r="B12" s="32">
        <f>81.96+28.6</f>
        <v>110.56</v>
      </c>
      <c r="C12" s="28">
        <f>4.7+28.6</f>
        <v>33.300000000000004</v>
      </c>
      <c r="D12" s="28">
        <f t="shared" si="0"/>
        <v>77.259999999999991</v>
      </c>
      <c r="E12" s="28"/>
      <c r="F12" s="29"/>
      <c r="G12" s="33">
        <v>9.77</v>
      </c>
      <c r="H12" s="18"/>
      <c r="I12" s="18"/>
      <c r="J12" s="18"/>
      <c r="K12" s="18"/>
      <c r="L12" s="18"/>
    </row>
    <row r="13" spans="1:12" s="19" customFormat="1">
      <c r="A13" s="31" t="s">
        <v>22</v>
      </c>
      <c r="B13" s="32"/>
      <c r="C13" s="28"/>
      <c r="D13" s="28">
        <f t="shared" si="0"/>
        <v>0</v>
      </c>
      <c r="E13" s="28"/>
      <c r="F13" s="29"/>
      <c r="G13" s="33">
        <v>81.97</v>
      </c>
      <c r="H13" s="18"/>
      <c r="I13" s="18"/>
      <c r="J13" s="18"/>
      <c r="K13" s="18"/>
      <c r="L13" s="18"/>
    </row>
    <row r="14" spans="1:12" s="19" customFormat="1">
      <c r="A14" s="31" t="s">
        <v>24</v>
      </c>
      <c r="B14" s="32">
        <v>1536.76</v>
      </c>
      <c r="C14" s="28">
        <v>1536.76</v>
      </c>
      <c r="D14" s="28">
        <f t="shared" si="0"/>
        <v>0</v>
      </c>
      <c r="E14" s="28"/>
      <c r="F14" s="29"/>
      <c r="G14" s="33">
        <v>78.599999999999994</v>
      </c>
      <c r="H14" s="18"/>
      <c r="I14" s="18"/>
      <c r="J14" s="18"/>
      <c r="K14" s="18"/>
      <c r="L14" s="18"/>
    </row>
    <row r="15" spans="1:12" s="19" customFormat="1">
      <c r="A15" s="31" t="s">
        <v>25</v>
      </c>
      <c r="B15" s="32"/>
      <c r="C15" s="28"/>
      <c r="D15" s="28">
        <f t="shared" si="0"/>
        <v>0</v>
      </c>
      <c r="E15" s="28"/>
      <c r="F15" s="35"/>
      <c r="G15" s="33">
        <v>60.64</v>
      </c>
      <c r="H15" s="18"/>
      <c r="I15" s="18"/>
      <c r="J15" s="18"/>
      <c r="K15" s="18"/>
      <c r="L15" s="18"/>
    </row>
    <row r="16" spans="1:12" s="19" customFormat="1">
      <c r="A16" s="26" t="s">
        <v>26</v>
      </c>
      <c r="B16" s="27"/>
      <c r="C16" s="28"/>
      <c r="D16" s="28">
        <f t="shared" si="0"/>
        <v>0</v>
      </c>
      <c r="E16" s="28"/>
      <c r="F16" s="35"/>
      <c r="G16" s="36">
        <v>1.51</v>
      </c>
      <c r="H16" s="18"/>
      <c r="I16" s="18"/>
      <c r="J16" s="18"/>
      <c r="K16" s="18"/>
      <c r="L16" s="18"/>
    </row>
    <row r="17" spans="1:12" s="19" customFormat="1">
      <c r="A17" s="26" t="s">
        <v>27</v>
      </c>
      <c r="B17" s="27">
        <f>11.19+345.51</f>
        <v>356.7</v>
      </c>
      <c r="C17" s="28">
        <f>11.19+341.41</f>
        <v>352.6</v>
      </c>
      <c r="D17" s="28">
        <f t="shared" si="0"/>
        <v>4.0999999999999659</v>
      </c>
      <c r="E17" s="28"/>
      <c r="F17" s="35"/>
      <c r="G17" s="123">
        <v>41.26</v>
      </c>
      <c r="H17" s="18"/>
      <c r="I17" s="18"/>
      <c r="J17" s="18"/>
      <c r="K17" s="18"/>
      <c r="L17" s="18"/>
    </row>
    <row r="18" spans="1:12" s="19" customFormat="1">
      <c r="A18" s="26" t="s">
        <v>28</v>
      </c>
      <c r="B18" s="27"/>
      <c r="C18" s="28"/>
      <c r="D18" s="28">
        <f t="shared" si="0"/>
        <v>0</v>
      </c>
      <c r="E18" s="28"/>
      <c r="F18" s="35"/>
      <c r="G18" s="36">
        <v>0.6</v>
      </c>
      <c r="H18" s="18"/>
      <c r="I18" s="18"/>
      <c r="J18" s="18"/>
      <c r="K18" s="18"/>
      <c r="L18" s="18"/>
    </row>
    <row r="19" spans="1:12" s="19" customFormat="1">
      <c r="A19" s="26" t="s">
        <v>29</v>
      </c>
      <c r="B19" s="27"/>
      <c r="C19" s="28"/>
      <c r="D19" s="28">
        <f t="shared" si="0"/>
        <v>0</v>
      </c>
      <c r="E19" s="28"/>
      <c r="F19" s="37"/>
      <c r="G19" s="36">
        <v>31.06</v>
      </c>
      <c r="H19" s="18"/>
      <c r="I19" s="18"/>
      <c r="J19" s="18"/>
      <c r="K19" s="18"/>
      <c r="L19" s="18"/>
    </row>
    <row r="20" spans="1:12" s="19" customFormat="1">
      <c r="A20" s="26" t="s">
        <v>30</v>
      </c>
      <c r="B20" s="27"/>
      <c r="C20" s="28"/>
      <c r="D20" s="28">
        <f t="shared" si="0"/>
        <v>0</v>
      </c>
      <c r="E20" s="28"/>
      <c r="F20" s="37"/>
      <c r="G20" s="36">
        <v>0.13</v>
      </c>
      <c r="H20" s="18"/>
      <c r="I20" s="18"/>
      <c r="J20" s="18"/>
      <c r="K20" s="18"/>
      <c r="L20" s="18"/>
    </row>
    <row r="21" spans="1:12" s="19" customFormat="1">
      <c r="A21" s="26" t="s">
        <v>31</v>
      </c>
      <c r="B21" s="27"/>
      <c r="C21" s="28"/>
      <c r="D21" s="28">
        <f t="shared" si="0"/>
        <v>0</v>
      </c>
      <c r="E21" s="28"/>
      <c r="F21" s="29"/>
      <c r="G21" s="30">
        <v>2.38</v>
      </c>
      <c r="H21" s="18"/>
      <c r="I21" s="18"/>
      <c r="J21" s="18"/>
      <c r="K21" s="18"/>
      <c r="L21" s="18"/>
    </row>
    <row r="22" spans="1:12" s="19" customFormat="1">
      <c r="A22" s="31" t="s">
        <v>320</v>
      </c>
      <c r="B22" s="32"/>
      <c r="C22" s="28"/>
      <c r="D22" s="28">
        <f>B22-C22</f>
        <v>0</v>
      </c>
      <c r="E22" s="28"/>
      <c r="F22" s="29"/>
      <c r="G22" s="33">
        <v>23.86</v>
      </c>
      <c r="H22" s="18"/>
      <c r="I22" s="18"/>
      <c r="J22" s="18"/>
      <c r="K22" s="18"/>
      <c r="L22" s="18"/>
    </row>
    <row r="23" spans="1:12" s="19" customFormat="1" ht="12.75" customHeight="1">
      <c r="A23" s="38" t="s">
        <v>33</v>
      </c>
      <c r="B23" s="39">
        <f>423.38+165.02</f>
        <v>588.4</v>
      </c>
      <c r="C23" s="35">
        <v>0</v>
      </c>
      <c r="D23" s="40">
        <f t="shared" si="0"/>
        <v>588.4</v>
      </c>
      <c r="E23" s="28"/>
      <c r="F23" s="29"/>
      <c r="G23" s="41">
        <v>0</v>
      </c>
      <c r="H23" s="42"/>
      <c r="I23" s="18"/>
      <c r="J23" s="18"/>
      <c r="K23" s="18"/>
      <c r="L23" s="18"/>
    </row>
    <row r="24" spans="1:12" s="19" customFormat="1">
      <c r="A24" s="31" t="s">
        <v>34</v>
      </c>
      <c r="B24" s="32"/>
      <c r="C24" s="28"/>
      <c r="D24" s="28">
        <f t="shared" si="0"/>
        <v>0</v>
      </c>
      <c r="E24" s="28"/>
      <c r="F24" s="29"/>
      <c r="G24" s="33">
        <v>3.08</v>
      </c>
      <c r="H24" s="18"/>
      <c r="I24" s="18"/>
      <c r="J24" s="18"/>
      <c r="K24" s="18"/>
      <c r="L24" s="18"/>
    </row>
    <row r="25" spans="1:12" s="19" customFormat="1" ht="12.75" customHeight="1">
      <c r="A25" s="31" t="s">
        <v>35</v>
      </c>
      <c r="B25" s="39">
        <f>168+367.26+123.51+47.67+193.55</f>
        <v>899.99</v>
      </c>
      <c r="C25" s="35">
        <v>168</v>
      </c>
      <c r="D25" s="40">
        <f t="shared" si="0"/>
        <v>731.99</v>
      </c>
      <c r="E25" s="28"/>
      <c r="F25" s="29"/>
      <c r="G25" s="34">
        <v>457.47</v>
      </c>
      <c r="H25" s="42"/>
      <c r="I25" s="18"/>
      <c r="J25" s="18"/>
      <c r="K25" s="18"/>
      <c r="L25" s="18"/>
    </row>
    <row r="26" spans="1:12" s="19" customFormat="1" ht="12.75" customHeight="1">
      <c r="A26" s="38" t="s">
        <v>36</v>
      </c>
      <c r="B26" s="39">
        <f>224.82+16</f>
        <v>240.82</v>
      </c>
      <c r="C26" s="35">
        <f>92.68</f>
        <v>92.68</v>
      </c>
      <c r="D26" s="28">
        <f t="shared" si="0"/>
        <v>148.13999999999999</v>
      </c>
      <c r="E26" s="28"/>
      <c r="F26" s="29"/>
      <c r="G26" s="41">
        <v>140.07</v>
      </c>
      <c r="H26" s="42"/>
      <c r="I26" s="18"/>
      <c r="J26" s="18"/>
      <c r="K26" s="18"/>
      <c r="L26" s="18"/>
    </row>
    <row r="27" spans="1:12" s="19" customFormat="1" ht="12.75" customHeight="1">
      <c r="A27" s="38" t="s">
        <v>37</v>
      </c>
      <c r="B27" s="39">
        <v>15</v>
      </c>
      <c r="C27" s="35">
        <v>15</v>
      </c>
      <c r="D27" s="28">
        <f t="shared" si="0"/>
        <v>0</v>
      </c>
      <c r="E27" s="28"/>
      <c r="F27" s="29"/>
      <c r="G27" s="41">
        <v>29.61</v>
      </c>
      <c r="H27" s="42"/>
      <c r="I27" s="18"/>
      <c r="J27" s="18"/>
      <c r="K27" s="18"/>
      <c r="L27" s="18"/>
    </row>
    <row r="28" spans="1:12" s="19" customFormat="1" ht="13.5" thickBot="1">
      <c r="A28" s="43" t="s">
        <v>38</v>
      </c>
      <c r="B28" s="44">
        <f>1092.73+654.14+530.43+845.77</f>
        <v>3123.0699999999997</v>
      </c>
      <c r="C28" s="44">
        <f>663.96+516.65+323.95+772.72</f>
        <v>2277.2800000000002</v>
      </c>
      <c r="D28" s="45">
        <f t="shared" si="0"/>
        <v>845.78999999999951</v>
      </c>
      <c r="E28" s="46"/>
      <c r="F28" s="46"/>
      <c r="G28" s="125">
        <v>338.45</v>
      </c>
      <c r="H28" s="18"/>
      <c r="I28" s="18"/>
      <c r="J28" s="18"/>
      <c r="K28" s="18"/>
      <c r="L28" s="18"/>
    </row>
    <row r="29" spans="1:12" s="19" customFormat="1" ht="30.75" thickBot="1">
      <c r="A29" s="47" t="s">
        <v>39</v>
      </c>
      <c r="B29" s="2" t="s">
        <v>1</v>
      </c>
      <c r="C29" s="48" t="s">
        <v>10</v>
      </c>
      <c r="D29" s="4" t="s">
        <v>11</v>
      </c>
      <c r="E29" s="2" t="s">
        <v>4</v>
      </c>
      <c r="F29" s="2" t="s">
        <v>12</v>
      </c>
      <c r="G29" s="6" t="s">
        <v>13</v>
      </c>
      <c r="H29" s="49"/>
    </row>
    <row r="30" spans="1:12" s="19" customFormat="1" ht="15.75" thickBot="1">
      <c r="A30" s="9" t="s">
        <v>40</v>
      </c>
      <c r="B30" s="50">
        <v>30.5</v>
      </c>
      <c r="C30" s="51">
        <v>0</v>
      </c>
      <c r="D30" s="52">
        <f>B30-C30</f>
        <v>30.5</v>
      </c>
      <c r="E30" s="53"/>
      <c r="F30" s="54"/>
      <c r="G30" s="55">
        <v>41.98</v>
      </c>
      <c r="H30" s="18"/>
      <c r="I30" s="18"/>
      <c r="J30" s="18"/>
      <c r="K30" s="18"/>
      <c r="L30" s="18"/>
    </row>
    <row r="31" spans="1:12" s="19" customFormat="1" ht="30.75" thickBot="1">
      <c r="A31" s="47" t="s">
        <v>41</v>
      </c>
      <c r="B31" s="2" t="s">
        <v>1</v>
      </c>
      <c r="C31" s="48" t="s">
        <v>10</v>
      </c>
      <c r="D31" s="4" t="s">
        <v>11</v>
      </c>
      <c r="E31" s="2" t="s">
        <v>4</v>
      </c>
      <c r="F31" s="2" t="s">
        <v>12</v>
      </c>
      <c r="G31" s="6" t="s">
        <v>13</v>
      </c>
      <c r="H31" s="49"/>
    </row>
    <row r="32" spans="1:12" s="19" customFormat="1" ht="15">
      <c r="A32" s="9" t="s">
        <v>42</v>
      </c>
      <c r="B32" s="10">
        <f>848.58+360.46</f>
        <v>1209.04</v>
      </c>
      <c r="C32" s="56">
        <f>40.82+796.15+339.8</f>
        <v>1176.77</v>
      </c>
      <c r="D32" s="57">
        <f>B32-C32</f>
        <v>32.269999999999982</v>
      </c>
      <c r="E32" s="58"/>
      <c r="F32" s="21"/>
      <c r="G32" s="126">
        <v>340.93</v>
      </c>
      <c r="H32" s="18"/>
      <c r="I32" s="18"/>
      <c r="J32" s="18"/>
      <c r="K32" s="18"/>
      <c r="L32" s="18"/>
    </row>
    <row r="33" spans="1:12" s="19" customFormat="1" ht="17.25" customHeight="1">
      <c r="A33" s="31" t="s">
        <v>43</v>
      </c>
      <c r="B33" s="32">
        <f>444.77+109+1133.2</f>
        <v>1686.97</v>
      </c>
      <c r="C33" s="59">
        <f>441.49+109+1197</f>
        <v>1747.49</v>
      </c>
      <c r="D33" s="35">
        <f>B33-C33</f>
        <v>-60.519999999999982</v>
      </c>
      <c r="E33" s="39"/>
      <c r="F33" s="32"/>
      <c r="G33" s="34">
        <v>623.91</v>
      </c>
      <c r="H33" s="18"/>
      <c r="I33" s="18"/>
      <c r="J33" s="18"/>
      <c r="K33" s="18"/>
      <c r="L33" s="18"/>
    </row>
    <row r="34" spans="1:12" s="19" customFormat="1" ht="12.75" customHeight="1">
      <c r="A34" s="60" t="s">
        <v>44</v>
      </c>
      <c r="B34" s="39">
        <f>72.23+526.12+1212.25+1331.7</f>
        <v>3142.3</v>
      </c>
      <c r="C34" s="35">
        <f>22.33+563.94+67.27+949.52+1049.2</f>
        <v>2652.26</v>
      </c>
      <c r="D34" s="35">
        <f>B34-C34</f>
        <v>490.03999999999996</v>
      </c>
      <c r="E34" s="39"/>
      <c r="F34" s="32"/>
      <c r="G34" s="33">
        <v>331.24</v>
      </c>
      <c r="H34" s="18"/>
      <c r="I34" s="18"/>
      <c r="J34" s="18"/>
      <c r="K34" s="18"/>
      <c r="L34" s="18"/>
    </row>
    <row r="35" spans="1:12" s="19" customFormat="1">
      <c r="A35" s="38" t="s">
        <v>45</v>
      </c>
      <c r="B35" s="44">
        <f>388.51+151.44+759.1+129+154.7+1069.37</f>
        <v>2652.12</v>
      </c>
      <c r="C35" s="44">
        <f>388.51+151.44+707.21+129+151.09+969.78</f>
        <v>2497.0299999999997</v>
      </c>
      <c r="D35" s="45">
        <f>B35-C35</f>
        <v>155.09000000000015</v>
      </c>
      <c r="E35" s="61"/>
      <c r="F35" s="62"/>
      <c r="G35" s="125">
        <v>1237.28</v>
      </c>
      <c r="K35" s="18"/>
      <c r="L35" s="18"/>
    </row>
    <row r="36" spans="1:12" s="19" customFormat="1">
      <c r="A36" s="38" t="s">
        <v>46</v>
      </c>
      <c r="B36" s="39">
        <f>103.05+50+473.3+526.65</f>
        <v>1153</v>
      </c>
      <c r="C36" s="35">
        <f>126.5+50+472.87+500+30.2</f>
        <v>1179.57</v>
      </c>
      <c r="D36" s="35">
        <f>B36-C36</f>
        <v>-26.569999999999936</v>
      </c>
      <c r="E36" s="61"/>
      <c r="F36" s="62"/>
      <c r="G36" s="129">
        <v>947.87</v>
      </c>
      <c r="K36" s="18"/>
      <c r="L36" s="18"/>
    </row>
    <row r="37" spans="1:12" s="19" customFormat="1" ht="13.5" thickBot="1">
      <c r="A37" s="43" t="s">
        <v>47</v>
      </c>
      <c r="B37" s="64">
        <f>285.93+442.38</f>
        <v>728.31</v>
      </c>
      <c r="C37" s="65">
        <v>0</v>
      </c>
      <c r="D37" s="64">
        <f>B37</f>
        <v>728.31</v>
      </c>
      <c r="E37" s="66"/>
      <c r="F37" s="67"/>
      <c r="G37" s="127">
        <v>1279.54</v>
      </c>
      <c r="K37" s="18"/>
      <c r="L37" s="18"/>
    </row>
    <row r="38" spans="1:12" ht="34.5" customHeight="1" thickBot="1">
      <c r="A38" s="47" t="s">
        <v>48</v>
      </c>
      <c r="B38" s="2" t="s">
        <v>1</v>
      </c>
      <c r="C38" s="48" t="s">
        <v>10</v>
      </c>
      <c r="D38" s="4" t="s">
        <v>11</v>
      </c>
      <c r="E38" s="2" t="s">
        <v>4</v>
      </c>
      <c r="F38" s="5" t="s">
        <v>5</v>
      </c>
      <c r="G38" s="68"/>
      <c r="H38" s="18"/>
      <c r="I38" s="18"/>
      <c r="J38" s="18"/>
      <c r="K38" s="18"/>
      <c r="L38" s="18"/>
    </row>
    <row r="39" spans="1:12" ht="19.5" customHeight="1" thickBot="1">
      <c r="A39" s="9" t="s">
        <v>49</v>
      </c>
      <c r="B39" s="69"/>
      <c r="C39" s="69"/>
      <c r="D39" s="70">
        <f>B39-C39</f>
        <v>0</v>
      </c>
      <c r="E39" s="71"/>
      <c r="F39" s="72"/>
      <c r="G39" s="68"/>
    </row>
    <row r="40" spans="1:12" ht="19.5" customHeight="1" thickBot="1">
      <c r="A40" s="47" t="s">
        <v>50</v>
      </c>
      <c r="B40" s="73" t="s">
        <v>51</v>
      </c>
      <c r="C40" s="68"/>
      <c r="D40" s="68"/>
      <c r="E40" s="68"/>
      <c r="F40" s="68"/>
      <c r="G40" s="68"/>
      <c r="H40" s="18"/>
      <c r="I40" s="18"/>
      <c r="J40" s="18"/>
      <c r="K40" s="18"/>
      <c r="L40" s="18"/>
    </row>
    <row r="41" spans="1:12" ht="30" customHeight="1">
      <c r="A41" s="74" t="s">
        <v>52</v>
      </c>
      <c r="B41" s="75">
        <v>0.25</v>
      </c>
      <c r="C41" s="68"/>
      <c r="D41" s="68"/>
      <c r="E41" s="68"/>
      <c r="F41" s="68"/>
      <c r="G41" s="68"/>
    </row>
    <row r="42" spans="1:12" ht="15">
      <c r="A42" s="76" t="s">
        <v>53</v>
      </c>
      <c r="B42" s="77">
        <v>1.67</v>
      </c>
      <c r="C42" s="68"/>
      <c r="D42" s="68"/>
      <c r="E42" s="68"/>
      <c r="F42" s="68"/>
      <c r="G42" s="68"/>
    </row>
    <row r="43" spans="1:12" ht="15">
      <c r="A43" s="76" t="s">
        <v>54</v>
      </c>
      <c r="B43" s="77">
        <v>0.63</v>
      </c>
      <c r="C43" s="68"/>
      <c r="D43" s="68"/>
      <c r="E43" s="68"/>
      <c r="F43" s="68"/>
      <c r="G43" s="68"/>
    </row>
    <row r="44" spans="1:12" ht="15">
      <c r="A44" s="76" t="s">
        <v>55</v>
      </c>
      <c r="B44" s="77"/>
      <c r="C44" s="68"/>
      <c r="D44" s="68"/>
      <c r="E44" s="68"/>
      <c r="F44" s="68"/>
      <c r="G44" s="68"/>
    </row>
    <row r="45" spans="1:12" ht="15">
      <c r="A45" s="31" t="s">
        <v>56</v>
      </c>
      <c r="B45" s="77"/>
      <c r="C45" s="68"/>
      <c r="D45" s="68"/>
      <c r="E45" s="68"/>
      <c r="F45" s="68"/>
      <c r="G45" s="68"/>
    </row>
    <row r="46" spans="1:12" ht="15">
      <c r="A46" s="31" t="s">
        <v>188</v>
      </c>
      <c r="B46" s="77"/>
      <c r="C46" s="68"/>
      <c r="D46" s="68"/>
      <c r="E46" s="68"/>
      <c r="F46" s="68"/>
      <c r="G46" s="68"/>
    </row>
    <row r="47" spans="1:12" ht="25.5">
      <c r="A47" s="78" t="s">
        <v>57</v>
      </c>
      <c r="B47" s="77"/>
      <c r="C47" s="68"/>
      <c r="D47" s="68"/>
      <c r="E47" s="68"/>
      <c r="F47" s="68"/>
      <c r="G47" s="68"/>
    </row>
    <row r="48" spans="1:12" ht="25.5">
      <c r="A48" s="78" t="s">
        <v>58</v>
      </c>
      <c r="B48" s="77"/>
      <c r="C48" s="68"/>
      <c r="D48" s="68"/>
      <c r="E48" s="68"/>
      <c r="F48" s="68"/>
      <c r="G48" s="68"/>
    </row>
    <row r="49" spans="1:12" ht="25.5">
      <c r="A49" s="78" t="s">
        <v>59</v>
      </c>
      <c r="B49" s="77"/>
      <c r="C49" s="68"/>
      <c r="D49" s="68"/>
      <c r="E49" s="68"/>
      <c r="F49" s="68"/>
      <c r="G49" s="68"/>
    </row>
    <row r="50" spans="1:12" ht="15">
      <c r="A50" s="26" t="s">
        <v>60</v>
      </c>
      <c r="B50" s="77"/>
      <c r="C50" s="68"/>
      <c r="D50" s="68"/>
      <c r="E50" s="68"/>
      <c r="F50" s="68"/>
      <c r="G50" s="68"/>
    </row>
    <row r="51" spans="1:12" ht="14.25" customHeight="1">
      <c r="A51" s="76" t="s">
        <v>61</v>
      </c>
      <c r="B51" s="77"/>
      <c r="C51" s="68"/>
      <c r="D51" s="68"/>
      <c r="E51" s="68"/>
      <c r="F51" s="68"/>
      <c r="G51" s="68"/>
    </row>
    <row r="52" spans="1:12" ht="26.25" customHeight="1">
      <c r="A52" s="76" t="s">
        <v>62</v>
      </c>
      <c r="B52" s="77"/>
      <c r="C52" s="68"/>
      <c r="D52" s="68"/>
      <c r="E52" s="68"/>
      <c r="F52" s="68"/>
      <c r="G52" s="68"/>
    </row>
    <row r="53" spans="1:12" ht="33" customHeight="1">
      <c r="A53" s="76" t="s">
        <v>63</v>
      </c>
      <c r="B53" s="77"/>
      <c r="C53" s="68"/>
      <c r="D53" s="68"/>
      <c r="E53" s="68"/>
      <c r="F53" s="68"/>
      <c r="G53" s="68"/>
      <c r="J53" s="18"/>
      <c r="K53" s="18"/>
      <c r="L53" s="18"/>
    </row>
    <row r="54" spans="1:12" ht="32.25" customHeight="1">
      <c r="A54" s="76" t="s">
        <v>64</v>
      </c>
      <c r="B54" s="77"/>
      <c r="C54" s="68"/>
      <c r="D54" s="68"/>
      <c r="E54" s="68"/>
      <c r="F54" s="68"/>
      <c r="G54" s="68"/>
    </row>
    <row r="55" spans="1:12" ht="31.5" customHeight="1">
      <c r="A55" s="76" t="s">
        <v>65</v>
      </c>
      <c r="B55" s="77"/>
      <c r="C55" s="68"/>
      <c r="D55" s="68"/>
      <c r="E55" s="68"/>
      <c r="F55" s="68"/>
      <c r="G55" s="68"/>
    </row>
    <row r="56" spans="1:12" s="19" customFormat="1" ht="15">
      <c r="A56" s="76" t="s">
        <v>66</v>
      </c>
      <c r="B56" s="77"/>
      <c r="C56" s="68"/>
      <c r="D56" s="68"/>
      <c r="E56" s="68"/>
      <c r="F56" s="68"/>
      <c r="G56" s="68"/>
      <c r="H56" s="8"/>
      <c r="I56" s="8"/>
      <c r="J56" s="18"/>
      <c r="K56" s="18"/>
      <c r="L56" s="18"/>
    </row>
    <row r="57" spans="1:12" s="19" customFormat="1" ht="15">
      <c r="A57" s="76" t="s">
        <v>67</v>
      </c>
      <c r="B57" s="77"/>
      <c r="C57" s="68"/>
      <c r="D57" s="68"/>
      <c r="E57" s="68"/>
      <c r="F57" s="68"/>
      <c r="G57" s="68"/>
      <c r="H57" s="8"/>
      <c r="I57" s="8"/>
      <c r="J57" s="18"/>
      <c r="K57" s="18"/>
      <c r="L57" s="18"/>
    </row>
    <row r="58" spans="1:12" s="19" customFormat="1" ht="15">
      <c r="A58" s="76" t="s">
        <v>68</v>
      </c>
      <c r="B58" s="77"/>
      <c r="C58" s="68"/>
      <c r="D58" s="68"/>
      <c r="E58" s="68"/>
      <c r="F58" s="68"/>
      <c r="G58" s="68"/>
      <c r="H58" s="8"/>
      <c r="I58" s="8"/>
      <c r="J58" s="18"/>
      <c r="K58" s="18"/>
      <c r="L58" s="18"/>
    </row>
    <row r="59" spans="1:12" s="19" customFormat="1" ht="15">
      <c r="A59" s="76" t="s">
        <v>69</v>
      </c>
      <c r="B59" s="77"/>
      <c r="C59" s="68"/>
      <c r="D59" s="68"/>
      <c r="E59" s="68"/>
      <c r="F59" s="68"/>
      <c r="G59" s="68"/>
      <c r="H59" s="8"/>
      <c r="I59" s="8"/>
      <c r="J59" s="18"/>
      <c r="K59" s="18"/>
      <c r="L59" s="18"/>
    </row>
    <row r="60" spans="1:12" s="19" customFormat="1" ht="15">
      <c r="A60" s="78" t="s">
        <v>70</v>
      </c>
      <c r="B60" s="77"/>
      <c r="C60" s="68"/>
      <c r="D60" s="68"/>
      <c r="E60" s="68"/>
      <c r="F60" s="68"/>
      <c r="G60" s="68"/>
      <c r="H60" s="8"/>
      <c r="I60" s="8"/>
      <c r="J60" s="18"/>
      <c r="K60" s="18"/>
      <c r="L60" s="18"/>
    </row>
    <row r="61" spans="1:12" s="19" customFormat="1" ht="25.5">
      <c r="A61" s="78" t="s">
        <v>71</v>
      </c>
      <c r="B61" s="77"/>
      <c r="C61" s="68"/>
      <c r="D61" s="68"/>
      <c r="E61" s="68"/>
      <c r="F61" s="68"/>
      <c r="G61" s="68"/>
      <c r="H61" s="8"/>
      <c r="I61" s="8"/>
      <c r="J61" s="18"/>
      <c r="K61" s="18"/>
      <c r="L61" s="18"/>
    </row>
    <row r="62" spans="1:12" ht="15">
      <c r="A62" s="79" t="s">
        <v>72</v>
      </c>
      <c r="B62" s="77"/>
      <c r="C62" s="68"/>
      <c r="D62" s="68"/>
      <c r="E62" s="68"/>
      <c r="F62" s="68"/>
      <c r="G62" s="68"/>
    </row>
    <row r="63" spans="1:12" ht="15">
      <c r="A63" s="38" t="s">
        <v>73</v>
      </c>
      <c r="B63" s="77"/>
      <c r="C63" s="68"/>
      <c r="D63" s="68"/>
      <c r="E63" s="68"/>
      <c r="F63" s="68"/>
      <c r="G63" s="68"/>
    </row>
    <row r="64" spans="1:12" ht="15">
      <c r="A64" s="78" t="s">
        <v>74</v>
      </c>
      <c r="B64" s="77"/>
      <c r="C64" s="68"/>
      <c r="D64" s="68"/>
      <c r="E64" s="68"/>
      <c r="F64" s="68"/>
      <c r="G64" s="68"/>
    </row>
    <row r="65" spans="1:12" ht="15">
      <c r="A65" s="78" t="s">
        <v>75</v>
      </c>
      <c r="B65" s="77"/>
      <c r="C65" s="68"/>
      <c r="D65" s="68"/>
      <c r="E65" s="68"/>
      <c r="F65" s="68"/>
      <c r="G65" s="68"/>
    </row>
    <row r="66" spans="1:12" s="19" customFormat="1" ht="15">
      <c r="A66" s="78" t="s">
        <v>76</v>
      </c>
      <c r="B66" s="77"/>
      <c r="C66" s="68"/>
      <c r="D66" s="68"/>
      <c r="E66" s="68"/>
      <c r="F66" s="68"/>
      <c r="G66" s="68"/>
      <c r="H66" s="18"/>
      <c r="I66" s="18"/>
      <c r="J66" s="8"/>
      <c r="K66" s="8"/>
      <c r="L66" s="8"/>
    </row>
    <row r="67" spans="1:12" ht="15">
      <c r="A67" s="78" t="s">
        <v>77</v>
      </c>
      <c r="B67" s="77"/>
      <c r="C67" s="68"/>
      <c r="D67" s="68"/>
      <c r="E67" s="68"/>
      <c r="F67" s="68"/>
      <c r="G67" s="68"/>
      <c r="H67" s="18"/>
      <c r="I67" s="18"/>
    </row>
    <row r="68" spans="1:12" ht="15">
      <c r="A68" s="78" t="s">
        <v>78</v>
      </c>
      <c r="B68" s="77">
        <v>14.88</v>
      </c>
      <c r="C68" s="68"/>
      <c r="D68" s="68"/>
      <c r="E68" s="68"/>
      <c r="F68" s="68"/>
      <c r="G68" s="68"/>
    </row>
    <row r="69" spans="1:12" ht="15">
      <c r="A69" s="78" t="s">
        <v>79</v>
      </c>
      <c r="B69" s="77">
        <v>11.57</v>
      </c>
      <c r="C69" s="68"/>
      <c r="D69" s="68"/>
      <c r="E69" s="68"/>
      <c r="F69" s="68"/>
      <c r="G69" s="68"/>
    </row>
    <row r="70" spans="1:12" ht="15">
      <c r="A70" s="78" t="s">
        <v>80</v>
      </c>
      <c r="B70" s="77">
        <v>19.23</v>
      </c>
      <c r="C70" s="68"/>
      <c r="D70" s="68"/>
      <c r="E70" s="68"/>
      <c r="F70" s="68"/>
      <c r="G70" s="68"/>
    </row>
    <row r="71" spans="1:12" ht="15">
      <c r="A71" s="78" t="s">
        <v>81</v>
      </c>
      <c r="B71" s="77"/>
      <c r="C71" s="80"/>
      <c r="D71" s="81"/>
      <c r="E71" s="82"/>
      <c r="F71" s="82"/>
    </row>
    <row r="72" spans="1:12" ht="15">
      <c r="A72" s="78" t="s">
        <v>82</v>
      </c>
      <c r="B72" s="77"/>
      <c r="C72" s="80"/>
      <c r="D72" s="81"/>
      <c r="E72" s="82"/>
      <c r="F72" s="82"/>
    </row>
    <row r="73" spans="1:12" ht="15">
      <c r="A73" s="78" t="s">
        <v>83</v>
      </c>
      <c r="B73" s="77"/>
      <c r="C73" s="80"/>
      <c r="D73" s="81"/>
      <c r="E73" s="82"/>
      <c r="F73" s="82"/>
    </row>
    <row r="74" spans="1:12" ht="15">
      <c r="A74" s="78" t="s">
        <v>84</v>
      </c>
      <c r="B74" s="77"/>
      <c r="C74" s="80"/>
      <c r="D74" s="81"/>
      <c r="E74" s="82"/>
      <c r="F74" s="82"/>
    </row>
    <row r="75" spans="1:12" ht="15">
      <c r="A75" s="78" t="s">
        <v>85</v>
      </c>
      <c r="B75" s="77"/>
      <c r="C75" s="80"/>
      <c r="D75" s="81"/>
      <c r="E75" s="82"/>
      <c r="F75" s="82"/>
    </row>
    <row r="76" spans="1:12" ht="15">
      <c r="A76" s="78" t="s">
        <v>86</v>
      </c>
      <c r="B76" s="77"/>
      <c r="C76" s="80"/>
      <c r="D76" s="81"/>
      <c r="E76" s="82"/>
      <c r="F76" s="82"/>
    </row>
    <row r="77" spans="1:12" ht="15">
      <c r="A77" s="78" t="s">
        <v>87</v>
      </c>
      <c r="B77" s="77"/>
      <c r="C77" s="80"/>
      <c r="D77" s="81"/>
      <c r="E77" s="82"/>
      <c r="F77" s="82"/>
    </row>
    <row r="78" spans="1:12" ht="25.5">
      <c r="A78" s="78" t="s">
        <v>88</v>
      </c>
      <c r="B78" s="77"/>
      <c r="C78" s="80"/>
      <c r="D78" s="81"/>
      <c r="E78" s="82"/>
      <c r="F78" s="82"/>
    </row>
    <row r="79" spans="1:12" ht="25.5">
      <c r="A79" s="78" t="s">
        <v>89</v>
      </c>
      <c r="B79" s="77"/>
      <c r="C79" s="80"/>
      <c r="D79" s="81"/>
      <c r="E79" s="82"/>
      <c r="F79" s="82"/>
    </row>
    <row r="80" spans="1:12" ht="25.5">
      <c r="A80" s="78" t="s">
        <v>90</v>
      </c>
      <c r="B80" s="77"/>
      <c r="C80" s="80"/>
      <c r="D80" s="81"/>
      <c r="E80" s="82"/>
      <c r="F80" s="82"/>
    </row>
    <row r="81" spans="1:12" ht="15">
      <c r="A81" s="78" t="s">
        <v>91</v>
      </c>
      <c r="B81" s="77"/>
      <c r="C81" s="80"/>
      <c r="D81" s="81"/>
      <c r="E81" s="82"/>
      <c r="F81" s="82"/>
    </row>
    <row r="82" spans="1:12" ht="15">
      <c r="A82" s="78" t="s">
        <v>92</v>
      </c>
      <c r="B82" s="77"/>
      <c r="C82" s="80"/>
      <c r="D82" s="81"/>
      <c r="E82" s="82"/>
      <c r="F82" s="82"/>
    </row>
    <row r="83" spans="1:12" ht="15">
      <c r="A83" s="84" t="s">
        <v>93</v>
      </c>
      <c r="B83" s="77"/>
      <c r="C83" s="80"/>
      <c r="D83" s="81"/>
      <c r="E83" s="82"/>
      <c r="F83" s="82"/>
    </row>
    <row r="84" spans="1:12" ht="15">
      <c r="A84" s="84" t="s">
        <v>94</v>
      </c>
      <c r="B84" s="77">
        <v>10</v>
      </c>
      <c r="C84" s="80"/>
      <c r="D84" s="81"/>
      <c r="E84" s="82"/>
      <c r="F84" s="82"/>
    </row>
    <row r="85" spans="1:12" ht="15">
      <c r="A85" s="84" t="s">
        <v>95</v>
      </c>
      <c r="B85" s="77"/>
      <c r="C85" s="80"/>
      <c r="D85" s="81"/>
      <c r="E85" s="82"/>
      <c r="F85" s="82"/>
    </row>
    <row r="86" spans="1:12" ht="15">
      <c r="A86" s="84" t="s">
        <v>96</v>
      </c>
      <c r="B86" s="77"/>
      <c r="C86" s="80"/>
      <c r="D86" s="81"/>
      <c r="E86" s="82"/>
      <c r="F86" s="82"/>
    </row>
    <row r="87" spans="1:12" ht="15">
      <c r="A87" s="84" t="s">
        <v>97</v>
      </c>
      <c r="B87" s="77">
        <v>0.13</v>
      </c>
      <c r="C87" s="80"/>
      <c r="D87" s="81"/>
      <c r="E87" s="82"/>
      <c r="F87" s="82"/>
    </row>
    <row r="88" spans="1:12" ht="25.5">
      <c r="A88" s="85" t="s">
        <v>98</v>
      </c>
      <c r="B88" s="77"/>
      <c r="C88" s="80"/>
      <c r="D88" s="81"/>
      <c r="E88" s="82"/>
      <c r="F88" s="82"/>
    </row>
    <row r="89" spans="1:12" ht="26.25" thickBot="1">
      <c r="A89" s="86" t="s">
        <v>99</v>
      </c>
      <c r="B89" s="87"/>
      <c r="C89" s="80"/>
      <c r="D89" s="81"/>
      <c r="E89" s="82"/>
      <c r="F89" s="82"/>
    </row>
    <row r="90" spans="1:12" ht="15.75" thickBot="1">
      <c r="A90" s="88"/>
      <c r="B90" s="89"/>
      <c r="C90" s="80"/>
      <c r="D90" s="81"/>
      <c r="E90" s="82"/>
      <c r="F90" s="82"/>
    </row>
    <row r="91" spans="1:12" s="19" customFormat="1" ht="15.75" thickBot="1">
      <c r="A91" s="90" t="s">
        <v>100</v>
      </c>
      <c r="B91" s="91">
        <f>SUM(B2:B39)</f>
        <v>20559.79</v>
      </c>
      <c r="C91" s="92"/>
      <c r="D91" s="93"/>
      <c r="E91" s="68"/>
      <c r="F91" s="68"/>
      <c r="G91" s="93"/>
      <c r="H91" s="18"/>
      <c r="I91" s="18"/>
      <c r="J91" s="18"/>
      <c r="K91" s="18"/>
      <c r="L91" s="18"/>
    </row>
    <row r="92" spans="1:12" s="19" customFormat="1" ht="15.75" thickBot="1">
      <c r="A92" s="94" t="s">
        <v>101</v>
      </c>
      <c r="B92" s="95">
        <f>SUM(G2:G37)</f>
        <v>6918.119999999999</v>
      </c>
      <c r="C92" s="93"/>
      <c r="D92" s="93"/>
      <c r="E92" s="68"/>
      <c r="F92" s="68"/>
      <c r="G92" s="96"/>
      <c r="H92" s="18"/>
      <c r="I92" s="18"/>
      <c r="J92" s="18"/>
      <c r="K92" s="18"/>
      <c r="L92" s="18"/>
    </row>
    <row r="93" spans="1:12" ht="15.75" thickBot="1">
      <c r="A93" s="97" t="s">
        <v>102</v>
      </c>
      <c r="B93" s="91">
        <f>SUM(B41:B89)</f>
        <v>58.360000000000007</v>
      </c>
      <c r="C93" s="80"/>
      <c r="D93" s="81"/>
      <c r="E93" s="82"/>
      <c r="F93" s="82"/>
    </row>
    <row r="94" spans="1:12" ht="15.75" thickBot="1">
      <c r="A94" s="98" t="s">
        <v>103</v>
      </c>
      <c r="B94" s="91">
        <f>B91+B92+B93</f>
        <v>27536.27</v>
      </c>
      <c r="C94" s="80"/>
      <c r="D94" s="81"/>
    </row>
    <row r="95" spans="1:12">
      <c r="B95" s="80"/>
      <c r="C95" s="80"/>
      <c r="D95" s="81"/>
    </row>
    <row r="96" spans="1:12">
      <c r="B96" s="80"/>
      <c r="C96" s="80"/>
      <c r="D96" s="81"/>
    </row>
    <row r="97" spans="1:12">
      <c r="B97" s="80"/>
      <c r="C97" s="80"/>
      <c r="D97" s="80"/>
    </row>
    <row r="98" spans="1:12">
      <c r="B98" s="80"/>
      <c r="C98" s="80"/>
      <c r="D98" s="80"/>
    </row>
    <row r="99" spans="1:12">
      <c r="B99" s="80"/>
      <c r="C99" s="80"/>
      <c r="D99" s="80"/>
    </row>
    <row r="100" spans="1:12">
      <c r="B100" s="80"/>
      <c r="C100" s="80"/>
      <c r="D100" s="80"/>
    </row>
    <row r="101" spans="1:12" s="80" customFormat="1">
      <c r="A101" s="8"/>
      <c r="G101" s="83"/>
      <c r="H101" s="8"/>
      <c r="I101" s="8"/>
      <c r="J101" s="8"/>
      <c r="K101" s="8"/>
      <c r="L101" s="8"/>
    </row>
    <row r="102" spans="1:12" s="80" customFormat="1">
      <c r="A102" s="8"/>
      <c r="G102" s="83"/>
      <c r="H102" s="8"/>
      <c r="I102" s="8"/>
      <c r="J102" s="8"/>
      <c r="K102" s="8"/>
      <c r="L102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01"/>
  <sheetViews>
    <sheetView topLeftCell="A34" workbookViewId="0">
      <selection activeCell="A50" sqref="A50"/>
    </sheetView>
  </sheetViews>
  <sheetFormatPr defaultColWidth="19.7109375" defaultRowHeight="12.75"/>
  <cols>
    <col min="1" max="1" width="31.5703125" style="8" customWidth="1"/>
    <col min="2" max="2" width="22.7109375" style="8" customWidth="1"/>
    <col min="3" max="3" width="22" style="8" customWidth="1"/>
    <col min="4" max="4" width="22.140625" style="8" customWidth="1"/>
    <col min="5" max="5" width="21.7109375" style="80" customWidth="1"/>
    <col min="6" max="6" width="24.85546875" style="80" customWidth="1"/>
    <col min="7" max="7" width="24.28515625" style="83" customWidth="1"/>
    <col min="8" max="16384" width="19.7109375" style="8"/>
  </cols>
  <sheetData>
    <row r="1" spans="1:12" ht="30.75" thickBo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6" t="s">
        <v>6</v>
      </c>
      <c r="H1" s="7"/>
    </row>
    <row r="2" spans="1:12">
      <c r="A2" s="9" t="s">
        <v>7</v>
      </c>
      <c r="B2" s="10">
        <f>965.9+9.47</f>
        <v>975.37</v>
      </c>
      <c r="C2" s="10">
        <f>832+9.47</f>
        <v>841.47</v>
      </c>
      <c r="D2" s="11">
        <f>B2-C2</f>
        <v>133.89999999999998</v>
      </c>
      <c r="E2" s="12"/>
      <c r="F2" s="10"/>
      <c r="G2" s="13">
        <v>36.42</v>
      </c>
    </row>
    <row r="3" spans="1:12" s="19" customFormat="1" ht="13.5" thickBot="1">
      <c r="A3" s="14" t="s">
        <v>8</v>
      </c>
      <c r="B3" s="15"/>
      <c r="C3" s="15"/>
      <c r="D3" s="16">
        <f>B3-C3</f>
        <v>0</v>
      </c>
      <c r="E3" s="15"/>
      <c r="F3" s="15"/>
      <c r="G3" s="17">
        <v>54.69</v>
      </c>
      <c r="H3" s="18"/>
      <c r="I3" s="18"/>
      <c r="J3" s="18"/>
      <c r="K3" s="18"/>
      <c r="L3" s="18"/>
    </row>
    <row r="4" spans="1:12" ht="30">
      <c r="A4" s="20" t="s">
        <v>9</v>
      </c>
      <c r="B4" s="21" t="s">
        <v>1</v>
      </c>
      <c r="C4" s="22" t="s">
        <v>10</v>
      </c>
      <c r="D4" s="23" t="s">
        <v>11</v>
      </c>
      <c r="E4" s="21" t="s">
        <v>4</v>
      </c>
      <c r="F4" s="21" t="s">
        <v>12</v>
      </c>
      <c r="G4" s="24" t="s">
        <v>13</v>
      </c>
      <c r="H4" s="25"/>
    </row>
    <row r="5" spans="1:12" s="19" customFormat="1">
      <c r="A5" s="26" t="s">
        <v>14</v>
      </c>
      <c r="B5" s="27"/>
      <c r="C5" s="28"/>
      <c r="D5" s="28">
        <f t="shared" ref="D5:D31" si="0">B5-C5</f>
        <v>0</v>
      </c>
      <c r="E5" s="28"/>
      <c r="F5" s="29"/>
      <c r="G5" s="30">
        <v>6.11</v>
      </c>
      <c r="H5" s="18"/>
      <c r="I5" s="18"/>
      <c r="J5" s="18"/>
      <c r="K5" s="18"/>
      <c r="L5" s="18"/>
    </row>
    <row r="6" spans="1:12" s="19" customFormat="1">
      <c r="A6" s="26" t="s">
        <v>15</v>
      </c>
      <c r="B6" s="27">
        <v>248.09</v>
      </c>
      <c r="C6" s="28">
        <v>196.3</v>
      </c>
      <c r="D6" s="28">
        <f>B6-C6</f>
        <v>51.789999999999992</v>
      </c>
      <c r="E6" s="28"/>
      <c r="F6" s="29"/>
      <c r="G6" s="30">
        <v>23.97</v>
      </c>
      <c r="H6" s="18"/>
      <c r="I6" s="18"/>
      <c r="J6" s="18"/>
      <c r="K6" s="18"/>
      <c r="L6" s="18"/>
    </row>
    <row r="7" spans="1:12" s="19" customFormat="1" ht="13.5" customHeight="1">
      <c r="A7" s="31" t="s">
        <v>16</v>
      </c>
      <c r="B7" s="32"/>
      <c r="C7" s="28"/>
      <c r="D7" s="28">
        <f t="shared" si="0"/>
        <v>0</v>
      </c>
      <c r="E7" s="28"/>
      <c r="F7" s="29"/>
      <c r="G7" s="33">
        <v>21.02</v>
      </c>
      <c r="H7" s="18"/>
      <c r="I7" s="18"/>
      <c r="J7" s="18"/>
      <c r="K7" s="18"/>
      <c r="L7" s="18"/>
    </row>
    <row r="8" spans="1:12" s="19" customFormat="1">
      <c r="A8" s="31" t="s">
        <v>17</v>
      </c>
      <c r="B8" s="32"/>
      <c r="C8" s="28"/>
      <c r="D8" s="28">
        <f t="shared" si="0"/>
        <v>0</v>
      </c>
      <c r="E8" s="28"/>
      <c r="F8" s="29"/>
      <c r="G8" s="33">
        <v>0.13</v>
      </c>
      <c r="H8" s="18"/>
      <c r="I8" s="18"/>
      <c r="J8" s="18"/>
      <c r="K8" s="18"/>
      <c r="L8" s="18"/>
    </row>
    <row r="9" spans="1:12" s="19" customFormat="1">
      <c r="A9" s="31" t="s">
        <v>18</v>
      </c>
      <c r="B9" s="32"/>
      <c r="C9" s="28"/>
      <c r="D9" s="28">
        <f>B9-C9</f>
        <v>0</v>
      </c>
      <c r="E9" s="28"/>
      <c r="F9" s="29"/>
      <c r="G9" s="33">
        <v>3.55</v>
      </c>
      <c r="H9" s="18"/>
      <c r="I9" s="18"/>
      <c r="J9" s="18"/>
      <c r="K9" s="18"/>
      <c r="L9" s="18"/>
    </row>
    <row r="10" spans="1:12" s="19" customFormat="1">
      <c r="A10" s="31" t="s">
        <v>19</v>
      </c>
      <c r="B10" s="32"/>
      <c r="C10" s="28"/>
      <c r="D10" s="28">
        <f t="shared" si="0"/>
        <v>0</v>
      </c>
      <c r="E10" s="28"/>
      <c r="F10" s="29"/>
      <c r="G10" s="34">
        <v>263.68</v>
      </c>
      <c r="H10" s="18"/>
      <c r="I10" s="18"/>
      <c r="J10" s="18"/>
      <c r="K10" s="18"/>
      <c r="L10" s="18"/>
    </row>
    <row r="11" spans="1:12" s="19" customFormat="1">
      <c r="A11" s="31" t="s">
        <v>20</v>
      </c>
      <c r="B11" s="32"/>
      <c r="C11" s="28"/>
      <c r="D11" s="28">
        <f t="shared" si="0"/>
        <v>0</v>
      </c>
      <c r="E11" s="28"/>
      <c r="F11" s="29"/>
      <c r="G11" s="33">
        <v>0</v>
      </c>
      <c r="H11" s="18"/>
      <c r="I11" s="18"/>
      <c r="J11" s="18"/>
      <c r="K11" s="18"/>
      <c r="L11" s="18"/>
    </row>
    <row r="12" spans="1:12" s="19" customFormat="1">
      <c r="A12" s="31" t="s">
        <v>21</v>
      </c>
      <c r="B12" s="32">
        <f>191.6+204.58+148.44+26.68</f>
        <v>571.29999999999995</v>
      </c>
      <c r="C12" s="28">
        <f>127.2+204.58+151.36+24.31</f>
        <v>507.45000000000005</v>
      </c>
      <c r="D12" s="28">
        <f t="shared" si="0"/>
        <v>63.849999999999909</v>
      </c>
      <c r="E12" s="28"/>
      <c r="F12" s="29"/>
      <c r="G12" s="33">
        <v>84.24</v>
      </c>
      <c r="H12" s="18"/>
      <c r="I12" s="18"/>
      <c r="J12" s="18"/>
      <c r="K12" s="18"/>
      <c r="L12" s="18"/>
    </row>
    <row r="13" spans="1:12" s="19" customFormat="1">
      <c r="A13" s="31" t="s">
        <v>22</v>
      </c>
      <c r="B13" s="32"/>
      <c r="C13" s="28"/>
      <c r="D13" s="28">
        <f t="shared" si="0"/>
        <v>0</v>
      </c>
      <c r="E13" s="28"/>
      <c r="F13" s="29"/>
      <c r="G13" s="33">
        <v>0</v>
      </c>
      <c r="H13" s="18"/>
      <c r="I13" s="18"/>
      <c r="J13" s="18"/>
      <c r="K13" s="18"/>
      <c r="L13" s="18"/>
    </row>
    <row r="14" spans="1:12" s="19" customFormat="1">
      <c r="A14" s="31" t="s">
        <v>388</v>
      </c>
      <c r="B14" s="32"/>
      <c r="C14" s="28"/>
      <c r="D14" s="28">
        <f t="shared" si="0"/>
        <v>0</v>
      </c>
      <c r="E14" s="28"/>
      <c r="F14" s="29"/>
      <c r="G14" s="33">
        <v>0</v>
      </c>
      <c r="H14" s="18"/>
      <c r="I14" s="18"/>
      <c r="J14" s="18"/>
      <c r="K14" s="18"/>
      <c r="L14" s="18"/>
    </row>
    <row r="15" spans="1:12" s="19" customFormat="1">
      <c r="A15" s="31" t="s">
        <v>24</v>
      </c>
      <c r="B15" s="32"/>
      <c r="C15" s="28"/>
      <c r="D15" s="28">
        <f t="shared" si="0"/>
        <v>0</v>
      </c>
      <c r="E15" s="28"/>
      <c r="F15" s="29"/>
      <c r="G15" s="33">
        <v>0.04</v>
      </c>
      <c r="H15" s="18"/>
      <c r="I15" s="18"/>
      <c r="J15" s="18"/>
      <c r="K15" s="18"/>
      <c r="L15" s="18"/>
    </row>
    <row r="16" spans="1:12" s="19" customFormat="1">
      <c r="A16" s="31" t="s">
        <v>389</v>
      </c>
      <c r="B16" s="32"/>
      <c r="C16" s="28"/>
      <c r="D16" s="28">
        <f t="shared" si="0"/>
        <v>0</v>
      </c>
      <c r="E16" s="28"/>
      <c r="F16" s="29"/>
      <c r="G16" s="33">
        <v>0.04</v>
      </c>
      <c r="H16" s="18"/>
      <c r="I16" s="18"/>
      <c r="J16" s="18"/>
      <c r="K16" s="18"/>
      <c r="L16" s="18"/>
    </row>
    <row r="17" spans="1:12" s="19" customFormat="1">
      <c r="A17" s="31" t="s">
        <v>25</v>
      </c>
      <c r="B17" s="32"/>
      <c r="C17" s="28"/>
      <c r="D17" s="28">
        <f t="shared" si="0"/>
        <v>0</v>
      </c>
      <c r="E17" s="28"/>
      <c r="F17" s="35"/>
      <c r="G17" s="33">
        <v>65.08</v>
      </c>
      <c r="H17" s="18"/>
      <c r="I17" s="18"/>
      <c r="J17" s="18"/>
      <c r="K17" s="18"/>
      <c r="L17" s="18"/>
    </row>
    <row r="18" spans="1:12" s="19" customFormat="1">
      <c r="A18" s="26" t="s">
        <v>26</v>
      </c>
      <c r="B18" s="27"/>
      <c r="C18" s="28"/>
      <c r="D18" s="28">
        <f t="shared" si="0"/>
        <v>0</v>
      </c>
      <c r="E18" s="28"/>
      <c r="F18" s="35"/>
      <c r="G18" s="36">
        <v>0</v>
      </c>
      <c r="H18" s="18"/>
      <c r="I18" s="18"/>
      <c r="J18" s="18"/>
      <c r="K18" s="18"/>
      <c r="L18" s="18"/>
    </row>
    <row r="19" spans="1:12" s="19" customFormat="1">
      <c r="A19" s="26" t="s">
        <v>27</v>
      </c>
      <c r="B19" s="27">
        <v>95.55</v>
      </c>
      <c r="C19" s="28">
        <v>71.95</v>
      </c>
      <c r="D19" s="28">
        <f t="shared" si="0"/>
        <v>23.599999999999994</v>
      </c>
      <c r="E19" s="28"/>
      <c r="F19" s="35"/>
      <c r="G19" s="123">
        <v>80.02</v>
      </c>
      <c r="H19" s="18"/>
      <c r="I19" s="18"/>
      <c r="J19" s="18"/>
      <c r="K19" s="18"/>
      <c r="L19" s="18"/>
    </row>
    <row r="20" spans="1:12" s="19" customFormat="1">
      <c r="A20" s="26" t="s">
        <v>28</v>
      </c>
      <c r="B20" s="27"/>
      <c r="C20" s="28"/>
      <c r="D20" s="28">
        <f t="shared" si="0"/>
        <v>0</v>
      </c>
      <c r="E20" s="28"/>
      <c r="F20" s="35"/>
      <c r="G20" s="36">
        <v>1.1299999999999999</v>
      </c>
      <c r="H20" s="18"/>
      <c r="I20" s="18"/>
      <c r="J20" s="18"/>
      <c r="K20" s="18"/>
      <c r="L20" s="18"/>
    </row>
    <row r="21" spans="1:12" s="19" customFormat="1">
      <c r="A21" s="26" t="s">
        <v>29</v>
      </c>
      <c r="B21" s="27"/>
      <c r="C21" s="28"/>
      <c r="D21" s="28">
        <f t="shared" si="0"/>
        <v>0</v>
      </c>
      <c r="E21" s="28"/>
      <c r="F21" s="37"/>
      <c r="G21" s="36">
        <v>14.32</v>
      </c>
      <c r="H21" s="18"/>
      <c r="I21" s="18"/>
      <c r="J21" s="18"/>
      <c r="K21" s="18"/>
      <c r="L21" s="18"/>
    </row>
    <row r="22" spans="1:12" s="19" customFormat="1">
      <c r="A22" s="26" t="s">
        <v>30</v>
      </c>
      <c r="B22" s="27"/>
      <c r="C22" s="28"/>
      <c r="D22" s="28">
        <f t="shared" si="0"/>
        <v>0</v>
      </c>
      <c r="E22" s="28"/>
      <c r="F22" s="37"/>
      <c r="G22" s="36">
        <v>0.88</v>
      </c>
      <c r="H22" s="18"/>
      <c r="I22" s="18"/>
      <c r="J22" s="18"/>
      <c r="K22" s="18"/>
      <c r="L22" s="18"/>
    </row>
    <row r="23" spans="1:12" s="19" customFormat="1">
      <c r="A23" s="26" t="s">
        <v>31</v>
      </c>
      <c r="B23" s="27"/>
      <c r="C23" s="28"/>
      <c r="D23" s="28">
        <f t="shared" si="0"/>
        <v>0</v>
      </c>
      <c r="E23" s="28"/>
      <c r="F23" s="29"/>
      <c r="G23" s="30">
        <v>5.44</v>
      </c>
      <c r="H23" s="18"/>
      <c r="I23" s="18"/>
      <c r="J23" s="18"/>
      <c r="K23" s="18"/>
      <c r="L23" s="18"/>
    </row>
    <row r="24" spans="1:12" s="19" customFormat="1">
      <c r="A24" s="26" t="s">
        <v>390</v>
      </c>
      <c r="B24" s="27"/>
      <c r="C24" s="28"/>
      <c r="D24" s="28">
        <f t="shared" si="0"/>
        <v>0</v>
      </c>
      <c r="E24" s="28"/>
      <c r="F24" s="29"/>
      <c r="G24" s="30">
        <v>0.04</v>
      </c>
      <c r="H24" s="18"/>
      <c r="I24" s="18"/>
      <c r="J24" s="18"/>
      <c r="K24" s="18"/>
      <c r="L24" s="18"/>
    </row>
    <row r="25" spans="1:12" s="19" customFormat="1">
      <c r="A25" s="31" t="s">
        <v>320</v>
      </c>
      <c r="B25" s="32">
        <v>33.15</v>
      </c>
      <c r="C25" s="28">
        <v>0</v>
      </c>
      <c r="D25" s="28">
        <f t="shared" si="0"/>
        <v>33.15</v>
      </c>
      <c r="E25" s="28"/>
      <c r="F25" s="29"/>
      <c r="G25" s="33">
        <v>4.54</v>
      </c>
      <c r="H25" s="18"/>
      <c r="I25" s="18"/>
      <c r="J25" s="18"/>
      <c r="K25" s="18"/>
      <c r="L25" s="18"/>
    </row>
    <row r="26" spans="1:12" s="19" customFormat="1" ht="12.75" customHeight="1">
      <c r="A26" s="38" t="s">
        <v>33</v>
      </c>
      <c r="B26" s="39">
        <v>957.44</v>
      </c>
      <c r="C26" s="35">
        <v>0</v>
      </c>
      <c r="D26" s="40">
        <f t="shared" si="0"/>
        <v>957.44</v>
      </c>
      <c r="E26" s="28"/>
      <c r="F26" s="29"/>
      <c r="G26" s="41">
        <v>227.11</v>
      </c>
      <c r="H26" s="42"/>
      <c r="I26" s="18"/>
      <c r="J26" s="18"/>
      <c r="K26" s="18"/>
      <c r="L26" s="18"/>
    </row>
    <row r="27" spans="1:12" s="19" customFormat="1">
      <c r="A27" s="31" t="s">
        <v>34</v>
      </c>
      <c r="B27" s="32">
        <f>30.9</f>
        <v>30.9</v>
      </c>
      <c r="C27" s="28">
        <v>0</v>
      </c>
      <c r="D27" s="28">
        <f t="shared" si="0"/>
        <v>30.9</v>
      </c>
      <c r="E27" s="28"/>
      <c r="F27" s="29"/>
      <c r="G27" s="33">
        <v>11.85</v>
      </c>
      <c r="H27" s="18"/>
      <c r="I27" s="18"/>
      <c r="J27" s="18"/>
      <c r="K27" s="18"/>
      <c r="L27" s="18"/>
    </row>
    <row r="28" spans="1:12" s="19" customFormat="1" ht="12.75" customHeight="1">
      <c r="A28" s="31" t="s">
        <v>35</v>
      </c>
      <c r="B28" s="39">
        <f>158.82+6.9+399.09+3.49+120.97</f>
        <v>689.27</v>
      </c>
      <c r="C28" s="35">
        <f>158.82+6.9</f>
        <v>165.72</v>
      </c>
      <c r="D28" s="40">
        <f t="shared" si="0"/>
        <v>523.54999999999995</v>
      </c>
      <c r="E28" s="28"/>
      <c r="F28" s="29"/>
      <c r="G28" s="34">
        <v>281.95</v>
      </c>
      <c r="H28" s="42"/>
      <c r="I28" s="18"/>
      <c r="J28" s="18"/>
      <c r="K28" s="18"/>
      <c r="L28" s="18"/>
    </row>
    <row r="29" spans="1:12" s="19" customFormat="1" ht="12.75" customHeight="1">
      <c r="A29" s="38" t="s">
        <v>36</v>
      </c>
      <c r="B29" s="39"/>
      <c r="C29" s="35"/>
      <c r="D29" s="28">
        <f t="shared" si="0"/>
        <v>0</v>
      </c>
      <c r="E29" s="28"/>
      <c r="F29" s="29"/>
      <c r="G29" s="41">
        <v>60.82</v>
      </c>
      <c r="H29" s="42"/>
      <c r="I29" s="18"/>
      <c r="J29" s="18"/>
      <c r="K29" s="18"/>
      <c r="L29" s="18"/>
    </row>
    <row r="30" spans="1:12" s="19" customFormat="1" ht="12.75" customHeight="1">
      <c r="A30" s="38" t="s">
        <v>37</v>
      </c>
      <c r="B30" s="39"/>
      <c r="C30" s="35"/>
      <c r="D30" s="28">
        <f t="shared" si="0"/>
        <v>0</v>
      </c>
      <c r="E30" s="28"/>
      <c r="F30" s="29"/>
      <c r="G30" s="41">
        <v>29.73</v>
      </c>
      <c r="H30" s="42"/>
      <c r="I30" s="18"/>
      <c r="J30" s="18"/>
      <c r="K30" s="18"/>
      <c r="L30" s="18"/>
    </row>
    <row r="31" spans="1:12" s="19" customFormat="1" ht="13.5" thickBot="1">
      <c r="A31" s="43" t="s">
        <v>38</v>
      </c>
      <c r="B31" s="44">
        <f>157.14+466.09+352.13</f>
        <v>975.36</v>
      </c>
      <c r="C31" s="44">
        <f>157.14+186.83+282.8</f>
        <v>626.77</v>
      </c>
      <c r="D31" s="45">
        <f t="shared" si="0"/>
        <v>348.59000000000003</v>
      </c>
      <c r="E31" s="46"/>
      <c r="F31" s="46"/>
      <c r="G31" s="124">
        <v>316.11</v>
      </c>
      <c r="H31" s="18"/>
      <c r="I31" s="18"/>
      <c r="J31" s="18"/>
      <c r="K31" s="18"/>
      <c r="L31" s="18"/>
    </row>
    <row r="32" spans="1:12" s="19" customFormat="1" ht="30.75" thickBot="1">
      <c r="A32" s="47" t="s">
        <v>39</v>
      </c>
      <c r="B32" s="2" t="s">
        <v>1</v>
      </c>
      <c r="C32" s="48" t="s">
        <v>10</v>
      </c>
      <c r="D32" s="4" t="s">
        <v>11</v>
      </c>
      <c r="E32" s="2" t="s">
        <v>4</v>
      </c>
      <c r="F32" s="2" t="s">
        <v>12</v>
      </c>
      <c r="G32" s="6" t="s">
        <v>13</v>
      </c>
      <c r="H32" s="49"/>
    </row>
    <row r="33" spans="1:12" s="19" customFormat="1" ht="15.75" thickBot="1">
      <c r="A33" s="9" t="s">
        <v>40</v>
      </c>
      <c r="B33" s="50">
        <f>499.49+186.06</f>
        <v>685.55</v>
      </c>
      <c r="C33" s="51">
        <f>64.87+465.04+139.5</f>
        <v>669.41000000000008</v>
      </c>
      <c r="D33" s="52">
        <f>B33-C33</f>
        <v>16.139999999999873</v>
      </c>
      <c r="E33" s="53"/>
      <c r="F33" s="54"/>
      <c r="G33" s="55">
        <v>59.51</v>
      </c>
      <c r="H33" s="18"/>
      <c r="I33" s="18"/>
      <c r="J33" s="18"/>
      <c r="K33" s="18"/>
      <c r="L33" s="18"/>
    </row>
    <row r="34" spans="1:12" s="19" customFormat="1" ht="30.75" thickBot="1">
      <c r="A34" s="47" t="s">
        <v>41</v>
      </c>
      <c r="B34" s="2" t="s">
        <v>1</v>
      </c>
      <c r="C34" s="48" t="s">
        <v>10</v>
      </c>
      <c r="D34" s="4" t="s">
        <v>11</v>
      </c>
      <c r="E34" s="2" t="s">
        <v>4</v>
      </c>
      <c r="F34" s="2" t="s">
        <v>12</v>
      </c>
      <c r="G34" s="6" t="s">
        <v>13</v>
      </c>
      <c r="H34" s="49"/>
    </row>
    <row r="35" spans="1:12" s="19" customFormat="1" ht="15">
      <c r="A35" s="9" t="s">
        <v>42</v>
      </c>
      <c r="B35" s="10">
        <f>296.6+71.3</f>
        <v>367.90000000000003</v>
      </c>
      <c r="C35" s="56">
        <f>14.16+329.67+36.5</f>
        <v>380.33000000000004</v>
      </c>
      <c r="D35" s="57">
        <f>B35-C35</f>
        <v>-12.430000000000007</v>
      </c>
      <c r="E35" s="58"/>
      <c r="F35" s="21"/>
      <c r="G35" s="126">
        <v>205.52</v>
      </c>
      <c r="H35" s="18"/>
      <c r="I35" s="18"/>
      <c r="J35" s="18"/>
      <c r="K35" s="18"/>
      <c r="L35" s="18"/>
    </row>
    <row r="36" spans="1:12" s="19" customFormat="1" ht="17.25" customHeight="1">
      <c r="A36" s="31" t="s">
        <v>43</v>
      </c>
      <c r="B36" s="32">
        <f>174.3+280.92+11.26</f>
        <v>466.48</v>
      </c>
      <c r="C36" s="59">
        <f>89.45+294.94+11.26</f>
        <v>395.65</v>
      </c>
      <c r="D36" s="35">
        <f>B36-C36</f>
        <v>70.830000000000041</v>
      </c>
      <c r="E36" s="39"/>
      <c r="F36" s="32"/>
      <c r="G36" s="33">
        <v>236.82</v>
      </c>
      <c r="H36" s="18"/>
      <c r="I36" s="18"/>
      <c r="J36" s="18"/>
      <c r="K36" s="18"/>
      <c r="L36" s="18"/>
    </row>
    <row r="37" spans="1:12" s="19" customFormat="1" ht="12.75" customHeight="1">
      <c r="A37" s="60" t="s">
        <v>44</v>
      </c>
      <c r="B37" s="39"/>
      <c r="C37" s="35"/>
      <c r="D37" s="35">
        <f>B37-C37</f>
        <v>0</v>
      </c>
      <c r="E37" s="39"/>
      <c r="F37" s="32"/>
      <c r="G37" s="34">
        <v>249.47</v>
      </c>
      <c r="H37" s="18"/>
      <c r="I37" s="18"/>
      <c r="J37" s="18"/>
      <c r="K37" s="18"/>
      <c r="L37" s="18"/>
    </row>
    <row r="38" spans="1:12" s="19" customFormat="1">
      <c r="A38" s="38" t="s">
        <v>45</v>
      </c>
      <c r="B38" s="44">
        <f>168.5+379.36+28.99</f>
        <v>576.85</v>
      </c>
      <c r="C38" s="44">
        <f>168.5+379.36+28.99</f>
        <v>576.85</v>
      </c>
      <c r="D38" s="45">
        <f>B38-C38</f>
        <v>0</v>
      </c>
      <c r="E38" s="61"/>
      <c r="F38" s="62"/>
      <c r="G38" s="125">
        <v>909.96</v>
      </c>
      <c r="K38" s="18"/>
      <c r="L38" s="18"/>
    </row>
    <row r="39" spans="1:12" s="19" customFormat="1">
      <c r="A39" s="38" t="s">
        <v>46</v>
      </c>
      <c r="B39" s="39">
        <f>236.29+68.97+320.6+91.42</f>
        <v>717.28</v>
      </c>
      <c r="C39" s="35">
        <f>67.84+168.45+68.77+497.7+91.42</f>
        <v>894.18</v>
      </c>
      <c r="D39" s="35">
        <f>B39-C39</f>
        <v>-176.89999999999998</v>
      </c>
      <c r="E39" s="61"/>
      <c r="F39" s="62"/>
      <c r="G39" s="63">
        <v>234.68</v>
      </c>
      <c r="K39" s="18"/>
      <c r="L39" s="18"/>
    </row>
    <row r="40" spans="1:12" s="19" customFormat="1" ht="13.5" thickBot="1">
      <c r="A40" s="43" t="s">
        <v>387</v>
      </c>
      <c r="B40" s="64">
        <f>257.08+3030.42+11.04</f>
        <v>3298.54</v>
      </c>
      <c r="C40" s="65">
        <v>0</v>
      </c>
      <c r="D40" s="64">
        <f>B40</f>
        <v>3298.54</v>
      </c>
      <c r="E40" s="66"/>
      <c r="F40" s="67"/>
      <c r="G40" s="34">
        <f>201.29+370</f>
        <v>571.29</v>
      </c>
      <c r="K40" s="18"/>
      <c r="L40" s="18"/>
    </row>
    <row r="41" spans="1:12" ht="34.5" customHeight="1" thickBot="1">
      <c r="A41" s="47" t="s">
        <v>48</v>
      </c>
      <c r="B41" s="2" t="s">
        <v>1</v>
      </c>
      <c r="C41" s="48" t="s">
        <v>10</v>
      </c>
      <c r="D41" s="4" t="s">
        <v>11</v>
      </c>
      <c r="E41" s="2" t="s">
        <v>4</v>
      </c>
      <c r="F41" s="5" t="s">
        <v>5</v>
      </c>
      <c r="G41" s="68"/>
      <c r="H41" s="18"/>
      <c r="I41" s="18"/>
      <c r="J41" s="18"/>
      <c r="K41" s="18"/>
      <c r="L41" s="18"/>
    </row>
    <row r="42" spans="1:12" ht="19.5" customHeight="1" thickBot="1">
      <c r="A42" s="9" t="s">
        <v>49</v>
      </c>
      <c r="B42" s="69"/>
      <c r="C42" s="69"/>
      <c r="D42" s="70">
        <f>B42-C42</f>
        <v>0</v>
      </c>
      <c r="E42" s="71"/>
      <c r="F42" s="72"/>
      <c r="G42" s="68"/>
    </row>
    <row r="43" spans="1:12" ht="19.5" customHeight="1" thickBot="1">
      <c r="A43" s="47" t="s">
        <v>50</v>
      </c>
      <c r="B43" s="73" t="s">
        <v>51</v>
      </c>
      <c r="C43" s="68"/>
      <c r="D43" s="68"/>
      <c r="E43" s="68"/>
      <c r="F43" s="68"/>
      <c r="G43" s="68"/>
      <c r="H43" s="18"/>
      <c r="I43" s="18"/>
      <c r="J43" s="18"/>
      <c r="K43" s="18"/>
      <c r="L43" s="18"/>
    </row>
    <row r="44" spans="1:12" ht="30" customHeight="1">
      <c r="A44" s="74" t="s">
        <v>52</v>
      </c>
      <c r="B44" s="75">
        <v>1.38</v>
      </c>
      <c r="C44" s="68"/>
      <c r="D44" s="68"/>
      <c r="E44" s="68"/>
      <c r="F44" s="68"/>
      <c r="G44" s="68"/>
    </row>
    <row r="45" spans="1:12" ht="15">
      <c r="A45" s="76" t="s">
        <v>54</v>
      </c>
      <c r="B45" s="77">
        <v>1.39</v>
      </c>
      <c r="C45" s="68"/>
      <c r="D45" s="68"/>
      <c r="E45" s="68"/>
      <c r="F45" s="68"/>
      <c r="G45" s="68"/>
    </row>
    <row r="46" spans="1:12" ht="15">
      <c r="A46" s="76" t="s">
        <v>477</v>
      </c>
      <c r="B46" s="77"/>
      <c r="C46" s="68"/>
      <c r="D46" s="68"/>
      <c r="E46" s="68"/>
      <c r="F46" s="68"/>
      <c r="G46" s="68"/>
    </row>
    <row r="47" spans="1:12" ht="15">
      <c r="A47" s="31" t="s">
        <v>188</v>
      </c>
      <c r="B47" s="77">
        <v>2.87</v>
      </c>
      <c r="C47" s="68"/>
      <c r="D47" s="68"/>
      <c r="E47" s="68"/>
      <c r="F47" s="68"/>
      <c r="G47" s="68"/>
    </row>
    <row r="48" spans="1:12" ht="25.5">
      <c r="A48" s="78" t="s">
        <v>57</v>
      </c>
      <c r="B48" s="77"/>
      <c r="C48" s="68"/>
      <c r="D48" s="68"/>
      <c r="E48" s="68"/>
      <c r="F48" s="68"/>
      <c r="G48" s="68"/>
    </row>
    <row r="49" spans="1:12" ht="25.5">
      <c r="A49" s="78" t="s">
        <v>478</v>
      </c>
      <c r="B49" s="77">
        <v>0.09</v>
      </c>
      <c r="C49" s="68"/>
      <c r="D49" s="68"/>
      <c r="E49" s="68"/>
      <c r="F49" s="68"/>
      <c r="G49" s="68"/>
    </row>
    <row r="50" spans="1:12" ht="14.25" customHeight="1">
      <c r="A50" s="76" t="s">
        <v>479</v>
      </c>
      <c r="B50" s="77"/>
      <c r="C50" s="68"/>
      <c r="D50" s="68"/>
      <c r="E50" s="68"/>
      <c r="F50" s="68"/>
      <c r="G50" s="68"/>
    </row>
    <row r="51" spans="1:12" ht="26.25" customHeight="1">
      <c r="A51" s="76" t="s">
        <v>480</v>
      </c>
      <c r="B51" s="77"/>
      <c r="C51" s="68"/>
      <c r="D51" s="68"/>
      <c r="E51" s="68"/>
      <c r="F51" s="68"/>
      <c r="G51" s="68"/>
    </row>
    <row r="52" spans="1:12" ht="33" customHeight="1">
      <c r="A52" s="76" t="s">
        <v>63</v>
      </c>
      <c r="B52" s="77"/>
      <c r="C52" s="68"/>
      <c r="D52" s="68"/>
      <c r="E52" s="68"/>
      <c r="F52" s="68"/>
      <c r="G52" s="68"/>
      <c r="J52" s="18"/>
      <c r="K52" s="18"/>
      <c r="L52" s="18"/>
    </row>
    <row r="53" spans="1:12" ht="32.25" customHeight="1">
      <c r="A53" s="76" t="s">
        <v>64</v>
      </c>
      <c r="B53" s="77"/>
      <c r="C53" s="68"/>
      <c r="D53" s="68"/>
      <c r="E53" s="68"/>
      <c r="F53" s="68"/>
      <c r="G53" s="68"/>
    </row>
    <row r="54" spans="1:12" ht="31.5" customHeight="1">
      <c r="A54" s="76" t="s">
        <v>65</v>
      </c>
      <c r="B54" s="77"/>
      <c r="C54" s="68"/>
      <c r="D54" s="68"/>
      <c r="E54" s="68"/>
      <c r="F54" s="68"/>
      <c r="G54" s="68"/>
    </row>
    <row r="55" spans="1:12" s="19" customFormat="1" ht="15">
      <c r="A55" s="76" t="s">
        <v>66</v>
      </c>
      <c r="B55" s="77"/>
      <c r="C55" s="68"/>
      <c r="D55" s="68"/>
      <c r="E55" s="68"/>
      <c r="F55" s="68"/>
      <c r="G55" s="68"/>
      <c r="H55" s="8"/>
      <c r="I55" s="8"/>
      <c r="J55" s="18"/>
      <c r="K55" s="18"/>
      <c r="L55" s="18"/>
    </row>
    <row r="56" spans="1:12" s="19" customFormat="1" ht="15">
      <c r="A56" s="76" t="s">
        <v>481</v>
      </c>
      <c r="B56" s="77"/>
      <c r="C56" s="68"/>
      <c r="D56" s="68"/>
      <c r="E56" s="68"/>
      <c r="F56" s="68"/>
      <c r="G56" s="68"/>
      <c r="H56" s="8"/>
      <c r="I56" s="8"/>
      <c r="J56" s="18"/>
      <c r="K56" s="18"/>
      <c r="L56" s="18"/>
    </row>
    <row r="57" spans="1:12" s="19" customFormat="1" ht="15">
      <c r="A57" s="76" t="s">
        <v>482</v>
      </c>
      <c r="B57" s="77"/>
      <c r="C57" s="68"/>
      <c r="D57" s="68"/>
      <c r="E57" s="68"/>
      <c r="F57" s="68"/>
      <c r="G57" s="68"/>
      <c r="H57" s="8"/>
      <c r="I57" s="8"/>
      <c r="J57" s="18"/>
      <c r="K57" s="18"/>
      <c r="L57" s="18"/>
    </row>
    <row r="58" spans="1:12" s="19" customFormat="1" ht="15">
      <c r="A58" s="76" t="s">
        <v>483</v>
      </c>
      <c r="B58" s="77"/>
      <c r="C58" s="68"/>
      <c r="D58" s="68"/>
      <c r="E58" s="68"/>
      <c r="F58" s="68"/>
      <c r="G58" s="68"/>
      <c r="H58" s="8"/>
      <c r="I58" s="8"/>
      <c r="J58" s="18"/>
      <c r="K58" s="18"/>
      <c r="L58" s="18"/>
    </row>
    <row r="59" spans="1:12" s="19" customFormat="1" ht="15">
      <c r="A59" s="78" t="s">
        <v>70</v>
      </c>
      <c r="B59" s="77"/>
      <c r="C59" s="68"/>
      <c r="D59" s="68"/>
      <c r="E59" s="68"/>
      <c r="F59" s="68"/>
      <c r="G59" s="68"/>
      <c r="H59" s="8"/>
      <c r="I59" s="8"/>
      <c r="J59" s="18"/>
      <c r="K59" s="18"/>
      <c r="L59" s="18"/>
    </row>
    <row r="60" spans="1:12" s="19" customFormat="1" ht="25.5">
      <c r="A60" s="78" t="s">
        <v>484</v>
      </c>
      <c r="B60" s="77"/>
      <c r="C60" s="68"/>
      <c r="D60" s="68"/>
      <c r="E60" s="68"/>
      <c r="F60" s="68"/>
      <c r="G60" s="68"/>
      <c r="H60" s="8"/>
      <c r="I60" s="8"/>
      <c r="J60" s="18"/>
      <c r="K60" s="18"/>
      <c r="L60" s="18"/>
    </row>
    <row r="61" spans="1:12" ht="15">
      <c r="A61" s="79" t="s">
        <v>485</v>
      </c>
      <c r="B61" s="77"/>
      <c r="C61" s="68"/>
      <c r="D61" s="68"/>
      <c r="E61" s="68"/>
      <c r="F61" s="68"/>
      <c r="G61" s="68"/>
    </row>
    <row r="62" spans="1:12" ht="15">
      <c r="A62" s="38" t="s">
        <v>73</v>
      </c>
      <c r="B62" s="77"/>
      <c r="C62" s="68"/>
      <c r="D62" s="68"/>
      <c r="E62" s="68"/>
      <c r="F62" s="68"/>
      <c r="G62" s="68"/>
    </row>
    <row r="63" spans="1:12" ht="15">
      <c r="A63" s="78" t="s">
        <v>74</v>
      </c>
      <c r="B63" s="77"/>
      <c r="C63" s="68"/>
      <c r="D63" s="68"/>
      <c r="E63" s="68"/>
      <c r="F63" s="68"/>
      <c r="G63" s="68"/>
    </row>
    <row r="64" spans="1:12" ht="15">
      <c r="A64" s="78" t="s">
        <v>75</v>
      </c>
      <c r="B64" s="77"/>
      <c r="C64" s="68"/>
      <c r="D64" s="68"/>
      <c r="E64" s="68"/>
      <c r="F64" s="68"/>
      <c r="G64" s="68"/>
    </row>
    <row r="65" spans="1:12" s="19" customFormat="1" ht="15">
      <c r="A65" s="78" t="s">
        <v>76</v>
      </c>
      <c r="B65" s="77"/>
      <c r="C65" s="68"/>
      <c r="D65" s="68"/>
      <c r="E65" s="68"/>
      <c r="F65" s="68"/>
      <c r="G65" s="68"/>
      <c r="H65" s="18"/>
      <c r="I65" s="18"/>
      <c r="J65" s="8"/>
      <c r="K65" s="8"/>
      <c r="L65" s="8"/>
    </row>
    <row r="66" spans="1:12" ht="15">
      <c r="A66" s="78" t="s">
        <v>77</v>
      </c>
      <c r="B66" s="77"/>
      <c r="C66" s="68"/>
      <c r="D66" s="68"/>
      <c r="E66" s="68"/>
      <c r="F66" s="68"/>
      <c r="G66" s="68"/>
      <c r="H66" s="18"/>
      <c r="I66" s="18"/>
    </row>
    <row r="67" spans="1:12" ht="15">
      <c r="A67" s="78" t="s">
        <v>78</v>
      </c>
      <c r="B67" s="77">
        <v>14.88</v>
      </c>
      <c r="C67" s="68"/>
      <c r="D67" s="68"/>
      <c r="E67" s="68"/>
      <c r="F67" s="68"/>
      <c r="G67" s="68"/>
    </row>
    <row r="68" spans="1:12" ht="15">
      <c r="A68" s="78" t="s">
        <v>79</v>
      </c>
      <c r="B68" s="77">
        <v>20.03</v>
      </c>
      <c r="C68" s="68"/>
      <c r="D68" s="68"/>
      <c r="E68" s="68"/>
      <c r="F68" s="68"/>
      <c r="G68" s="68"/>
    </row>
    <row r="69" spans="1:12" ht="15">
      <c r="A69" s="78" t="s">
        <v>80</v>
      </c>
      <c r="B69" s="77">
        <v>18.329999999999998</v>
      </c>
      <c r="C69" s="68"/>
      <c r="D69" s="68"/>
      <c r="E69" s="68"/>
      <c r="F69" s="68"/>
      <c r="G69" s="68"/>
    </row>
    <row r="70" spans="1:12" ht="15">
      <c r="A70" s="78" t="s">
        <v>81</v>
      </c>
      <c r="B70" s="77"/>
      <c r="C70" s="80"/>
      <c r="D70" s="81"/>
      <c r="E70" s="82"/>
      <c r="F70" s="82"/>
    </row>
    <row r="71" spans="1:12" ht="15">
      <c r="A71" s="78" t="s">
        <v>82</v>
      </c>
      <c r="B71" s="77"/>
      <c r="C71" s="80"/>
      <c r="D71" s="81"/>
      <c r="E71" s="82"/>
      <c r="F71" s="82"/>
    </row>
    <row r="72" spans="1:12" ht="15">
      <c r="A72" s="78" t="s">
        <v>486</v>
      </c>
      <c r="B72" s="77"/>
      <c r="C72" s="80"/>
      <c r="D72" s="81"/>
      <c r="E72" s="82"/>
      <c r="F72" s="82"/>
    </row>
    <row r="73" spans="1:12" ht="15">
      <c r="A73" s="78" t="s">
        <v>487</v>
      </c>
      <c r="B73" s="77"/>
      <c r="C73" s="80"/>
      <c r="D73" s="81"/>
      <c r="E73" s="82"/>
      <c r="F73" s="82"/>
    </row>
    <row r="74" spans="1:12" ht="15">
      <c r="A74" s="78" t="s">
        <v>85</v>
      </c>
      <c r="B74" s="77"/>
      <c r="C74" s="80"/>
      <c r="D74" s="81"/>
      <c r="E74" s="82"/>
      <c r="F74" s="82"/>
    </row>
    <row r="75" spans="1:12" ht="15">
      <c r="A75" s="78" t="s">
        <v>86</v>
      </c>
      <c r="B75" s="77"/>
      <c r="C75" s="80"/>
      <c r="D75" s="81"/>
      <c r="E75" s="82"/>
      <c r="F75" s="82"/>
    </row>
    <row r="76" spans="1:12" ht="15">
      <c r="A76" s="78" t="s">
        <v>87</v>
      </c>
      <c r="B76" s="77"/>
      <c r="C76" s="80"/>
      <c r="D76" s="81"/>
      <c r="E76" s="82"/>
      <c r="F76" s="82"/>
    </row>
    <row r="77" spans="1:12" ht="25.5">
      <c r="A77" s="78" t="s">
        <v>88</v>
      </c>
      <c r="B77" s="77"/>
      <c r="C77" s="80"/>
      <c r="D77" s="81"/>
      <c r="E77" s="82"/>
      <c r="F77" s="82"/>
    </row>
    <row r="78" spans="1:12" ht="25.5">
      <c r="A78" s="78" t="s">
        <v>89</v>
      </c>
      <c r="B78" s="77"/>
      <c r="C78" s="80"/>
      <c r="D78" s="81"/>
      <c r="E78" s="82"/>
      <c r="F78" s="82"/>
    </row>
    <row r="79" spans="1:12" ht="25.5">
      <c r="A79" s="78" t="s">
        <v>90</v>
      </c>
      <c r="B79" s="77"/>
      <c r="C79" s="80"/>
      <c r="D79" s="81"/>
      <c r="E79" s="82"/>
      <c r="F79" s="82"/>
    </row>
    <row r="80" spans="1:12" ht="15">
      <c r="A80" s="78" t="s">
        <v>91</v>
      </c>
      <c r="B80" s="77"/>
      <c r="C80" s="80"/>
      <c r="D80" s="81"/>
      <c r="E80" s="82"/>
      <c r="F80" s="82"/>
    </row>
    <row r="81" spans="1:12" ht="15">
      <c r="A81" s="78" t="s">
        <v>92</v>
      </c>
      <c r="B81" s="77">
        <v>1.05</v>
      </c>
      <c r="C81" s="80"/>
      <c r="D81" s="81"/>
      <c r="E81" s="82"/>
      <c r="F81" s="82"/>
    </row>
    <row r="82" spans="1:12" ht="15">
      <c r="A82" s="84" t="s">
        <v>93</v>
      </c>
      <c r="B82" s="77"/>
      <c r="C82" s="80"/>
      <c r="D82" s="81"/>
      <c r="E82" s="82"/>
      <c r="F82" s="82"/>
    </row>
    <row r="83" spans="1:12" ht="15">
      <c r="A83" s="84" t="s">
        <v>94</v>
      </c>
      <c r="B83" s="77">
        <v>42.28</v>
      </c>
      <c r="C83" s="80"/>
      <c r="D83" s="81"/>
      <c r="E83" s="82"/>
      <c r="F83" s="82"/>
    </row>
    <row r="84" spans="1:12" ht="15">
      <c r="A84" s="84" t="s">
        <v>95</v>
      </c>
      <c r="B84" s="77"/>
      <c r="C84" s="80"/>
      <c r="D84" s="81"/>
      <c r="E84" s="82"/>
      <c r="F84" s="82"/>
    </row>
    <row r="85" spans="1:12" ht="15">
      <c r="A85" s="84" t="s">
        <v>96</v>
      </c>
      <c r="B85" s="77"/>
      <c r="C85" s="80"/>
      <c r="D85" s="81"/>
      <c r="E85" s="82"/>
      <c r="F85" s="82"/>
    </row>
    <row r="86" spans="1:12" ht="15">
      <c r="A86" s="84" t="s">
        <v>97</v>
      </c>
      <c r="B86" s="77">
        <v>0.38</v>
      </c>
      <c r="C86" s="80"/>
      <c r="D86" s="81"/>
      <c r="E86" s="82"/>
      <c r="F86" s="82"/>
    </row>
    <row r="87" spans="1:12" ht="25.5">
      <c r="A87" s="85" t="s">
        <v>98</v>
      </c>
      <c r="B87" s="77">
        <v>0.02</v>
      </c>
      <c r="C87" s="80"/>
      <c r="D87" s="81"/>
      <c r="E87" s="82"/>
      <c r="F87" s="82"/>
    </row>
    <row r="88" spans="1:12" ht="26.25" thickBot="1">
      <c r="A88" s="86" t="s">
        <v>99</v>
      </c>
      <c r="B88" s="87">
        <v>0.03</v>
      </c>
      <c r="C88" s="80"/>
      <c r="D88" s="81"/>
      <c r="E88" s="82"/>
      <c r="F88" s="82"/>
    </row>
    <row r="89" spans="1:12" ht="15.75" thickBot="1">
      <c r="A89" s="88"/>
      <c r="B89" s="89"/>
      <c r="C89" s="80"/>
      <c r="D89" s="81"/>
      <c r="E89" s="82"/>
      <c r="F89" s="82"/>
    </row>
    <row r="90" spans="1:12" s="19" customFormat="1" ht="15.75" thickBot="1">
      <c r="A90" s="90" t="s">
        <v>100</v>
      </c>
      <c r="B90" s="91">
        <f>SUM(B2:B42)</f>
        <v>10689.03</v>
      </c>
      <c r="C90" s="92"/>
      <c r="D90" s="93"/>
      <c r="E90" s="68"/>
      <c r="F90" s="68"/>
      <c r="G90" s="93"/>
      <c r="H90" s="18"/>
      <c r="I90" s="18"/>
      <c r="J90" s="18"/>
      <c r="K90" s="18"/>
      <c r="L90" s="18"/>
    </row>
    <row r="91" spans="1:12" s="19" customFormat="1" ht="15.75" thickBot="1">
      <c r="A91" s="94" t="s">
        <v>101</v>
      </c>
      <c r="B91" s="95">
        <f>SUM(G2:G40)</f>
        <v>4060.16</v>
      </c>
      <c r="C91" s="93"/>
      <c r="D91" s="93"/>
      <c r="E91" s="68"/>
      <c r="F91" s="68"/>
      <c r="G91" s="96"/>
      <c r="H91" s="18"/>
      <c r="I91" s="18"/>
      <c r="J91" s="18"/>
      <c r="K91" s="18"/>
      <c r="L91" s="18"/>
    </row>
    <row r="92" spans="1:12" ht="15.75" thickBot="1">
      <c r="A92" s="97" t="s">
        <v>102</v>
      </c>
      <c r="B92" s="91">
        <f>SUM(B44:B88)</f>
        <v>102.72999999999999</v>
      </c>
      <c r="C92" s="80"/>
      <c r="D92" s="81"/>
      <c r="E92" s="82"/>
      <c r="F92" s="82"/>
    </row>
    <row r="93" spans="1:12" ht="15.75" thickBot="1">
      <c r="A93" s="98" t="s">
        <v>103</v>
      </c>
      <c r="B93" s="91">
        <f>B90+B91+B92</f>
        <v>14851.92</v>
      </c>
      <c r="C93" s="80"/>
      <c r="D93" s="81"/>
    </row>
    <row r="94" spans="1:12">
      <c r="B94" s="80"/>
      <c r="C94" s="80"/>
      <c r="D94" s="81"/>
    </row>
    <row r="95" spans="1:12">
      <c r="B95" s="80"/>
      <c r="C95" s="80"/>
      <c r="D95" s="81"/>
    </row>
    <row r="96" spans="1:12">
      <c r="B96" s="80"/>
      <c r="C96" s="80"/>
      <c r="D96" s="80"/>
    </row>
    <row r="97" spans="1:12">
      <c r="B97" s="80"/>
      <c r="C97" s="80"/>
      <c r="D97" s="80"/>
    </row>
    <row r="98" spans="1:12">
      <c r="B98" s="80"/>
      <c r="C98" s="80"/>
      <c r="D98" s="80"/>
    </row>
    <row r="99" spans="1:12">
      <c r="B99" s="80"/>
      <c r="C99" s="80"/>
      <c r="D99" s="80"/>
    </row>
    <row r="100" spans="1:12" s="80" customFormat="1">
      <c r="A100" s="8"/>
      <c r="G100" s="83"/>
      <c r="H100" s="8"/>
      <c r="I100" s="8"/>
      <c r="J100" s="8"/>
      <c r="K100" s="8"/>
      <c r="L100" s="8"/>
    </row>
    <row r="101" spans="1:12" s="80" customFormat="1">
      <c r="A101" s="8"/>
      <c r="G101" s="83"/>
      <c r="H101" s="8"/>
      <c r="I101" s="8"/>
      <c r="J101" s="8"/>
      <c r="K101" s="8"/>
      <c r="L101" s="8"/>
    </row>
  </sheetData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17"/>
  <sheetViews>
    <sheetView topLeftCell="A28" workbookViewId="0">
      <selection activeCell="A47" sqref="A47"/>
    </sheetView>
  </sheetViews>
  <sheetFormatPr defaultColWidth="19.7109375" defaultRowHeight="12.75"/>
  <cols>
    <col min="1" max="1" width="31.5703125" style="8" customWidth="1"/>
    <col min="2" max="2" width="22.7109375" style="8" customWidth="1"/>
    <col min="3" max="3" width="22" style="8" customWidth="1"/>
    <col min="4" max="4" width="22.140625" style="8" customWidth="1"/>
    <col min="5" max="5" width="21.7109375" style="80" customWidth="1"/>
    <col min="6" max="6" width="24.85546875" style="80" customWidth="1"/>
    <col min="7" max="7" width="24.28515625" style="83" customWidth="1"/>
    <col min="8" max="16384" width="19.7109375" style="8"/>
  </cols>
  <sheetData>
    <row r="1" spans="1:12" ht="30.75" thickBo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6" t="s">
        <v>6</v>
      </c>
      <c r="H1" s="7"/>
    </row>
    <row r="2" spans="1:12">
      <c r="A2" s="9" t="s">
        <v>7</v>
      </c>
      <c r="B2" s="10">
        <f>7.31+1458.96</f>
        <v>1466.27</v>
      </c>
      <c r="C2" s="10">
        <f>7.31+1117.16</f>
        <v>1124.47</v>
      </c>
      <c r="D2" s="11">
        <f>B2-C2</f>
        <v>341.79999999999995</v>
      </c>
      <c r="E2" s="12"/>
      <c r="F2" s="10"/>
      <c r="G2" s="13">
        <v>43.4</v>
      </c>
    </row>
    <row r="3" spans="1:12" s="19" customFormat="1" ht="13.5" thickBot="1">
      <c r="A3" s="14" t="s">
        <v>8</v>
      </c>
      <c r="B3" s="15"/>
      <c r="C3" s="15"/>
      <c r="D3" s="16">
        <f>B3-C3</f>
        <v>0</v>
      </c>
      <c r="E3" s="15"/>
      <c r="F3" s="15"/>
      <c r="G3" s="17">
        <v>67.27</v>
      </c>
      <c r="H3" s="18"/>
      <c r="I3" s="18"/>
      <c r="J3" s="18"/>
      <c r="K3" s="18"/>
      <c r="L3" s="18"/>
    </row>
    <row r="4" spans="1:12" ht="30">
      <c r="A4" s="20" t="s">
        <v>9</v>
      </c>
      <c r="B4" s="21" t="s">
        <v>1</v>
      </c>
      <c r="C4" s="22" t="s">
        <v>10</v>
      </c>
      <c r="D4" s="23" t="s">
        <v>11</v>
      </c>
      <c r="E4" s="21" t="s">
        <v>4</v>
      </c>
      <c r="F4" s="21" t="s">
        <v>12</v>
      </c>
      <c r="G4" s="24" t="s">
        <v>13</v>
      </c>
      <c r="H4" s="25"/>
    </row>
    <row r="5" spans="1:12" s="19" customFormat="1">
      <c r="A5" s="26" t="s">
        <v>14</v>
      </c>
      <c r="B5" s="27"/>
      <c r="C5" s="28"/>
      <c r="D5" s="28">
        <f t="shared" ref="D5:D34" si="0">B5-C5</f>
        <v>0</v>
      </c>
      <c r="E5" s="28"/>
      <c r="F5" s="29"/>
      <c r="G5" s="30">
        <v>0.81</v>
      </c>
      <c r="H5" s="18"/>
      <c r="I5" s="18"/>
      <c r="J5" s="18"/>
      <c r="K5" s="18"/>
      <c r="L5" s="18"/>
    </row>
    <row r="6" spans="1:12" s="19" customFormat="1">
      <c r="A6" s="26" t="s">
        <v>15</v>
      </c>
      <c r="B6" s="27"/>
      <c r="C6" s="28"/>
      <c r="D6" s="28">
        <f>B6-C6</f>
        <v>0</v>
      </c>
      <c r="E6" s="28"/>
      <c r="F6" s="29"/>
      <c r="G6" s="30">
        <v>0.5</v>
      </c>
      <c r="H6" s="18"/>
      <c r="I6" s="18"/>
      <c r="J6" s="18"/>
      <c r="K6" s="18"/>
      <c r="L6" s="18"/>
    </row>
    <row r="7" spans="1:12" s="19" customFormat="1" ht="13.5" customHeight="1">
      <c r="A7" s="31" t="s">
        <v>16</v>
      </c>
      <c r="B7" s="32"/>
      <c r="C7" s="28"/>
      <c r="D7" s="28">
        <f t="shared" si="0"/>
        <v>0</v>
      </c>
      <c r="E7" s="28"/>
      <c r="F7" s="29"/>
      <c r="G7" s="33">
        <v>14.66</v>
      </c>
      <c r="H7" s="18"/>
      <c r="I7" s="18"/>
      <c r="J7" s="18"/>
      <c r="K7" s="18"/>
      <c r="L7" s="18"/>
    </row>
    <row r="8" spans="1:12" s="19" customFormat="1">
      <c r="A8" s="31" t="s">
        <v>17</v>
      </c>
      <c r="B8" s="32"/>
      <c r="C8" s="28"/>
      <c r="D8" s="28">
        <f t="shared" si="0"/>
        <v>0</v>
      </c>
      <c r="E8" s="28"/>
      <c r="F8" s="29"/>
      <c r="G8" s="33">
        <v>0</v>
      </c>
      <c r="H8" s="18"/>
      <c r="I8" s="18"/>
      <c r="J8" s="18"/>
      <c r="K8" s="18"/>
      <c r="L8" s="18"/>
    </row>
    <row r="9" spans="1:12" s="19" customFormat="1">
      <c r="A9" s="31" t="s">
        <v>18</v>
      </c>
      <c r="B9" s="32"/>
      <c r="C9" s="28"/>
      <c r="D9" s="28">
        <f>B9-C9</f>
        <v>0</v>
      </c>
      <c r="E9" s="28"/>
      <c r="F9" s="29"/>
      <c r="G9" s="33">
        <v>2.2400000000000002</v>
      </c>
      <c r="H9" s="18"/>
      <c r="I9" s="18"/>
      <c r="J9" s="18"/>
      <c r="K9" s="18"/>
      <c r="L9" s="18"/>
    </row>
    <row r="10" spans="1:12" s="19" customFormat="1">
      <c r="A10" s="31" t="s">
        <v>20</v>
      </c>
      <c r="B10" s="32"/>
      <c r="C10" s="28"/>
      <c r="D10" s="28">
        <f t="shared" si="0"/>
        <v>0</v>
      </c>
      <c r="E10" s="28"/>
      <c r="F10" s="29"/>
      <c r="G10" s="33">
        <v>2.68</v>
      </c>
      <c r="H10" s="18"/>
      <c r="I10" s="18"/>
      <c r="J10" s="18"/>
      <c r="K10" s="18"/>
      <c r="L10" s="18"/>
    </row>
    <row r="11" spans="1:12" s="19" customFormat="1">
      <c r="A11" s="31" t="s">
        <v>492</v>
      </c>
      <c r="B11" s="32"/>
      <c r="C11" s="28"/>
      <c r="D11" s="28">
        <f t="shared" si="0"/>
        <v>0</v>
      </c>
      <c r="E11" s="28"/>
      <c r="F11" s="29"/>
      <c r="G11" s="33">
        <v>0</v>
      </c>
      <c r="H11" s="18"/>
      <c r="I11" s="18"/>
      <c r="J11" s="18"/>
      <c r="K11" s="18"/>
      <c r="L11" s="18"/>
    </row>
    <row r="12" spans="1:12" s="19" customFormat="1">
      <c r="A12" s="31" t="s">
        <v>21</v>
      </c>
      <c r="B12" s="32">
        <f>12.58+305.74</f>
        <v>318.32</v>
      </c>
      <c r="C12" s="28">
        <f>12.61+538.3</f>
        <v>550.91</v>
      </c>
      <c r="D12" s="28">
        <f t="shared" si="0"/>
        <v>-232.58999999999997</v>
      </c>
      <c r="E12" s="28"/>
      <c r="F12" s="29"/>
      <c r="G12" s="33">
        <v>61.45</v>
      </c>
      <c r="H12" s="18"/>
      <c r="I12" s="18"/>
      <c r="J12" s="18"/>
      <c r="K12" s="18"/>
      <c r="L12" s="18"/>
    </row>
    <row r="13" spans="1:12" s="19" customFormat="1">
      <c r="A13" s="31" t="s">
        <v>488</v>
      </c>
      <c r="B13" s="32">
        <f>12.54+282.23</f>
        <v>294.77000000000004</v>
      </c>
      <c r="C13" s="28">
        <v>0</v>
      </c>
      <c r="D13" s="28">
        <f t="shared" si="0"/>
        <v>294.77000000000004</v>
      </c>
      <c r="E13" s="28"/>
      <c r="F13" s="29"/>
      <c r="G13" s="33">
        <v>24.19</v>
      </c>
      <c r="H13" s="18"/>
      <c r="I13" s="18"/>
      <c r="J13" s="18"/>
      <c r="K13" s="18"/>
      <c r="L13" s="18"/>
    </row>
    <row r="14" spans="1:12" s="19" customFormat="1">
      <c r="A14" s="31" t="s">
        <v>22</v>
      </c>
      <c r="B14" s="32"/>
      <c r="C14" s="28"/>
      <c r="D14" s="28">
        <f t="shared" si="0"/>
        <v>0</v>
      </c>
      <c r="E14" s="28"/>
      <c r="F14" s="29"/>
      <c r="G14" s="33">
        <v>0</v>
      </c>
      <c r="H14" s="18"/>
      <c r="I14" s="18"/>
      <c r="J14" s="18"/>
      <c r="K14" s="18"/>
      <c r="L14" s="18"/>
    </row>
    <row r="15" spans="1:12" s="19" customFormat="1">
      <c r="A15" s="31" t="s">
        <v>388</v>
      </c>
      <c r="B15" s="32"/>
      <c r="C15" s="28"/>
      <c r="D15" s="28">
        <f t="shared" si="0"/>
        <v>0</v>
      </c>
      <c r="E15" s="28"/>
      <c r="F15" s="29"/>
      <c r="G15" s="33">
        <v>0</v>
      </c>
      <c r="H15" s="18"/>
      <c r="I15" s="18"/>
      <c r="J15" s="18"/>
      <c r="K15" s="18"/>
      <c r="L15" s="18"/>
    </row>
    <row r="16" spans="1:12" s="19" customFormat="1">
      <c r="A16" s="31" t="s">
        <v>495</v>
      </c>
      <c r="B16" s="32"/>
      <c r="C16" s="28"/>
      <c r="D16" s="28">
        <f>B16-C16</f>
        <v>0</v>
      </c>
      <c r="E16" s="28"/>
      <c r="F16" s="29"/>
      <c r="G16" s="33">
        <v>0.42</v>
      </c>
      <c r="H16" s="18"/>
      <c r="I16" s="18"/>
      <c r="J16" s="18"/>
      <c r="K16" s="18"/>
      <c r="L16" s="18"/>
    </row>
    <row r="17" spans="1:12" s="19" customFormat="1">
      <c r="A17" s="31" t="s">
        <v>389</v>
      </c>
      <c r="B17" s="32"/>
      <c r="C17" s="28"/>
      <c r="D17" s="28">
        <f t="shared" si="0"/>
        <v>0</v>
      </c>
      <c r="E17" s="28"/>
      <c r="F17" s="29"/>
      <c r="G17" s="33">
        <v>0.87</v>
      </c>
      <c r="H17" s="18"/>
      <c r="I17" s="18"/>
      <c r="J17" s="18"/>
      <c r="K17" s="18"/>
      <c r="L17" s="18"/>
    </row>
    <row r="18" spans="1:12" s="19" customFormat="1">
      <c r="A18" s="31" t="s">
        <v>25</v>
      </c>
      <c r="B18" s="32"/>
      <c r="C18" s="28"/>
      <c r="D18" s="28">
        <f t="shared" si="0"/>
        <v>0</v>
      </c>
      <c r="E18" s="28"/>
      <c r="F18" s="35"/>
      <c r="G18" s="33">
        <v>60.74</v>
      </c>
      <c r="H18" s="18"/>
      <c r="I18" s="18"/>
      <c r="J18" s="18"/>
      <c r="K18" s="18"/>
      <c r="L18" s="18"/>
    </row>
    <row r="19" spans="1:12" s="19" customFormat="1">
      <c r="A19" s="26" t="s">
        <v>26</v>
      </c>
      <c r="B19" s="27"/>
      <c r="C19" s="28"/>
      <c r="D19" s="28">
        <f t="shared" si="0"/>
        <v>0</v>
      </c>
      <c r="E19" s="28"/>
      <c r="F19" s="35"/>
      <c r="G19" s="36">
        <v>3.79</v>
      </c>
      <c r="H19" s="18"/>
      <c r="I19" s="18"/>
      <c r="J19" s="18"/>
      <c r="K19" s="18"/>
      <c r="L19" s="18"/>
    </row>
    <row r="20" spans="1:12" s="19" customFormat="1">
      <c r="A20" s="26" t="s">
        <v>27</v>
      </c>
      <c r="B20" s="27">
        <f>339.25+1896.91</f>
        <v>2236.16</v>
      </c>
      <c r="C20" s="28">
        <f>339.25+1871.91</f>
        <v>2211.16</v>
      </c>
      <c r="D20" s="28">
        <f t="shared" si="0"/>
        <v>25</v>
      </c>
      <c r="E20" s="28"/>
      <c r="F20" s="35"/>
      <c r="G20" s="123">
        <v>56.83</v>
      </c>
      <c r="H20" s="18"/>
      <c r="I20" s="18"/>
      <c r="J20" s="18"/>
      <c r="K20" s="18"/>
      <c r="L20" s="18"/>
    </row>
    <row r="21" spans="1:12" s="19" customFormat="1">
      <c r="A21" s="26" t="s">
        <v>28</v>
      </c>
      <c r="B21" s="27"/>
      <c r="C21" s="28"/>
      <c r="D21" s="28">
        <f t="shared" si="0"/>
        <v>0</v>
      </c>
      <c r="E21" s="28"/>
      <c r="F21" s="35"/>
      <c r="G21" s="36">
        <v>0</v>
      </c>
      <c r="H21" s="18"/>
      <c r="I21" s="18"/>
      <c r="J21" s="18"/>
      <c r="K21" s="18"/>
      <c r="L21" s="18"/>
    </row>
    <row r="22" spans="1:12" s="19" customFormat="1">
      <c r="A22" s="26" t="s">
        <v>29</v>
      </c>
      <c r="B22" s="27"/>
      <c r="C22" s="28"/>
      <c r="D22" s="28">
        <f t="shared" si="0"/>
        <v>0</v>
      </c>
      <c r="E22" s="28"/>
      <c r="F22" s="37"/>
      <c r="G22" s="36">
        <v>20.64</v>
      </c>
      <c r="H22" s="18"/>
      <c r="I22" s="18"/>
      <c r="J22" s="18"/>
      <c r="K22" s="18"/>
      <c r="L22" s="18"/>
    </row>
    <row r="23" spans="1:12" s="19" customFormat="1">
      <c r="A23" s="26" t="s">
        <v>30</v>
      </c>
      <c r="B23" s="27"/>
      <c r="C23" s="28"/>
      <c r="D23" s="28">
        <f t="shared" si="0"/>
        <v>0</v>
      </c>
      <c r="E23" s="28"/>
      <c r="F23" s="37"/>
      <c r="G23" s="36">
        <v>1.63</v>
      </c>
      <c r="H23" s="18"/>
      <c r="I23" s="18"/>
      <c r="J23" s="18"/>
      <c r="K23" s="18"/>
      <c r="L23" s="18"/>
    </row>
    <row r="24" spans="1:12" s="19" customFormat="1">
      <c r="A24" s="26" t="s">
        <v>31</v>
      </c>
      <c r="B24" s="27">
        <v>82.43</v>
      </c>
      <c r="C24" s="28">
        <v>0</v>
      </c>
      <c r="D24" s="28">
        <f t="shared" si="0"/>
        <v>82.43</v>
      </c>
      <c r="E24" s="28"/>
      <c r="F24" s="29"/>
      <c r="G24" s="30">
        <v>24.02</v>
      </c>
      <c r="H24" s="18"/>
      <c r="I24" s="18"/>
      <c r="J24" s="18"/>
      <c r="K24" s="18"/>
      <c r="L24" s="18"/>
    </row>
    <row r="25" spans="1:12" s="19" customFormat="1">
      <c r="A25" s="26" t="s">
        <v>476</v>
      </c>
      <c r="B25" s="136">
        <f>274.33+281.3</f>
        <v>555.63</v>
      </c>
      <c r="C25" s="137"/>
      <c r="D25" s="137">
        <f t="shared" si="0"/>
        <v>555.63</v>
      </c>
      <c r="E25" s="28"/>
      <c r="F25" s="29"/>
      <c r="G25" s="30">
        <v>2.76</v>
      </c>
      <c r="H25" s="18"/>
      <c r="I25" s="18"/>
      <c r="J25" s="18"/>
      <c r="K25" s="18"/>
      <c r="L25" s="18"/>
    </row>
    <row r="26" spans="1:12" s="19" customFormat="1">
      <c r="A26" s="26" t="s">
        <v>493</v>
      </c>
      <c r="B26" s="136"/>
      <c r="C26" s="137"/>
      <c r="D26" s="28">
        <f t="shared" si="0"/>
        <v>0</v>
      </c>
      <c r="E26" s="28"/>
      <c r="F26" s="29"/>
      <c r="G26" s="30">
        <v>0.48</v>
      </c>
      <c r="H26" s="18"/>
      <c r="I26" s="18"/>
      <c r="J26" s="18"/>
      <c r="K26" s="18"/>
      <c r="L26" s="18"/>
    </row>
    <row r="27" spans="1:12" s="19" customFormat="1">
      <c r="A27" s="31" t="s">
        <v>320</v>
      </c>
      <c r="B27" s="32"/>
      <c r="C27" s="28"/>
      <c r="D27" s="28">
        <f t="shared" si="0"/>
        <v>0</v>
      </c>
      <c r="E27" s="28"/>
      <c r="F27" s="29"/>
      <c r="G27" s="33">
        <v>1.53</v>
      </c>
      <c r="H27" s="18"/>
      <c r="I27" s="18"/>
      <c r="J27" s="18"/>
      <c r="K27" s="18"/>
      <c r="L27" s="18"/>
    </row>
    <row r="28" spans="1:12" s="19" customFormat="1" ht="12.75" customHeight="1">
      <c r="A28" s="38" t="s">
        <v>33</v>
      </c>
      <c r="B28" s="39">
        <f>186.99+89.69+397.28</f>
        <v>673.96</v>
      </c>
      <c r="C28" s="35">
        <v>0</v>
      </c>
      <c r="D28" s="40">
        <f t="shared" si="0"/>
        <v>673.96</v>
      </c>
      <c r="E28" s="28"/>
      <c r="F28" s="29"/>
      <c r="G28" s="41">
        <v>374.83</v>
      </c>
      <c r="H28" s="42"/>
      <c r="I28" s="18"/>
      <c r="J28" s="18"/>
      <c r="K28" s="18"/>
      <c r="L28" s="18"/>
    </row>
    <row r="29" spans="1:12" s="19" customFormat="1">
      <c r="A29" s="31" t="s">
        <v>34</v>
      </c>
      <c r="B29" s="32"/>
      <c r="C29" s="28"/>
      <c r="D29" s="28">
        <f t="shared" si="0"/>
        <v>0</v>
      </c>
      <c r="E29" s="28"/>
      <c r="F29" s="29"/>
      <c r="G29" s="33">
        <v>18.760000000000002</v>
      </c>
      <c r="H29" s="18"/>
      <c r="I29" s="18"/>
      <c r="J29" s="18"/>
      <c r="K29" s="18"/>
      <c r="L29" s="18"/>
    </row>
    <row r="30" spans="1:12" s="19" customFormat="1" ht="12.75" customHeight="1">
      <c r="A30" s="31" t="s">
        <v>35</v>
      </c>
      <c r="B30" s="39">
        <f>73.6+24.3</f>
        <v>97.899999999999991</v>
      </c>
      <c r="C30" s="35">
        <f>24.3</f>
        <v>24.3</v>
      </c>
      <c r="D30" s="40">
        <f t="shared" si="0"/>
        <v>73.599999999999994</v>
      </c>
      <c r="E30" s="28"/>
      <c r="F30" s="29"/>
      <c r="G30" s="33">
        <v>3.1</v>
      </c>
      <c r="H30" s="42"/>
      <c r="I30" s="18"/>
      <c r="J30" s="18"/>
      <c r="K30" s="18"/>
      <c r="L30" s="18"/>
    </row>
    <row r="31" spans="1:12" s="19" customFormat="1" ht="12.75" customHeight="1">
      <c r="A31" s="38" t="s">
        <v>36</v>
      </c>
      <c r="B31" s="39">
        <v>210.7</v>
      </c>
      <c r="C31" s="35">
        <v>169</v>
      </c>
      <c r="D31" s="28">
        <f t="shared" si="0"/>
        <v>41.699999999999989</v>
      </c>
      <c r="E31" s="28"/>
      <c r="F31" s="29"/>
      <c r="G31" s="41">
        <v>45.23</v>
      </c>
      <c r="H31" s="42"/>
      <c r="I31" s="18"/>
      <c r="J31" s="18"/>
      <c r="K31" s="18"/>
      <c r="L31" s="18"/>
    </row>
    <row r="32" spans="1:12" s="19" customFormat="1" ht="12.75" customHeight="1">
      <c r="A32" s="38" t="s">
        <v>37</v>
      </c>
      <c r="B32" s="39">
        <f>28.3+233.2</f>
        <v>261.5</v>
      </c>
      <c r="C32" s="35">
        <f>28.3+232</f>
        <v>260.3</v>
      </c>
      <c r="D32" s="28">
        <f t="shared" si="0"/>
        <v>1.1999999999999886</v>
      </c>
      <c r="E32" s="28"/>
      <c r="F32" s="29"/>
      <c r="G32" s="41">
        <v>57.04</v>
      </c>
      <c r="H32" s="42"/>
      <c r="I32" s="18"/>
      <c r="J32" s="18"/>
      <c r="K32" s="18"/>
      <c r="L32" s="18"/>
    </row>
    <row r="33" spans="1:12" s="19" customFormat="1" ht="12.75" customHeight="1">
      <c r="A33" s="38" t="s">
        <v>494</v>
      </c>
      <c r="B33" s="62"/>
      <c r="C33" s="139"/>
      <c r="D33" s="28">
        <f t="shared" si="0"/>
        <v>0</v>
      </c>
      <c r="E33" s="140"/>
      <c r="F33" s="141"/>
      <c r="G33" s="41">
        <v>0.39</v>
      </c>
      <c r="H33" s="42"/>
      <c r="I33" s="18"/>
      <c r="J33" s="18"/>
      <c r="K33" s="18"/>
      <c r="L33" s="18"/>
    </row>
    <row r="34" spans="1:12" s="19" customFormat="1" ht="13.5" thickBot="1">
      <c r="A34" s="43" t="s">
        <v>38</v>
      </c>
      <c r="B34" s="44"/>
      <c r="C34" s="44"/>
      <c r="D34" s="45">
        <f t="shared" si="0"/>
        <v>0</v>
      </c>
      <c r="E34" s="46"/>
      <c r="F34" s="46"/>
      <c r="G34" s="124">
        <v>283.37</v>
      </c>
      <c r="H34" s="18"/>
      <c r="I34" s="18"/>
      <c r="J34" s="18"/>
      <c r="K34" s="18"/>
      <c r="L34" s="18"/>
    </row>
    <row r="35" spans="1:12" s="19" customFormat="1" ht="30.75" thickBot="1">
      <c r="A35" s="47" t="s">
        <v>39</v>
      </c>
      <c r="B35" s="2" t="s">
        <v>1</v>
      </c>
      <c r="C35" s="48" t="s">
        <v>10</v>
      </c>
      <c r="D35" s="4" t="s">
        <v>11</v>
      </c>
      <c r="E35" s="2" t="s">
        <v>4</v>
      </c>
      <c r="F35" s="2" t="s">
        <v>12</v>
      </c>
      <c r="G35" s="6" t="s">
        <v>13</v>
      </c>
      <c r="H35" s="49"/>
    </row>
    <row r="36" spans="1:12" s="19" customFormat="1" ht="15.75" thickBot="1">
      <c r="A36" s="9" t="s">
        <v>40</v>
      </c>
      <c r="B36" s="50">
        <f>850.06+591.75</f>
        <v>1441.81</v>
      </c>
      <c r="C36" s="51">
        <f>850.06+449.95</f>
        <v>1300.01</v>
      </c>
      <c r="D36" s="52">
        <f>B36-C36</f>
        <v>141.79999999999995</v>
      </c>
      <c r="E36" s="53"/>
      <c r="F36" s="54"/>
      <c r="G36" s="55">
        <v>92.63</v>
      </c>
      <c r="H36" s="18"/>
      <c r="I36" s="18"/>
      <c r="J36" s="18"/>
      <c r="K36" s="18"/>
      <c r="L36" s="18"/>
    </row>
    <row r="37" spans="1:12" s="19" customFormat="1" ht="30.75" thickBot="1">
      <c r="A37" s="47" t="s">
        <v>41</v>
      </c>
      <c r="B37" s="2" t="s">
        <v>1</v>
      </c>
      <c r="C37" s="48" t="s">
        <v>10</v>
      </c>
      <c r="D37" s="4" t="s">
        <v>11</v>
      </c>
      <c r="E37" s="2" t="s">
        <v>4</v>
      </c>
      <c r="F37" s="2" t="s">
        <v>12</v>
      </c>
      <c r="G37" s="6" t="s">
        <v>13</v>
      </c>
      <c r="H37" s="49"/>
    </row>
    <row r="38" spans="1:12" s="19" customFormat="1" ht="15">
      <c r="A38" s="9" t="s">
        <v>42</v>
      </c>
      <c r="B38" s="10">
        <f>1188.65+545.01</f>
        <v>1733.66</v>
      </c>
      <c r="C38" s="56">
        <f>1675.1+125.44+419.61</f>
        <v>2220.15</v>
      </c>
      <c r="D38" s="57">
        <f>B38-C38</f>
        <v>-486.49</v>
      </c>
      <c r="E38" s="58"/>
      <c r="F38" s="21"/>
      <c r="G38" s="126">
        <f>6.65+70</f>
        <v>76.650000000000006</v>
      </c>
      <c r="H38" s="18"/>
      <c r="I38" s="18"/>
      <c r="J38" s="18"/>
      <c r="K38" s="18"/>
      <c r="L38" s="18"/>
    </row>
    <row r="39" spans="1:12" s="19" customFormat="1" ht="17.25" customHeight="1">
      <c r="A39" s="31" t="s">
        <v>43</v>
      </c>
      <c r="B39" s="32">
        <f>159.84+88.8</f>
        <v>248.64</v>
      </c>
      <c r="C39" s="59">
        <f>59+88.8</f>
        <v>147.80000000000001</v>
      </c>
      <c r="D39" s="35">
        <f>B39-C39</f>
        <v>100.83999999999997</v>
      </c>
      <c r="E39" s="39"/>
      <c r="F39" s="32"/>
      <c r="G39" s="33">
        <v>124.61</v>
      </c>
      <c r="H39" s="18"/>
      <c r="I39" s="18"/>
      <c r="J39" s="18"/>
      <c r="K39" s="18"/>
      <c r="L39" s="18"/>
    </row>
    <row r="40" spans="1:12" s="19" customFormat="1">
      <c r="A40" s="38" t="s">
        <v>45</v>
      </c>
      <c r="B40" s="44">
        <f>2553.32+986.96+66</f>
        <v>3606.28</v>
      </c>
      <c r="C40" s="44">
        <f>33.92+2345.85+125+986.96+66</f>
        <v>3557.73</v>
      </c>
      <c r="D40" s="45">
        <f>B40-C40</f>
        <v>48.550000000000182</v>
      </c>
      <c r="E40" s="61"/>
      <c r="F40" s="62"/>
      <c r="G40" s="125">
        <v>1690.54</v>
      </c>
      <c r="K40" s="18"/>
      <c r="L40" s="18"/>
    </row>
    <row r="41" spans="1:12" s="19" customFormat="1">
      <c r="A41" s="38" t="s">
        <v>46</v>
      </c>
      <c r="B41" s="39">
        <f>23.97+1061.2</f>
        <v>1085.17</v>
      </c>
      <c r="C41" s="35">
        <f>23.97+1107.2</f>
        <v>1131.17</v>
      </c>
      <c r="D41" s="35">
        <f>B41-C41</f>
        <v>-46</v>
      </c>
      <c r="E41" s="61"/>
      <c r="F41" s="62"/>
      <c r="G41" s="63">
        <v>68.489999999999995</v>
      </c>
      <c r="K41" s="18"/>
      <c r="L41" s="18"/>
    </row>
    <row r="42" spans="1:12" s="19" customFormat="1" ht="13.5" thickBot="1">
      <c r="A42" s="43" t="s">
        <v>387</v>
      </c>
      <c r="B42" s="64">
        <f>484.25+320</f>
        <v>804.25</v>
      </c>
      <c r="C42" s="65">
        <f>484.25+320</f>
        <v>804.25</v>
      </c>
      <c r="D42" s="64">
        <f>B42</f>
        <v>804.25</v>
      </c>
      <c r="E42" s="66"/>
      <c r="F42" s="67"/>
      <c r="G42" s="127">
        <f>565.47+125.82</f>
        <v>691.29</v>
      </c>
      <c r="K42" s="18"/>
      <c r="L42" s="18"/>
    </row>
    <row r="43" spans="1:12" ht="34.5" customHeight="1" thickBot="1">
      <c r="A43" s="47" t="s">
        <v>48</v>
      </c>
      <c r="B43" s="2" t="s">
        <v>1</v>
      </c>
      <c r="C43" s="48" t="s">
        <v>10</v>
      </c>
      <c r="D43" s="4" t="s">
        <v>11</v>
      </c>
      <c r="E43" s="2" t="s">
        <v>4</v>
      </c>
      <c r="F43" s="5" t="s">
        <v>5</v>
      </c>
      <c r="G43" s="68"/>
      <c r="H43" s="18"/>
      <c r="I43" s="18"/>
      <c r="J43" s="18"/>
      <c r="K43" s="18"/>
      <c r="L43" s="18"/>
    </row>
    <row r="44" spans="1:12" ht="19.5" customHeight="1" thickBot="1">
      <c r="A44" s="9" t="s">
        <v>49</v>
      </c>
      <c r="B44" s="69"/>
      <c r="C44" s="69"/>
      <c r="D44" s="70">
        <f>B44-C44</f>
        <v>0</v>
      </c>
      <c r="E44" s="71"/>
      <c r="F44" s="72"/>
      <c r="G44" s="68"/>
    </row>
    <row r="45" spans="1:12" ht="19.5" customHeight="1" thickBot="1">
      <c r="A45" s="47" t="s">
        <v>50</v>
      </c>
      <c r="B45" s="73" t="s">
        <v>51</v>
      </c>
      <c r="C45" s="68"/>
      <c r="D45" s="68"/>
      <c r="E45" s="68"/>
      <c r="F45" s="68"/>
      <c r="G45" s="68"/>
      <c r="H45" s="18"/>
      <c r="I45" s="18"/>
      <c r="J45" s="18"/>
      <c r="K45" s="18"/>
      <c r="L45" s="18"/>
    </row>
    <row r="46" spans="1:12" ht="30" customHeight="1">
      <c r="A46" s="74" t="s">
        <v>572</v>
      </c>
      <c r="B46" s="75">
        <v>0</v>
      </c>
      <c r="C46" s="68"/>
      <c r="D46" s="68"/>
      <c r="E46" s="68"/>
      <c r="F46" s="68"/>
      <c r="G46" s="68"/>
    </row>
    <row r="47" spans="1:12" ht="15">
      <c r="A47" s="76" t="s">
        <v>573</v>
      </c>
      <c r="B47" s="77">
        <v>0</v>
      </c>
      <c r="C47" s="68"/>
      <c r="D47" s="68"/>
      <c r="E47" s="68"/>
      <c r="F47" s="68"/>
      <c r="G47" s="68"/>
    </row>
    <row r="48" spans="1:12" ht="15">
      <c r="A48" s="143" t="s">
        <v>54</v>
      </c>
      <c r="B48" s="77">
        <v>0</v>
      </c>
      <c r="C48" s="68"/>
      <c r="D48" s="68"/>
      <c r="E48" s="68"/>
      <c r="F48" s="68"/>
      <c r="G48" s="68"/>
    </row>
    <row r="49" spans="1:12" ht="15">
      <c r="A49" s="76" t="s">
        <v>477</v>
      </c>
      <c r="B49" s="77"/>
      <c r="C49" s="68"/>
      <c r="D49" s="68"/>
      <c r="E49" s="68"/>
      <c r="F49" s="68"/>
      <c r="G49" s="68"/>
    </row>
    <row r="50" spans="1:12" ht="15">
      <c r="A50" s="76" t="s">
        <v>188</v>
      </c>
      <c r="B50" s="77">
        <v>0</v>
      </c>
      <c r="C50" s="68"/>
      <c r="D50" s="68"/>
      <c r="E50" s="68"/>
      <c r="F50" s="68"/>
      <c r="G50" s="68"/>
    </row>
    <row r="51" spans="1:12" ht="25.5">
      <c r="A51" s="76" t="s">
        <v>586</v>
      </c>
      <c r="B51" s="77">
        <v>0</v>
      </c>
      <c r="C51" s="68"/>
      <c r="D51" s="68"/>
      <c r="E51" s="68"/>
      <c r="F51" s="68"/>
      <c r="G51" s="68"/>
    </row>
    <row r="52" spans="1:12" ht="25.5">
      <c r="A52" s="76" t="s">
        <v>478</v>
      </c>
      <c r="B52" s="77">
        <v>0.31</v>
      </c>
      <c r="C52" s="68"/>
      <c r="D52" s="68"/>
      <c r="E52" s="68"/>
      <c r="F52" s="68"/>
      <c r="G52" s="68"/>
    </row>
    <row r="53" spans="1:12" ht="25.5">
      <c r="A53" s="76" t="s">
        <v>576</v>
      </c>
      <c r="B53" s="77"/>
      <c r="C53" s="68"/>
      <c r="D53" s="68"/>
      <c r="E53" s="68"/>
      <c r="F53" s="68"/>
      <c r="G53" s="68"/>
    </row>
    <row r="54" spans="1:12" ht="25.5">
      <c r="A54" s="76" t="s">
        <v>577</v>
      </c>
      <c r="B54" s="77"/>
      <c r="C54" s="68"/>
      <c r="D54" s="68"/>
      <c r="E54" s="68"/>
      <c r="F54" s="68"/>
      <c r="G54" s="68"/>
    </row>
    <row r="55" spans="1:12" ht="25.5">
      <c r="A55" s="76" t="s">
        <v>578</v>
      </c>
      <c r="B55" s="77"/>
      <c r="C55" s="68"/>
      <c r="D55" s="68"/>
      <c r="E55" s="68"/>
      <c r="F55" s="68"/>
      <c r="G55" s="68"/>
    </row>
    <row r="56" spans="1:12" ht="25.5">
      <c r="A56" s="76" t="s">
        <v>579</v>
      </c>
      <c r="B56" s="77"/>
      <c r="C56" s="68"/>
      <c r="D56" s="68"/>
      <c r="E56" s="68"/>
      <c r="F56" s="68"/>
      <c r="G56" s="68"/>
    </row>
    <row r="57" spans="1:12" ht="15">
      <c r="A57" s="26" t="s">
        <v>60</v>
      </c>
      <c r="B57" s="77"/>
      <c r="C57" s="68"/>
      <c r="D57" s="68"/>
      <c r="E57" s="68"/>
      <c r="F57" s="68"/>
      <c r="G57" s="68"/>
    </row>
    <row r="58" spans="1:12" ht="14.25" customHeight="1">
      <c r="A58" s="76" t="s">
        <v>61</v>
      </c>
      <c r="B58" s="77"/>
      <c r="C58" s="68"/>
      <c r="D58" s="68"/>
      <c r="E58" s="68"/>
      <c r="F58" s="68"/>
      <c r="G58" s="68"/>
    </row>
    <row r="59" spans="1:12" ht="26.25" customHeight="1">
      <c r="A59" s="76" t="s">
        <v>62</v>
      </c>
      <c r="B59" s="77"/>
      <c r="C59" s="68"/>
      <c r="D59" s="68"/>
      <c r="E59" s="68"/>
      <c r="F59" s="68"/>
      <c r="G59" s="68"/>
    </row>
    <row r="60" spans="1:12" ht="33" customHeight="1">
      <c r="A60" s="76" t="s">
        <v>63</v>
      </c>
      <c r="B60" s="77">
        <v>0</v>
      </c>
      <c r="C60" s="68"/>
      <c r="D60" s="68"/>
      <c r="E60" s="68"/>
      <c r="F60" s="68"/>
      <c r="G60" s="68"/>
      <c r="J60" s="18"/>
      <c r="K60" s="18"/>
      <c r="L60" s="18"/>
    </row>
    <row r="61" spans="1:12" ht="32.25" customHeight="1">
      <c r="A61" s="76" t="s">
        <v>64</v>
      </c>
      <c r="B61" s="77"/>
      <c r="C61" s="68"/>
      <c r="D61" s="68"/>
      <c r="E61" s="68"/>
      <c r="F61" s="68"/>
      <c r="G61" s="68"/>
    </row>
    <row r="62" spans="1:12" ht="31.5" customHeight="1">
      <c r="A62" s="76" t="s">
        <v>65</v>
      </c>
      <c r="B62" s="77">
        <v>0</v>
      </c>
      <c r="C62" s="68"/>
      <c r="D62" s="68"/>
      <c r="E62" s="68"/>
      <c r="F62" s="68"/>
      <c r="G62" s="68"/>
    </row>
    <row r="63" spans="1:12" s="19" customFormat="1" ht="15">
      <c r="A63" s="76" t="s">
        <v>66</v>
      </c>
      <c r="B63" s="77"/>
      <c r="C63" s="68"/>
      <c r="D63" s="68"/>
      <c r="E63" s="68"/>
      <c r="F63" s="68"/>
      <c r="G63" s="68"/>
      <c r="H63" s="8"/>
      <c r="I63" s="8"/>
      <c r="J63" s="18"/>
      <c r="K63" s="18"/>
      <c r="L63" s="18"/>
    </row>
    <row r="64" spans="1:12" s="19" customFormat="1" ht="15">
      <c r="A64" s="76" t="s">
        <v>67</v>
      </c>
      <c r="B64" s="77"/>
      <c r="C64" s="68"/>
      <c r="D64" s="68"/>
      <c r="E64" s="68"/>
      <c r="F64" s="68"/>
      <c r="G64" s="68"/>
      <c r="H64" s="8"/>
      <c r="I64" s="8"/>
      <c r="J64" s="18"/>
      <c r="K64" s="18"/>
      <c r="L64" s="18"/>
    </row>
    <row r="65" spans="1:12" s="19" customFormat="1" ht="15">
      <c r="A65" s="76" t="s">
        <v>482</v>
      </c>
      <c r="B65" s="77"/>
      <c r="C65" s="68"/>
      <c r="D65" s="68"/>
      <c r="E65" s="68"/>
      <c r="F65" s="68"/>
      <c r="G65" s="68"/>
      <c r="H65" s="8"/>
      <c r="I65" s="8"/>
      <c r="J65" s="18"/>
      <c r="K65" s="18"/>
      <c r="L65" s="18"/>
    </row>
    <row r="66" spans="1:12" s="19" customFormat="1" ht="15">
      <c r="A66" s="76" t="s">
        <v>69</v>
      </c>
      <c r="B66" s="77"/>
      <c r="C66" s="68"/>
      <c r="D66" s="68"/>
      <c r="E66" s="68"/>
      <c r="F66" s="68"/>
      <c r="G66" s="68"/>
      <c r="H66" s="8"/>
      <c r="I66" s="8"/>
      <c r="J66" s="18"/>
      <c r="K66" s="18"/>
      <c r="L66" s="18"/>
    </row>
    <row r="67" spans="1:12" s="19" customFormat="1" ht="15">
      <c r="A67" s="78" t="s">
        <v>70</v>
      </c>
      <c r="B67" s="77"/>
      <c r="C67" s="68"/>
      <c r="D67" s="68"/>
      <c r="E67" s="68"/>
      <c r="F67" s="68"/>
      <c r="G67" s="68"/>
      <c r="H67" s="8"/>
      <c r="I67" s="8"/>
      <c r="J67" s="18"/>
      <c r="K67" s="18"/>
      <c r="L67" s="18"/>
    </row>
    <row r="68" spans="1:12" s="19" customFormat="1" ht="25.5">
      <c r="A68" s="78" t="s">
        <v>71</v>
      </c>
      <c r="B68" s="77"/>
      <c r="C68" s="68"/>
      <c r="D68" s="68"/>
      <c r="E68" s="68"/>
      <c r="F68" s="68"/>
      <c r="G68" s="68"/>
      <c r="H68" s="8"/>
      <c r="I68" s="8"/>
      <c r="J68" s="18"/>
      <c r="K68" s="18"/>
      <c r="L68" s="18"/>
    </row>
    <row r="69" spans="1:12" ht="15">
      <c r="A69" s="79" t="s">
        <v>72</v>
      </c>
      <c r="B69" s="77"/>
      <c r="C69" s="68"/>
      <c r="D69" s="68"/>
      <c r="E69" s="68"/>
      <c r="F69" s="68"/>
      <c r="G69" s="68"/>
    </row>
    <row r="70" spans="1:12" ht="15">
      <c r="A70" s="38" t="s">
        <v>73</v>
      </c>
      <c r="B70" s="77">
        <v>0</v>
      </c>
      <c r="C70" s="68"/>
      <c r="D70" s="68"/>
      <c r="E70" s="68"/>
      <c r="F70" s="68"/>
      <c r="G70" s="68"/>
    </row>
    <row r="71" spans="1:12" ht="15">
      <c r="A71" s="78" t="s">
        <v>74</v>
      </c>
      <c r="B71" s="77">
        <v>0</v>
      </c>
      <c r="C71" s="68"/>
      <c r="D71" s="68"/>
      <c r="E71" s="68"/>
      <c r="F71" s="68"/>
      <c r="G71" s="68"/>
    </row>
    <row r="72" spans="1:12" ht="15">
      <c r="A72" s="78" t="s">
        <v>75</v>
      </c>
      <c r="B72" s="77">
        <v>0</v>
      </c>
      <c r="C72" s="68"/>
      <c r="D72" s="68"/>
      <c r="E72" s="68"/>
      <c r="F72" s="68"/>
      <c r="G72" s="68"/>
    </row>
    <row r="73" spans="1:12" s="19" customFormat="1" ht="15">
      <c r="A73" s="78" t="s">
        <v>76</v>
      </c>
      <c r="B73" s="77"/>
      <c r="C73" s="68"/>
      <c r="D73" s="68"/>
      <c r="E73" s="68"/>
      <c r="F73" s="68"/>
      <c r="G73" s="68"/>
      <c r="H73" s="18"/>
      <c r="I73" s="18"/>
      <c r="J73" s="8"/>
      <c r="K73" s="8"/>
      <c r="L73" s="8"/>
    </row>
    <row r="74" spans="1:12" ht="15">
      <c r="A74" s="78" t="s">
        <v>77</v>
      </c>
      <c r="B74" s="77">
        <v>0</v>
      </c>
      <c r="C74" s="68"/>
      <c r="D74" s="68"/>
      <c r="E74" s="68"/>
      <c r="F74" s="68"/>
      <c r="G74" s="68"/>
      <c r="H74" s="18"/>
      <c r="I74" s="18"/>
    </row>
    <row r="75" spans="1:12" ht="15">
      <c r="A75" s="78" t="s">
        <v>78</v>
      </c>
      <c r="B75" s="77">
        <v>13.22</v>
      </c>
      <c r="C75" s="68"/>
      <c r="D75" s="68"/>
      <c r="E75" s="68"/>
      <c r="F75" s="68"/>
      <c r="G75" s="68"/>
    </row>
    <row r="76" spans="1:12" ht="15">
      <c r="A76" s="78" t="s">
        <v>79</v>
      </c>
      <c r="B76" s="77">
        <v>11.57</v>
      </c>
      <c r="C76" s="68"/>
      <c r="D76" s="68"/>
      <c r="E76" s="68"/>
      <c r="F76" s="68"/>
      <c r="G76" s="68"/>
    </row>
    <row r="77" spans="1:12" ht="15">
      <c r="A77" s="78" t="s">
        <v>80</v>
      </c>
      <c r="B77" s="77">
        <v>17.5</v>
      </c>
      <c r="C77" s="68"/>
      <c r="D77" s="68"/>
      <c r="E77" s="68"/>
      <c r="F77" s="68"/>
      <c r="G77" s="68"/>
    </row>
    <row r="78" spans="1:12" ht="15">
      <c r="A78" s="78" t="s">
        <v>574</v>
      </c>
      <c r="B78" s="77">
        <v>0</v>
      </c>
      <c r="C78" s="80"/>
      <c r="D78" s="81"/>
      <c r="E78" s="82"/>
      <c r="F78" s="82"/>
    </row>
    <row r="79" spans="1:12" ht="15">
      <c r="A79" s="78" t="s">
        <v>575</v>
      </c>
      <c r="B79" s="77">
        <v>0</v>
      </c>
      <c r="C79" s="80"/>
      <c r="D79" s="81"/>
      <c r="E79" s="82"/>
      <c r="F79" s="82"/>
    </row>
    <row r="80" spans="1:12" ht="15">
      <c r="A80" s="78" t="s">
        <v>83</v>
      </c>
      <c r="B80" s="77"/>
      <c r="C80" s="80"/>
      <c r="D80" s="81"/>
      <c r="E80" s="82"/>
      <c r="F80" s="82"/>
    </row>
    <row r="81" spans="1:6" ht="15">
      <c r="A81" s="78" t="s">
        <v>84</v>
      </c>
      <c r="B81" s="77"/>
      <c r="C81" s="80"/>
      <c r="D81" s="81"/>
      <c r="E81" s="82"/>
      <c r="F81" s="82"/>
    </row>
    <row r="82" spans="1:6" ht="15">
      <c r="A82" s="78" t="s">
        <v>85</v>
      </c>
      <c r="B82" s="77"/>
      <c r="C82" s="80"/>
      <c r="D82" s="81"/>
      <c r="E82" s="82"/>
      <c r="F82" s="82"/>
    </row>
    <row r="83" spans="1:6" ht="15">
      <c r="A83" s="78" t="s">
        <v>582</v>
      </c>
      <c r="B83" s="77"/>
      <c r="C83" s="80"/>
      <c r="D83" s="81"/>
      <c r="E83" s="82"/>
      <c r="F83" s="82"/>
    </row>
    <row r="84" spans="1:6" ht="15">
      <c r="A84" s="78" t="s">
        <v>86</v>
      </c>
      <c r="B84" s="77"/>
      <c r="C84" s="80"/>
      <c r="D84" s="81"/>
      <c r="E84" s="82"/>
      <c r="F84" s="82"/>
    </row>
    <row r="85" spans="1:6" ht="15">
      <c r="A85" s="78" t="s">
        <v>87</v>
      </c>
      <c r="B85" s="77"/>
      <c r="C85" s="80"/>
      <c r="D85" s="81"/>
      <c r="E85" s="82"/>
      <c r="F85" s="82"/>
    </row>
    <row r="86" spans="1:6" ht="25.5">
      <c r="A86" s="78" t="s">
        <v>88</v>
      </c>
      <c r="B86" s="77"/>
      <c r="C86" s="80"/>
      <c r="D86" s="81"/>
      <c r="E86" s="82"/>
      <c r="F86" s="82"/>
    </row>
    <row r="87" spans="1:6" ht="25.5">
      <c r="A87" s="78" t="s">
        <v>89</v>
      </c>
      <c r="B87" s="77"/>
      <c r="C87" s="80"/>
      <c r="D87" s="81"/>
      <c r="E87" s="82"/>
      <c r="F87" s="82"/>
    </row>
    <row r="88" spans="1:6" ht="25.5">
      <c r="A88" s="78" t="s">
        <v>90</v>
      </c>
      <c r="B88" s="77"/>
      <c r="C88" s="80"/>
      <c r="D88" s="81"/>
      <c r="E88" s="82"/>
      <c r="F88" s="82"/>
    </row>
    <row r="89" spans="1:6" ht="15">
      <c r="A89" s="78" t="s">
        <v>91</v>
      </c>
      <c r="B89" s="77"/>
      <c r="C89" s="80"/>
      <c r="D89" s="81"/>
      <c r="E89" s="82"/>
      <c r="F89" s="82"/>
    </row>
    <row r="90" spans="1:6" ht="15">
      <c r="A90" s="78" t="s">
        <v>92</v>
      </c>
      <c r="B90" s="77">
        <v>0</v>
      </c>
      <c r="C90" s="80"/>
      <c r="D90" s="81"/>
      <c r="E90" s="82"/>
      <c r="F90" s="82"/>
    </row>
    <row r="91" spans="1:6" ht="25.5">
      <c r="A91" s="142" t="s">
        <v>581</v>
      </c>
      <c r="B91" s="77"/>
      <c r="C91" s="80"/>
      <c r="D91" s="81"/>
      <c r="E91" s="82"/>
      <c r="F91" s="82"/>
    </row>
    <row r="92" spans="1:6" ht="25.5">
      <c r="A92" s="142" t="s">
        <v>584</v>
      </c>
      <c r="B92" s="77"/>
      <c r="C92" s="80"/>
      <c r="D92" s="81"/>
      <c r="E92" s="82"/>
      <c r="F92" s="82"/>
    </row>
    <row r="93" spans="1:6" ht="15">
      <c r="A93" s="142" t="s">
        <v>588</v>
      </c>
      <c r="B93" s="77"/>
      <c r="C93" s="80"/>
      <c r="D93" s="81"/>
      <c r="E93" s="82"/>
      <c r="F93" s="82"/>
    </row>
    <row r="94" spans="1:6" ht="15">
      <c r="A94" s="142" t="s">
        <v>585</v>
      </c>
      <c r="B94" s="77"/>
      <c r="C94" s="80"/>
      <c r="D94" s="81"/>
      <c r="E94" s="82"/>
      <c r="F94" s="82"/>
    </row>
    <row r="95" spans="1:6" ht="15">
      <c r="A95" s="142" t="s">
        <v>583</v>
      </c>
      <c r="B95" s="77"/>
      <c r="C95" s="80"/>
      <c r="D95" s="81"/>
      <c r="E95" s="82"/>
      <c r="F95" s="82"/>
    </row>
    <row r="96" spans="1:6" ht="15">
      <c r="A96" s="142" t="s">
        <v>580</v>
      </c>
      <c r="B96" s="77"/>
      <c r="C96" s="80"/>
      <c r="D96" s="81"/>
      <c r="E96" s="82"/>
      <c r="F96" s="82"/>
    </row>
    <row r="97" spans="1:12" ht="15">
      <c r="A97" s="84" t="s">
        <v>93</v>
      </c>
      <c r="B97" s="77"/>
      <c r="C97" s="80"/>
      <c r="D97" s="81"/>
      <c r="E97" s="82"/>
      <c r="F97" s="82"/>
    </row>
    <row r="98" spans="1:12" ht="15">
      <c r="A98" s="84" t="s">
        <v>94</v>
      </c>
      <c r="B98" s="77">
        <v>15.25</v>
      </c>
      <c r="C98" s="80"/>
      <c r="D98" s="81"/>
      <c r="E98" s="82"/>
      <c r="F98" s="82"/>
    </row>
    <row r="99" spans="1:12" ht="15">
      <c r="A99" s="84" t="s">
        <v>95</v>
      </c>
      <c r="B99" s="77"/>
      <c r="C99" s="80"/>
      <c r="D99" s="81"/>
      <c r="E99" s="82"/>
      <c r="F99" s="82"/>
    </row>
    <row r="100" spans="1:12" ht="15">
      <c r="A100" s="84" t="s">
        <v>96</v>
      </c>
      <c r="B100" s="77"/>
      <c r="C100" s="80"/>
      <c r="D100" s="81"/>
      <c r="E100" s="82"/>
      <c r="F100" s="82"/>
    </row>
    <row r="101" spans="1:12" ht="15">
      <c r="A101" s="84" t="s">
        <v>97</v>
      </c>
      <c r="B101" s="77">
        <v>0</v>
      </c>
      <c r="C101" s="80"/>
      <c r="D101" s="81"/>
      <c r="E101" s="82"/>
      <c r="F101" s="82"/>
    </row>
    <row r="102" spans="1:12" ht="15">
      <c r="A102" s="84" t="s">
        <v>587</v>
      </c>
      <c r="B102" s="77"/>
      <c r="C102" s="80"/>
      <c r="D102" s="81"/>
      <c r="E102" s="82"/>
      <c r="F102" s="82"/>
    </row>
    <row r="103" spans="1:12" ht="25.5">
      <c r="A103" s="85" t="s">
        <v>98</v>
      </c>
      <c r="B103" s="77"/>
      <c r="C103" s="80"/>
      <c r="D103" s="81"/>
      <c r="E103" s="82"/>
      <c r="F103" s="82"/>
    </row>
    <row r="104" spans="1:12" ht="26.25" thickBot="1">
      <c r="A104" s="86" t="s">
        <v>99</v>
      </c>
      <c r="B104" s="87"/>
      <c r="C104" s="80"/>
      <c r="D104" s="81"/>
      <c r="E104" s="82"/>
      <c r="F104" s="82"/>
    </row>
    <row r="105" spans="1:12" ht="15.75" thickBot="1">
      <c r="A105" s="88"/>
      <c r="B105" s="89"/>
      <c r="C105" s="80"/>
      <c r="D105" s="81"/>
      <c r="E105" s="82"/>
      <c r="F105" s="82"/>
    </row>
    <row r="106" spans="1:12" s="19" customFormat="1" ht="15.75" thickBot="1">
      <c r="A106" s="90" t="s">
        <v>100</v>
      </c>
      <c r="B106" s="91">
        <f>SUM(B2:B44)</f>
        <v>15117.45</v>
      </c>
      <c r="C106" s="92"/>
      <c r="D106" s="93"/>
      <c r="E106" s="68"/>
      <c r="F106" s="68"/>
      <c r="G106" s="93"/>
      <c r="H106" s="18"/>
      <c r="I106" s="18"/>
      <c r="J106" s="18"/>
      <c r="K106" s="18"/>
      <c r="L106" s="18"/>
    </row>
    <row r="107" spans="1:12" s="19" customFormat="1" ht="15.75" thickBot="1">
      <c r="A107" s="94" t="s">
        <v>101</v>
      </c>
      <c r="B107" s="95">
        <f>SUM(G2:G42)</f>
        <v>3917.8399999999992</v>
      </c>
      <c r="C107" s="93"/>
      <c r="D107" s="93"/>
      <c r="E107" s="68"/>
      <c r="F107" s="68"/>
      <c r="G107" s="96"/>
      <c r="H107" s="18"/>
      <c r="I107" s="18"/>
      <c r="J107" s="18"/>
      <c r="K107" s="18"/>
      <c r="L107" s="18"/>
    </row>
    <row r="108" spans="1:12" ht="15.75" thickBot="1">
      <c r="A108" s="97" t="s">
        <v>102</v>
      </c>
      <c r="B108" s="91">
        <f>SUM(B46:B104)</f>
        <v>57.85</v>
      </c>
      <c r="C108" s="80"/>
      <c r="D108" s="81"/>
      <c r="E108" s="82"/>
      <c r="F108" s="82"/>
    </row>
    <row r="109" spans="1:12" ht="15.75" thickBot="1">
      <c r="A109" s="98" t="s">
        <v>103</v>
      </c>
      <c r="B109" s="91">
        <f>B106+B107+B108</f>
        <v>19093.14</v>
      </c>
      <c r="C109" s="80"/>
      <c r="D109" s="81"/>
    </row>
    <row r="110" spans="1:12">
      <c r="B110" s="80"/>
      <c r="C110" s="80"/>
      <c r="D110" s="81"/>
    </row>
    <row r="111" spans="1:12">
      <c r="B111" s="80"/>
      <c r="C111" s="80"/>
      <c r="D111" s="81"/>
    </row>
    <row r="112" spans="1:12">
      <c r="B112" s="80"/>
      <c r="C112" s="80"/>
      <c r="D112" s="80"/>
    </row>
    <row r="113" spans="1:12">
      <c r="B113" s="80"/>
      <c r="C113" s="80"/>
      <c r="D113" s="80"/>
    </row>
    <row r="114" spans="1:12">
      <c r="B114" s="80"/>
      <c r="C114" s="80"/>
      <c r="D114" s="80"/>
    </row>
    <row r="115" spans="1:12">
      <c r="B115" s="80"/>
      <c r="C115" s="80"/>
      <c r="D115" s="80"/>
    </row>
    <row r="116" spans="1:12" s="80" customFormat="1">
      <c r="A116" s="8"/>
      <c r="G116" s="83"/>
      <c r="H116" s="8"/>
      <c r="I116" s="8"/>
      <c r="J116" s="8"/>
      <c r="K116" s="8"/>
      <c r="L116" s="8"/>
    </row>
    <row r="117" spans="1:12" s="80" customFormat="1">
      <c r="A117" s="8"/>
      <c r="G117" s="83"/>
      <c r="H117" s="8"/>
      <c r="I117" s="8"/>
      <c r="J117" s="8"/>
      <c r="K117" s="8"/>
      <c r="L117" s="8"/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48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sqref="A1:XFD1048576"/>
    </sheetView>
  </sheetViews>
  <sheetFormatPr defaultRowHeight="12.75"/>
  <cols>
    <col min="1" max="1" width="47.140625" style="8" customWidth="1"/>
    <col min="2" max="2" width="29" style="8" hidden="1" customWidth="1"/>
    <col min="3" max="3" width="24.42578125" style="8" hidden="1" customWidth="1"/>
    <col min="4" max="4" width="24.5703125" style="8" hidden="1" customWidth="1"/>
    <col min="5" max="5" width="29" style="8" customWidth="1"/>
    <col min="6" max="6" width="24.42578125" style="8" customWidth="1"/>
    <col min="7" max="7" width="24.5703125" style="8" customWidth="1"/>
    <col min="8" max="8" width="29" style="8" customWidth="1"/>
    <col min="9" max="9" width="24.42578125" style="8" customWidth="1"/>
    <col min="10" max="10" width="24.5703125" style="8" customWidth="1"/>
    <col min="11" max="11" width="29" style="8" customWidth="1"/>
    <col min="12" max="12" width="24.42578125" style="8" customWidth="1"/>
    <col min="13" max="13" width="24.5703125" style="8" customWidth="1"/>
    <col min="14" max="16384" width="9.140625" style="8"/>
  </cols>
  <sheetData>
    <row r="1" spans="1:17" ht="46.5" customHeight="1" thickBot="1">
      <c r="A1" s="99" t="s">
        <v>104</v>
      </c>
      <c r="B1" s="99" t="s">
        <v>105</v>
      </c>
      <c r="C1" s="99" t="s">
        <v>106</v>
      </c>
      <c r="D1" s="100" t="s">
        <v>107</v>
      </c>
      <c r="E1" s="99" t="s">
        <v>311</v>
      </c>
      <c r="F1" s="99" t="s">
        <v>312</v>
      </c>
      <c r="G1" s="100" t="s">
        <v>313</v>
      </c>
      <c r="H1" s="99" t="s">
        <v>314</v>
      </c>
      <c r="I1" s="99" t="s">
        <v>315</v>
      </c>
      <c r="J1" s="100" t="s">
        <v>316</v>
      </c>
      <c r="K1" s="99" t="s">
        <v>317</v>
      </c>
      <c r="L1" s="99" t="s">
        <v>318</v>
      </c>
      <c r="M1" s="100" t="s">
        <v>319</v>
      </c>
    </row>
    <row r="2" spans="1:17" ht="53.25" customHeight="1">
      <c r="A2" s="101" t="s">
        <v>7</v>
      </c>
      <c r="B2" s="102" t="s">
        <v>108</v>
      </c>
      <c r="C2" s="102" t="s">
        <v>109</v>
      </c>
      <c r="D2" s="103" t="s">
        <v>110</v>
      </c>
      <c r="E2" s="102" t="s">
        <v>360</v>
      </c>
      <c r="F2" s="102" t="s">
        <v>361</v>
      </c>
      <c r="G2" s="102" t="s">
        <v>110</v>
      </c>
      <c r="H2" s="102" t="s">
        <v>450</v>
      </c>
      <c r="I2" s="102" t="s">
        <v>451</v>
      </c>
      <c r="J2" s="102" t="s">
        <v>452</v>
      </c>
      <c r="K2" s="104" t="s">
        <v>546</v>
      </c>
      <c r="L2" s="104" t="s">
        <v>547</v>
      </c>
      <c r="M2" s="104" t="s">
        <v>435</v>
      </c>
    </row>
    <row r="3" spans="1:17" ht="53.25" customHeight="1">
      <c r="A3" s="101" t="s">
        <v>8</v>
      </c>
      <c r="B3" s="104"/>
      <c r="C3" s="104"/>
      <c r="D3" s="103"/>
      <c r="E3" s="104" t="s">
        <v>339</v>
      </c>
      <c r="F3" s="104" t="s">
        <v>340</v>
      </c>
      <c r="G3" s="104" t="s">
        <v>110</v>
      </c>
      <c r="H3" s="104" t="s">
        <v>417</v>
      </c>
      <c r="I3" s="104" t="s">
        <v>418</v>
      </c>
      <c r="J3" s="104" t="s">
        <v>419</v>
      </c>
      <c r="K3" s="104" t="s">
        <v>516</v>
      </c>
      <c r="L3" s="104" t="s">
        <v>517</v>
      </c>
      <c r="M3" s="104" t="s">
        <v>518</v>
      </c>
      <c r="N3" s="105"/>
      <c r="O3" s="106"/>
      <c r="P3" s="107"/>
      <c r="Q3"/>
    </row>
    <row r="4" spans="1:17" ht="53.25" customHeight="1">
      <c r="A4" s="78" t="s">
        <v>14</v>
      </c>
      <c r="B4" s="104"/>
      <c r="C4" s="104"/>
      <c r="D4" s="103"/>
      <c r="E4" s="104" t="s">
        <v>335</v>
      </c>
      <c r="F4" s="104" t="s">
        <v>336</v>
      </c>
      <c r="G4" s="104" t="s">
        <v>110</v>
      </c>
      <c r="H4" s="104" t="s">
        <v>409</v>
      </c>
      <c r="I4" s="104" t="s">
        <v>410</v>
      </c>
      <c r="J4" s="104" t="s">
        <v>411</v>
      </c>
      <c r="K4" s="104" t="s">
        <v>510</v>
      </c>
      <c r="L4" s="104" t="s">
        <v>511</v>
      </c>
      <c r="M4" s="104" t="s">
        <v>435</v>
      </c>
      <c r="N4" s="106"/>
      <c r="O4" s="106"/>
      <c r="P4" s="106"/>
      <c r="Q4" s="107"/>
    </row>
    <row r="5" spans="1:17" ht="53.25" customHeight="1">
      <c r="A5" s="78" t="s">
        <v>112</v>
      </c>
      <c r="B5" s="104"/>
      <c r="C5" s="104"/>
      <c r="D5" s="103"/>
      <c r="E5" s="104" t="s">
        <v>375</v>
      </c>
      <c r="F5" s="104" t="s">
        <v>376</v>
      </c>
      <c r="G5" s="104" t="s">
        <v>325</v>
      </c>
      <c r="H5" s="104" t="s">
        <v>467</v>
      </c>
      <c r="I5" s="104" t="s">
        <v>468</v>
      </c>
      <c r="J5" s="104" t="s">
        <v>445</v>
      </c>
      <c r="K5" s="104" t="s">
        <v>563</v>
      </c>
      <c r="L5" s="104" t="s">
        <v>547</v>
      </c>
      <c r="M5" s="104" t="s">
        <v>518</v>
      </c>
      <c r="N5" s="106"/>
      <c r="O5" s="106"/>
      <c r="P5" s="106"/>
      <c r="Q5" s="107"/>
    </row>
    <row r="6" spans="1:17" ht="53.25" customHeight="1">
      <c r="A6" s="78" t="s">
        <v>15</v>
      </c>
      <c r="B6" s="104"/>
      <c r="C6" s="104"/>
      <c r="D6" s="103"/>
      <c r="E6" s="104" t="s">
        <v>362</v>
      </c>
      <c r="F6" s="104" t="s">
        <v>363</v>
      </c>
      <c r="G6" s="104" t="s">
        <v>110</v>
      </c>
      <c r="H6" s="104" t="s">
        <v>453</v>
      </c>
      <c r="I6" s="104" t="s">
        <v>454</v>
      </c>
      <c r="J6" s="104" t="s">
        <v>455</v>
      </c>
      <c r="K6" s="104" t="s">
        <v>550</v>
      </c>
      <c r="L6" s="104" t="s">
        <v>551</v>
      </c>
      <c r="M6" s="104" t="s">
        <v>435</v>
      </c>
    </row>
    <row r="7" spans="1:17" ht="53.25" customHeight="1">
      <c r="A7" s="109" t="s">
        <v>16</v>
      </c>
      <c r="B7" s="104"/>
      <c r="C7" s="110"/>
      <c r="D7" s="103"/>
      <c r="E7" s="104" t="s">
        <v>341</v>
      </c>
      <c r="F7" s="104" t="s">
        <v>342</v>
      </c>
      <c r="G7" s="104" t="s">
        <v>110</v>
      </c>
      <c r="H7" s="104" t="s">
        <v>420</v>
      </c>
      <c r="I7" s="104" t="s">
        <v>398</v>
      </c>
      <c r="J7" s="104" t="s">
        <v>421</v>
      </c>
      <c r="K7" s="104" t="s">
        <v>519</v>
      </c>
      <c r="L7" s="104" t="s">
        <v>520</v>
      </c>
      <c r="M7" s="104" t="s">
        <v>435</v>
      </c>
    </row>
    <row r="8" spans="1:17" ht="53.25" customHeight="1">
      <c r="A8" s="109" t="s">
        <v>17</v>
      </c>
      <c r="B8" s="104"/>
      <c r="C8" s="110"/>
      <c r="D8" s="103"/>
      <c r="E8" s="104" t="s">
        <v>350</v>
      </c>
      <c r="F8" s="104" t="s">
        <v>189</v>
      </c>
      <c r="G8" s="104" t="s">
        <v>323</v>
      </c>
      <c r="H8" s="104" t="s">
        <v>433</v>
      </c>
      <c r="I8" s="104" t="s">
        <v>434</v>
      </c>
      <c r="J8" s="104" t="s">
        <v>435</v>
      </c>
      <c r="K8" s="104" t="s">
        <v>532</v>
      </c>
      <c r="L8" s="104" t="s">
        <v>533</v>
      </c>
      <c r="M8" s="104" t="s">
        <v>435</v>
      </c>
    </row>
    <row r="9" spans="1:17" ht="53.25" customHeight="1">
      <c r="A9" s="109" t="s">
        <v>18</v>
      </c>
      <c r="B9" s="104"/>
      <c r="C9" s="110"/>
      <c r="D9" s="111"/>
      <c r="E9" s="104" t="s">
        <v>369</v>
      </c>
      <c r="F9" s="104" t="s">
        <v>370</v>
      </c>
      <c r="G9" s="104" t="s">
        <v>110</v>
      </c>
      <c r="H9" s="104" t="s">
        <v>460</v>
      </c>
      <c r="I9" s="104" t="s">
        <v>461</v>
      </c>
      <c r="J9" s="104" t="s">
        <v>462</v>
      </c>
      <c r="K9" s="104" t="s">
        <v>556</v>
      </c>
      <c r="L9" s="104" t="s">
        <v>557</v>
      </c>
      <c r="M9" s="104" t="s">
        <v>491</v>
      </c>
    </row>
    <row r="10" spans="1:17" ht="53.25" customHeight="1">
      <c r="A10" s="109" t="s">
        <v>19</v>
      </c>
      <c r="B10" s="104"/>
      <c r="C10" s="110"/>
      <c r="D10" s="112"/>
      <c r="E10" s="108" t="s">
        <v>366</v>
      </c>
      <c r="F10" s="104" t="s">
        <v>367</v>
      </c>
      <c r="G10" s="104" t="s">
        <v>368</v>
      </c>
      <c r="H10" s="108" t="s">
        <v>457</v>
      </c>
      <c r="I10" s="104" t="s">
        <v>458</v>
      </c>
      <c r="J10" s="104" t="s">
        <v>459</v>
      </c>
      <c r="K10" s="135"/>
      <c r="L10" s="135"/>
      <c r="M10" s="135"/>
    </row>
    <row r="11" spans="1:17" ht="53.25" customHeight="1">
      <c r="A11" s="109" t="s">
        <v>20</v>
      </c>
      <c r="B11" s="104"/>
      <c r="C11" s="110"/>
      <c r="D11" s="103"/>
      <c r="E11" s="104" t="s">
        <v>359</v>
      </c>
      <c r="F11" s="104" t="s">
        <v>189</v>
      </c>
      <c r="G11" s="104" t="s">
        <v>110</v>
      </c>
      <c r="H11" s="104" t="s">
        <v>448</v>
      </c>
      <c r="I11" s="104" t="s">
        <v>449</v>
      </c>
      <c r="J11" s="104" t="s">
        <v>429</v>
      </c>
      <c r="K11" s="104" t="s">
        <v>545</v>
      </c>
      <c r="L11" s="104" t="s">
        <v>407</v>
      </c>
      <c r="M11" s="104" t="s">
        <v>111</v>
      </c>
    </row>
    <row r="12" spans="1:17" ht="53.25" customHeight="1">
      <c r="A12" s="109" t="s">
        <v>492</v>
      </c>
      <c r="B12" s="104"/>
      <c r="C12" s="110"/>
      <c r="D12" s="103"/>
      <c r="E12" s="135"/>
      <c r="F12" s="135"/>
      <c r="G12" s="135"/>
      <c r="H12" s="135"/>
      <c r="I12" s="135"/>
      <c r="J12" s="135"/>
      <c r="K12" s="104" t="s">
        <v>506</v>
      </c>
      <c r="L12" s="104" t="s">
        <v>507</v>
      </c>
      <c r="M12" s="104" t="s">
        <v>491</v>
      </c>
    </row>
    <row r="13" spans="1:17" ht="53.25" customHeight="1">
      <c r="A13" s="109" t="s">
        <v>21</v>
      </c>
      <c r="B13" s="104"/>
      <c r="C13" s="110"/>
      <c r="D13" s="103"/>
      <c r="E13" s="104" t="s">
        <v>381</v>
      </c>
      <c r="F13" s="104" t="s">
        <v>382</v>
      </c>
      <c r="G13" s="104" t="s">
        <v>110</v>
      </c>
      <c r="H13" s="104" t="s">
        <v>472</v>
      </c>
      <c r="I13" s="108" t="s">
        <v>473</v>
      </c>
      <c r="J13" s="104" t="s">
        <v>144</v>
      </c>
      <c r="K13" s="104" t="s">
        <v>567</v>
      </c>
      <c r="L13" s="108" t="s">
        <v>568</v>
      </c>
      <c r="M13" s="104" t="s">
        <v>569</v>
      </c>
    </row>
    <row r="14" spans="1:17" ht="53.25" customHeight="1">
      <c r="A14" s="109" t="s">
        <v>114</v>
      </c>
      <c r="B14" s="113"/>
      <c r="C14" s="114"/>
      <c r="D14" s="103"/>
      <c r="E14" s="104" t="s">
        <v>383</v>
      </c>
      <c r="F14" s="104" t="s">
        <v>384</v>
      </c>
      <c r="G14" s="104" t="s">
        <v>385</v>
      </c>
      <c r="H14" s="104" t="s">
        <v>474</v>
      </c>
      <c r="I14" s="104" t="s">
        <v>475</v>
      </c>
      <c r="J14" s="104" t="s">
        <v>144</v>
      </c>
      <c r="K14" s="104" t="s">
        <v>570</v>
      </c>
      <c r="L14" s="104" t="s">
        <v>571</v>
      </c>
      <c r="M14" s="104" t="s">
        <v>491</v>
      </c>
    </row>
    <row r="15" spans="1:17" ht="53.25" customHeight="1">
      <c r="A15" s="109" t="s">
        <v>22</v>
      </c>
      <c r="B15" s="104"/>
      <c r="C15" s="110"/>
      <c r="D15" s="103"/>
      <c r="E15" s="104" t="s">
        <v>379</v>
      </c>
      <c r="F15" s="108" t="s">
        <v>380</v>
      </c>
      <c r="G15" s="104" t="s">
        <v>110</v>
      </c>
      <c r="H15" s="104" t="s">
        <v>386</v>
      </c>
      <c r="I15" s="104" t="s">
        <v>189</v>
      </c>
      <c r="J15" s="104" t="s">
        <v>110</v>
      </c>
      <c r="K15" s="104" t="s">
        <v>566</v>
      </c>
      <c r="L15" s="104" t="s">
        <v>398</v>
      </c>
      <c r="M15" s="104" t="s">
        <v>544</v>
      </c>
    </row>
    <row r="16" spans="1:17" ht="53.25" customHeight="1">
      <c r="A16" s="109" t="s">
        <v>258</v>
      </c>
      <c r="B16" s="104"/>
      <c r="C16" s="110"/>
      <c r="D16" s="103"/>
      <c r="E16" s="104" t="s">
        <v>321</v>
      </c>
      <c r="F16" s="104" t="s">
        <v>189</v>
      </c>
      <c r="G16" s="104" t="s">
        <v>110</v>
      </c>
      <c r="H16" s="104" t="s">
        <v>436</v>
      </c>
      <c r="I16" s="104" t="s">
        <v>437</v>
      </c>
      <c r="J16" s="104" t="s">
        <v>438</v>
      </c>
      <c r="K16" s="104" t="s">
        <v>489</v>
      </c>
      <c r="L16" s="104" t="s">
        <v>490</v>
      </c>
      <c r="M16" s="104" t="s">
        <v>491</v>
      </c>
    </row>
    <row r="17" spans="1:13" ht="53.25" customHeight="1">
      <c r="A17" s="109" t="s">
        <v>495</v>
      </c>
      <c r="B17" s="104"/>
      <c r="C17" s="110"/>
      <c r="D17" s="103"/>
      <c r="E17" s="135"/>
      <c r="F17" s="135"/>
      <c r="G17" s="135"/>
      <c r="H17" s="135"/>
      <c r="I17" s="135"/>
      <c r="J17" s="135"/>
      <c r="K17" s="104" t="s">
        <v>554</v>
      </c>
      <c r="L17" s="104" t="s">
        <v>555</v>
      </c>
      <c r="M17" s="104" t="s">
        <v>491</v>
      </c>
    </row>
    <row r="18" spans="1:13" ht="53.25" customHeight="1">
      <c r="A18" s="109" t="s">
        <v>24</v>
      </c>
      <c r="B18" s="104"/>
      <c r="C18" s="110"/>
      <c r="D18" s="103"/>
      <c r="E18" s="104" t="s">
        <v>364</v>
      </c>
      <c r="F18" s="104" t="s">
        <v>365</v>
      </c>
      <c r="G18" s="104" t="s">
        <v>110</v>
      </c>
      <c r="H18" s="104" t="s">
        <v>456</v>
      </c>
      <c r="I18" s="104" t="s">
        <v>407</v>
      </c>
      <c r="J18" s="104" t="s">
        <v>396</v>
      </c>
      <c r="K18" s="135"/>
      <c r="L18" s="135"/>
      <c r="M18" s="135"/>
    </row>
    <row r="19" spans="1:13" ht="53.25" customHeight="1">
      <c r="A19" s="109" t="s">
        <v>389</v>
      </c>
      <c r="B19" s="104"/>
      <c r="C19" s="110"/>
      <c r="D19" s="103"/>
      <c r="E19" s="135"/>
      <c r="F19" s="135"/>
      <c r="G19" s="135"/>
      <c r="H19" s="135"/>
      <c r="I19" s="135"/>
      <c r="J19" s="135"/>
      <c r="K19" s="104" t="s">
        <v>548</v>
      </c>
      <c r="L19" s="104" t="s">
        <v>549</v>
      </c>
      <c r="M19" s="104" t="s">
        <v>405</v>
      </c>
    </row>
    <row r="20" spans="1:13" ht="53.25" customHeight="1">
      <c r="A20" s="109" t="s">
        <v>25</v>
      </c>
      <c r="B20" s="104"/>
      <c r="C20" s="110"/>
      <c r="D20" s="103"/>
      <c r="E20" s="104" t="s">
        <v>354</v>
      </c>
      <c r="F20" s="104" t="s">
        <v>355</v>
      </c>
      <c r="G20" s="104" t="s">
        <v>110</v>
      </c>
      <c r="H20" s="104" t="s">
        <v>441</v>
      </c>
      <c r="I20" s="104" t="s">
        <v>442</v>
      </c>
      <c r="J20" s="104" t="s">
        <v>396</v>
      </c>
      <c r="K20" s="104" t="s">
        <v>538</v>
      </c>
      <c r="L20" s="104" t="s">
        <v>539</v>
      </c>
      <c r="M20" s="104" t="s">
        <v>491</v>
      </c>
    </row>
    <row r="21" spans="1:13" ht="53.25" customHeight="1">
      <c r="A21" s="109" t="s">
        <v>26</v>
      </c>
      <c r="B21" s="104"/>
      <c r="C21" s="110"/>
      <c r="D21" s="103"/>
      <c r="E21" s="104" t="s">
        <v>324</v>
      </c>
      <c r="F21" s="104" t="s">
        <v>326</v>
      </c>
      <c r="G21" s="104" t="s">
        <v>325</v>
      </c>
      <c r="H21" s="104" t="s">
        <v>394</v>
      </c>
      <c r="I21" s="104" t="s">
        <v>395</v>
      </c>
      <c r="J21" s="104" t="s">
        <v>396</v>
      </c>
      <c r="K21" s="104" t="s">
        <v>499</v>
      </c>
      <c r="L21" s="104" t="s">
        <v>500</v>
      </c>
      <c r="M21" s="104" t="s">
        <v>501</v>
      </c>
    </row>
    <row r="22" spans="1:13" ht="53.25" customHeight="1">
      <c r="A22" s="109" t="s">
        <v>27</v>
      </c>
      <c r="B22" s="104"/>
      <c r="C22" s="110"/>
      <c r="D22" s="103"/>
      <c r="E22" s="104" t="s">
        <v>329</v>
      </c>
      <c r="F22" s="104" t="s">
        <v>330</v>
      </c>
      <c r="G22" s="104" t="s">
        <v>110</v>
      </c>
      <c r="H22" s="104" t="s">
        <v>400</v>
      </c>
      <c r="I22" s="104" t="s">
        <v>401</v>
      </c>
      <c r="J22" s="104" t="s">
        <v>402</v>
      </c>
      <c r="K22" s="104" t="s">
        <v>503</v>
      </c>
      <c r="L22" s="104" t="s">
        <v>504</v>
      </c>
      <c r="M22" s="104" t="s">
        <v>505</v>
      </c>
    </row>
    <row r="23" spans="1:13" ht="53.25" customHeight="1">
      <c r="A23" s="109" t="s">
        <v>28</v>
      </c>
      <c r="B23" s="104"/>
      <c r="C23" s="110"/>
      <c r="D23" s="103"/>
      <c r="E23" s="104" t="s">
        <v>327</v>
      </c>
      <c r="F23" s="104" t="s">
        <v>328</v>
      </c>
      <c r="G23" s="104" t="s">
        <v>110</v>
      </c>
      <c r="H23" s="104" t="s">
        <v>397</v>
      </c>
      <c r="I23" s="104" t="s">
        <v>398</v>
      </c>
      <c r="J23" s="104" t="s">
        <v>399</v>
      </c>
      <c r="K23" s="104" t="s">
        <v>502</v>
      </c>
      <c r="L23" s="104" t="s">
        <v>407</v>
      </c>
      <c r="M23" s="104" t="s">
        <v>405</v>
      </c>
    </row>
    <row r="24" spans="1:13" ht="53.25" customHeight="1">
      <c r="A24" s="109" t="s">
        <v>29</v>
      </c>
      <c r="B24" s="104"/>
      <c r="C24" s="110"/>
      <c r="D24" s="103"/>
      <c r="E24" s="104" t="s">
        <v>333</v>
      </c>
      <c r="F24" s="104" t="s">
        <v>334</v>
      </c>
      <c r="G24" s="104" t="s">
        <v>110</v>
      </c>
      <c r="H24" s="104" t="s">
        <v>406</v>
      </c>
      <c r="I24" s="104" t="s">
        <v>407</v>
      </c>
      <c r="J24" s="104" t="s">
        <v>408</v>
      </c>
      <c r="K24" s="104" t="s">
        <v>508</v>
      </c>
      <c r="L24" s="104" t="s">
        <v>407</v>
      </c>
      <c r="M24" s="104" t="s">
        <v>509</v>
      </c>
    </row>
    <row r="25" spans="1:13" ht="53.25" customHeight="1">
      <c r="A25" s="109" t="s">
        <v>30</v>
      </c>
      <c r="B25" s="104"/>
      <c r="C25" s="110"/>
      <c r="D25" s="103"/>
      <c r="E25" s="104" t="s">
        <v>347</v>
      </c>
      <c r="F25" s="104" t="s">
        <v>189</v>
      </c>
      <c r="G25" s="104" t="s">
        <v>110</v>
      </c>
      <c r="H25" s="104" t="s">
        <v>428</v>
      </c>
      <c r="I25" s="104" t="s">
        <v>398</v>
      </c>
      <c r="J25" s="104" t="s">
        <v>429</v>
      </c>
      <c r="K25" s="104" t="s">
        <v>529</v>
      </c>
      <c r="L25" s="104" t="s">
        <v>470</v>
      </c>
      <c r="M25" s="104" t="s">
        <v>491</v>
      </c>
    </row>
    <row r="26" spans="1:13" ht="53.25" customHeight="1">
      <c r="A26" s="109" t="s">
        <v>31</v>
      </c>
      <c r="B26" s="104"/>
      <c r="C26" s="110"/>
      <c r="D26" s="103"/>
      <c r="E26" s="104" t="s">
        <v>351</v>
      </c>
      <c r="F26" s="104" t="s">
        <v>352</v>
      </c>
      <c r="G26" s="104" t="s">
        <v>353</v>
      </c>
      <c r="H26" s="104" t="s">
        <v>439</v>
      </c>
      <c r="I26" s="104" t="s">
        <v>440</v>
      </c>
      <c r="J26" s="104" t="s">
        <v>405</v>
      </c>
      <c r="K26" s="104" t="s">
        <v>534</v>
      </c>
      <c r="L26" s="104" t="s">
        <v>535</v>
      </c>
      <c r="M26" s="104" t="s">
        <v>491</v>
      </c>
    </row>
    <row r="27" spans="1:13" ht="53.25" customHeight="1">
      <c r="A27" s="109" t="s">
        <v>476</v>
      </c>
      <c r="B27" s="104"/>
      <c r="C27" s="110"/>
      <c r="D27" s="103"/>
      <c r="E27" s="135"/>
      <c r="F27" s="135"/>
      <c r="G27" s="135"/>
      <c r="H27" s="135"/>
      <c r="I27" s="135"/>
      <c r="J27" s="135"/>
      <c r="K27" s="104" t="s">
        <v>552</v>
      </c>
      <c r="L27" s="104" t="s">
        <v>553</v>
      </c>
      <c r="M27" s="104" t="s">
        <v>405</v>
      </c>
    </row>
    <row r="28" spans="1:13" ht="53.25" customHeight="1">
      <c r="A28" s="109" t="s">
        <v>493</v>
      </c>
      <c r="B28" s="104"/>
      <c r="C28" s="110"/>
      <c r="D28" s="103"/>
      <c r="E28" s="135"/>
      <c r="F28" s="135"/>
      <c r="G28" s="135"/>
      <c r="H28" s="135"/>
      <c r="I28" s="135"/>
      <c r="J28" s="135"/>
      <c r="K28" s="104" t="s">
        <v>524</v>
      </c>
      <c r="L28" s="104" t="s">
        <v>525</v>
      </c>
      <c r="M28" s="104" t="s">
        <v>405</v>
      </c>
    </row>
    <row r="29" spans="1:13" ht="53.25" customHeight="1">
      <c r="A29" s="109" t="s">
        <v>320</v>
      </c>
      <c r="B29" s="104"/>
      <c r="C29" s="110"/>
      <c r="D29" s="103"/>
      <c r="E29" s="104" t="s">
        <v>337</v>
      </c>
      <c r="F29" s="104" t="s">
        <v>338</v>
      </c>
      <c r="G29" s="104" t="s">
        <v>110</v>
      </c>
      <c r="H29" s="104" t="s">
        <v>412</v>
      </c>
      <c r="I29" s="104" t="s">
        <v>413</v>
      </c>
      <c r="J29" s="104" t="s">
        <v>405</v>
      </c>
      <c r="K29" s="104" t="s">
        <v>512</v>
      </c>
      <c r="L29" s="104" t="s">
        <v>513</v>
      </c>
      <c r="M29" s="104" t="s">
        <v>113</v>
      </c>
    </row>
    <row r="30" spans="1:13" ht="53.25" customHeight="1">
      <c r="A30" s="109" t="s">
        <v>115</v>
      </c>
      <c r="B30" s="104"/>
      <c r="C30" s="110"/>
      <c r="D30" s="103"/>
      <c r="E30" s="104" t="s">
        <v>373</v>
      </c>
      <c r="F30" s="104" t="s">
        <v>374</v>
      </c>
      <c r="G30" s="104" t="s">
        <v>110</v>
      </c>
      <c r="H30" s="104" t="s">
        <v>465</v>
      </c>
      <c r="I30" s="104" t="s">
        <v>466</v>
      </c>
      <c r="J30" s="104" t="s">
        <v>111</v>
      </c>
      <c r="K30" s="104" t="s">
        <v>561</v>
      </c>
      <c r="L30" s="104" t="s">
        <v>562</v>
      </c>
      <c r="M30" s="104" t="s">
        <v>491</v>
      </c>
    </row>
    <row r="31" spans="1:13" ht="53.25" customHeight="1">
      <c r="A31" s="109" t="s">
        <v>116</v>
      </c>
      <c r="B31" s="104"/>
      <c r="C31" s="110"/>
      <c r="D31" s="103"/>
      <c r="E31" s="104" t="s">
        <v>321</v>
      </c>
      <c r="F31" s="104" t="s">
        <v>189</v>
      </c>
      <c r="G31" s="104" t="s">
        <v>110</v>
      </c>
      <c r="H31" s="104" t="s">
        <v>386</v>
      </c>
      <c r="I31" s="104" t="s">
        <v>189</v>
      </c>
      <c r="J31" s="104" t="s">
        <v>110</v>
      </c>
      <c r="K31" s="104" t="s">
        <v>489</v>
      </c>
      <c r="L31" s="104" t="s">
        <v>490</v>
      </c>
      <c r="M31" s="104" t="s">
        <v>491</v>
      </c>
    </row>
    <row r="32" spans="1:13" ht="53.25" customHeight="1">
      <c r="A32" s="109" t="s">
        <v>34</v>
      </c>
      <c r="B32" s="104"/>
      <c r="C32" s="110"/>
      <c r="D32" s="103"/>
      <c r="E32" s="104" t="s">
        <v>348</v>
      </c>
      <c r="F32" s="104" t="s">
        <v>349</v>
      </c>
      <c r="G32" s="104" t="s">
        <v>110</v>
      </c>
      <c r="H32" s="104" t="s">
        <v>430</v>
      </c>
      <c r="I32" s="104" t="s">
        <v>431</v>
      </c>
      <c r="J32" s="104" t="s">
        <v>432</v>
      </c>
      <c r="K32" s="104" t="s">
        <v>530</v>
      </c>
      <c r="L32" s="104" t="s">
        <v>531</v>
      </c>
      <c r="M32" s="104" t="s">
        <v>505</v>
      </c>
    </row>
    <row r="33" spans="1:13" ht="53.25" customHeight="1">
      <c r="A33" s="109" t="s">
        <v>35</v>
      </c>
      <c r="B33" s="104"/>
      <c r="C33" s="110"/>
      <c r="D33" s="103"/>
      <c r="E33" s="108" t="s">
        <v>345</v>
      </c>
      <c r="F33" s="104" t="s">
        <v>346</v>
      </c>
      <c r="G33" s="104" t="s">
        <v>110</v>
      </c>
      <c r="H33" s="108" t="s">
        <v>425</v>
      </c>
      <c r="I33" s="104" t="s">
        <v>426</v>
      </c>
      <c r="J33" s="104" t="s">
        <v>427</v>
      </c>
      <c r="K33" s="104" t="s">
        <v>528</v>
      </c>
      <c r="L33" s="104" t="s">
        <v>470</v>
      </c>
      <c r="M33" s="104" t="s">
        <v>491</v>
      </c>
    </row>
    <row r="34" spans="1:13" ht="53.25" customHeight="1">
      <c r="A34" s="109" t="s">
        <v>36</v>
      </c>
      <c r="B34" s="104"/>
      <c r="C34" s="110"/>
      <c r="D34" s="103"/>
      <c r="E34" s="104" t="s">
        <v>377</v>
      </c>
      <c r="F34" s="108" t="s">
        <v>378</v>
      </c>
      <c r="G34" s="104" t="s">
        <v>110</v>
      </c>
      <c r="H34" s="104" t="s">
        <v>469</v>
      </c>
      <c r="I34" s="104" t="s">
        <v>470</v>
      </c>
      <c r="J34" s="104" t="s">
        <v>471</v>
      </c>
      <c r="K34" s="104" t="s">
        <v>564</v>
      </c>
      <c r="L34" s="104" t="s">
        <v>565</v>
      </c>
      <c r="M34" s="104" t="s">
        <v>491</v>
      </c>
    </row>
    <row r="35" spans="1:13" ht="53.25" customHeight="1">
      <c r="A35" s="109" t="s">
        <v>37</v>
      </c>
      <c r="B35" s="104"/>
      <c r="C35" s="110"/>
      <c r="D35" s="103"/>
      <c r="E35" s="104" t="s">
        <v>356</v>
      </c>
      <c r="F35" s="104" t="s">
        <v>189</v>
      </c>
      <c r="G35" s="104" t="s">
        <v>325</v>
      </c>
      <c r="H35" s="104" t="s">
        <v>443</v>
      </c>
      <c r="I35" s="104" t="s">
        <v>444</v>
      </c>
      <c r="J35" s="104" t="s">
        <v>445</v>
      </c>
      <c r="K35" s="104" t="s">
        <v>540</v>
      </c>
      <c r="L35" s="104" t="s">
        <v>541</v>
      </c>
      <c r="M35" s="104" t="s">
        <v>144</v>
      </c>
    </row>
    <row r="36" spans="1:13" ht="53.25" customHeight="1">
      <c r="A36" s="109" t="s">
        <v>494</v>
      </c>
      <c r="B36" s="104"/>
      <c r="C36" s="110"/>
      <c r="D36" s="103"/>
      <c r="E36" s="135"/>
      <c r="F36" s="135"/>
      <c r="G36" s="135"/>
      <c r="H36" s="135"/>
      <c r="I36" s="135"/>
      <c r="J36" s="135"/>
      <c r="K36" s="104" t="s">
        <v>536</v>
      </c>
      <c r="L36" s="104" t="s">
        <v>537</v>
      </c>
      <c r="M36" s="104" t="s">
        <v>491</v>
      </c>
    </row>
    <row r="37" spans="1:13" ht="53.25" customHeight="1">
      <c r="A37" s="109" t="s">
        <v>40</v>
      </c>
      <c r="B37" s="104"/>
      <c r="C37" s="110"/>
      <c r="D37" s="103"/>
      <c r="E37" s="104" t="s">
        <v>322</v>
      </c>
      <c r="F37" s="104" t="s">
        <v>189</v>
      </c>
      <c r="G37" s="104" t="s">
        <v>323</v>
      </c>
      <c r="H37" s="104" t="s">
        <v>391</v>
      </c>
      <c r="I37" s="104" t="s">
        <v>392</v>
      </c>
      <c r="J37" s="104" t="s">
        <v>393</v>
      </c>
      <c r="K37" s="104" t="s">
        <v>496</v>
      </c>
      <c r="L37" s="104" t="s">
        <v>497</v>
      </c>
      <c r="M37" s="104" t="s">
        <v>498</v>
      </c>
    </row>
    <row r="38" spans="1:13" ht="53.25" customHeight="1">
      <c r="A38" s="109" t="s">
        <v>42</v>
      </c>
      <c r="B38" s="104"/>
      <c r="C38" s="110"/>
      <c r="D38" s="103"/>
      <c r="E38" s="104" t="s">
        <v>357</v>
      </c>
      <c r="F38" s="104" t="s">
        <v>358</v>
      </c>
      <c r="G38" s="104" t="s">
        <v>110</v>
      </c>
      <c r="H38" s="104" t="s">
        <v>446</v>
      </c>
      <c r="I38" s="104" t="s">
        <v>447</v>
      </c>
      <c r="J38" s="104" t="s">
        <v>429</v>
      </c>
      <c r="K38" s="104" t="s">
        <v>542</v>
      </c>
      <c r="L38" s="104" t="s">
        <v>543</v>
      </c>
      <c r="M38" s="104" t="s">
        <v>544</v>
      </c>
    </row>
    <row r="39" spans="1:13" ht="53.25" customHeight="1">
      <c r="A39" s="109" t="s">
        <v>117</v>
      </c>
      <c r="B39" s="104"/>
      <c r="C39" s="110"/>
      <c r="D39" s="103"/>
      <c r="E39" s="104" t="s">
        <v>321</v>
      </c>
      <c r="F39" s="104" t="s">
        <v>189</v>
      </c>
      <c r="G39" s="104" t="s">
        <v>110</v>
      </c>
      <c r="H39" s="104" t="s">
        <v>386</v>
      </c>
      <c r="I39" s="104" t="s">
        <v>189</v>
      </c>
      <c r="J39" s="104" t="s">
        <v>110</v>
      </c>
      <c r="K39" s="104" t="s">
        <v>526</v>
      </c>
      <c r="L39" s="104" t="s">
        <v>527</v>
      </c>
      <c r="M39" s="104" t="s">
        <v>144</v>
      </c>
    </row>
    <row r="40" spans="1:13" ht="53.25" customHeight="1">
      <c r="A40" s="109" t="s">
        <v>43</v>
      </c>
      <c r="B40" s="104"/>
      <c r="C40" s="110"/>
      <c r="D40" s="103"/>
      <c r="E40" s="108" t="s">
        <v>371</v>
      </c>
      <c r="F40" s="104" t="s">
        <v>372</v>
      </c>
      <c r="G40" s="104" t="s">
        <v>110</v>
      </c>
      <c r="H40" s="104" t="s">
        <v>463</v>
      </c>
      <c r="I40" s="104" t="s">
        <v>464</v>
      </c>
      <c r="J40" s="104" t="s">
        <v>144</v>
      </c>
      <c r="K40" s="104" t="s">
        <v>558</v>
      </c>
      <c r="L40" s="104" t="s">
        <v>559</v>
      </c>
      <c r="M40" s="104" t="s">
        <v>560</v>
      </c>
    </row>
    <row r="41" spans="1:13" ht="53.25" customHeight="1">
      <c r="A41" s="109" t="s">
        <v>44</v>
      </c>
      <c r="B41" s="104"/>
      <c r="C41" s="110"/>
      <c r="D41" s="103"/>
      <c r="E41" s="104" t="s">
        <v>331</v>
      </c>
      <c r="F41" s="104" t="s">
        <v>332</v>
      </c>
      <c r="G41" s="104" t="s">
        <v>110</v>
      </c>
      <c r="H41" s="108" t="s">
        <v>403</v>
      </c>
      <c r="I41" s="104" t="s">
        <v>404</v>
      </c>
      <c r="J41" s="104" t="s">
        <v>405</v>
      </c>
      <c r="K41" s="135"/>
      <c r="L41" s="135"/>
      <c r="M41" s="135"/>
    </row>
    <row r="42" spans="1:13" ht="53.25" customHeight="1">
      <c r="A42" s="109" t="s">
        <v>46</v>
      </c>
      <c r="B42" s="104"/>
      <c r="C42" s="110"/>
      <c r="D42" s="103"/>
      <c r="E42" s="108" t="s">
        <v>343</v>
      </c>
      <c r="F42" s="104" t="s">
        <v>344</v>
      </c>
      <c r="G42" s="104" t="s">
        <v>110</v>
      </c>
      <c r="H42" s="104" t="s">
        <v>422</v>
      </c>
      <c r="I42" s="104" t="s">
        <v>423</v>
      </c>
      <c r="J42" s="104" t="s">
        <v>424</v>
      </c>
      <c r="K42" s="104" t="s">
        <v>521</v>
      </c>
      <c r="L42" s="104" t="s">
        <v>522</v>
      </c>
      <c r="M42" s="104" t="s">
        <v>523</v>
      </c>
    </row>
    <row r="43" spans="1:13" ht="53.25" customHeight="1">
      <c r="A43" s="109" t="s">
        <v>414</v>
      </c>
      <c r="B43" s="104"/>
      <c r="C43" s="110"/>
      <c r="D43" s="103"/>
      <c r="E43" s="134"/>
      <c r="F43" s="135"/>
      <c r="G43" s="135"/>
      <c r="H43" s="104" t="s">
        <v>415</v>
      </c>
      <c r="I43" s="108" t="s">
        <v>416</v>
      </c>
      <c r="J43" s="104" t="s">
        <v>405</v>
      </c>
      <c r="K43" s="104" t="s">
        <v>514</v>
      </c>
      <c r="L43" s="104" t="s">
        <v>515</v>
      </c>
      <c r="M43" s="104" t="s">
        <v>491</v>
      </c>
    </row>
    <row r="44" spans="1:13" ht="15">
      <c r="B44"/>
      <c r="C44"/>
      <c r="D44"/>
      <c r="E44" s="118"/>
      <c r="F44" s="105"/>
      <c r="G44" s="106"/>
      <c r="H44" s="106"/>
      <c r="I44" s="105"/>
      <c r="J44" s="106"/>
      <c r="K44" s="106"/>
      <c r="L44" s="105"/>
      <c r="M44" s="106"/>
    </row>
    <row r="45" spans="1:13">
      <c r="E45" s="119"/>
      <c r="F45" s="106"/>
      <c r="G45" s="106"/>
      <c r="H45" s="120"/>
      <c r="I45" s="121"/>
      <c r="J45" s="106"/>
      <c r="K45" s="120"/>
      <c r="L45" s="106"/>
      <c r="M45" s="106"/>
    </row>
    <row r="46" spans="1:13">
      <c r="E46" s="119"/>
      <c r="F46" s="106"/>
      <c r="G46" s="106"/>
      <c r="H46" s="120"/>
      <c r="I46" s="106"/>
      <c r="J46" s="106"/>
      <c r="K46" s="120"/>
      <c r="L46" s="106"/>
      <c r="M46" s="106"/>
    </row>
    <row r="47" spans="1:13">
      <c r="E47" s="117"/>
      <c r="H47" s="120"/>
      <c r="I47" s="106"/>
      <c r="J47" s="105"/>
    </row>
    <row r="48" spans="1:13">
      <c r="H48" s="120"/>
      <c r="I48" s="106"/>
      <c r="J48" s="10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GENNAIO</vt:lpstr>
      <vt:lpstr>FEBBRAIO</vt:lpstr>
      <vt:lpstr>MARZO</vt:lpstr>
      <vt:lpstr>Totale 1Q</vt:lpstr>
      <vt:lpstr>Dettagli Costi Cell 1Q</vt:lpstr>
      <vt:lpstr>APRILE</vt:lpstr>
      <vt:lpstr>MAGGIO</vt:lpstr>
      <vt:lpstr>GIUGNO</vt:lpstr>
      <vt:lpstr>Dettagli Costi Cell 2Q</vt:lpstr>
      <vt:lpstr>LUGLIO</vt:lpstr>
      <vt:lpstr>AGOSTO</vt:lpstr>
      <vt:lpstr>SETTEMBRE</vt:lpstr>
      <vt:lpstr>Dettagli Costi Cell 3Q</vt:lpstr>
      <vt:lpstr>OTTOBRE</vt:lpstr>
      <vt:lpstr>NOVEMBRE</vt:lpstr>
      <vt:lpstr>DICEMBRE</vt:lpstr>
      <vt:lpstr>Dettagli Costi Cell 4Q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Simonetta Gallucci</dc:creator>
  <cp:lastModifiedBy>Simonetta</cp:lastModifiedBy>
  <dcterms:created xsi:type="dcterms:W3CDTF">2014-01-09T16:14:06Z</dcterms:created>
  <dcterms:modified xsi:type="dcterms:W3CDTF">2015-02-23T14:24:13Z</dcterms:modified>
</cp:coreProperties>
</file>