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tabRatio="597" activeTab="1"/>
  </bookViews>
  <sheets>
    <sheet name="GENNAIO" sheetId="1" r:id="rId1"/>
    <sheet name="FEBBRAIO" sheetId="2" r:id="rId2"/>
    <sheet name="MARZO" sheetId="4" r:id="rId3"/>
    <sheet name="APRILE" sheetId="5" r:id="rId4"/>
    <sheet name="MAGGIO" sheetId="6" r:id="rId5"/>
    <sheet name="GIUGNO" sheetId="7" r:id="rId6"/>
    <sheet name="LUGLIO" sheetId="8" r:id="rId7"/>
    <sheet name="AGOSTO" sheetId="9" r:id="rId8"/>
    <sheet name="SETTEMBRE" sheetId="10" r:id="rId9"/>
    <sheet name="OTTOBRE" sheetId="11" r:id="rId10"/>
    <sheet name="NOVEMBRE" sheetId="12" r:id="rId11"/>
    <sheet name="DICEMBRE" sheetId="13" r:id="rId12"/>
    <sheet name="Foglio1" sheetId="14" r:id="rId13"/>
  </sheets>
  <definedNames>
    <definedName name="_xlnm.Print_Area" localSheetId="3">APRILE!$A$11:$I$40</definedName>
    <definedName name="_xlnm.Print_Area" localSheetId="1">FEBBRAIO!$A$12:$I$33</definedName>
    <definedName name="_xlnm.Print_Area" localSheetId="0">GENNAIO!$A$1:$I$32</definedName>
    <definedName name="_xlnm.Print_Area" localSheetId="2">MARZO!$A$16:$I$55</definedName>
  </definedNames>
  <calcPr calcId="125725" iterateDelta="1E-4"/>
</workbook>
</file>

<file path=xl/calcChain.xml><?xml version="1.0" encoding="utf-8"?>
<calcChain xmlns="http://schemas.openxmlformats.org/spreadsheetml/2006/main">
  <c r="H89" i="11"/>
  <c r="H42" i="13"/>
  <c r="D41"/>
  <c r="D40"/>
  <c r="H40"/>
  <c r="H23" i="11"/>
  <c r="D22"/>
  <c r="D89"/>
  <c r="D21"/>
  <c r="H121"/>
  <c r="D119"/>
  <c r="D120"/>
  <c r="H120"/>
  <c r="H59"/>
  <c r="D58"/>
  <c r="D59"/>
  <c r="D26"/>
  <c r="D23"/>
  <c r="D90"/>
  <c r="H21"/>
  <c r="H26" s="1"/>
  <c r="F26"/>
  <c r="D57" i="10"/>
  <c r="H29"/>
  <c r="D44" i="9"/>
  <c r="D27" i="10"/>
  <c r="H45" i="9"/>
  <c r="D43"/>
  <c r="D28" i="10"/>
  <c r="F28"/>
  <c r="D58"/>
  <c r="H40" i="9"/>
  <c r="H44"/>
  <c r="B27" i="11" l="1"/>
  <c r="D151" i="13"/>
  <c r="D139"/>
  <c r="D127"/>
  <c r="D118"/>
  <c r="D108"/>
  <c r="H95"/>
  <c r="F95"/>
  <c r="D95"/>
  <c r="H85"/>
  <c r="F85"/>
  <c r="D85"/>
  <c r="H72"/>
  <c r="F72"/>
  <c r="D72"/>
  <c r="F58"/>
  <c r="D58"/>
  <c r="H48"/>
  <c r="F48"/>
  <c r="D48"/>
  <c r="H34"/>
  <c r="F34"/>
  <c r="D34"/>
  <c r="H41"/>
  <c r="F100"/>
  <c r="H130"/>
  <c r="H129"/>
  <c r="H75"/>
  <c r="H74"/>
  <c r="H44"/>
  <c r="H45"/>
  <c r="H70"/>
  <c r="H142"/>
  <c r="H61"/>
  <c r="H105"/>
  <c r="F104"/>
  <c r="H67"/>
  <c r="H36"/>
  <c r="H37"/>
  <c r="H121"/>
  <c r="H120"/>
  <c r="F120"/>
  <c r="H87"/>
  <c r="F87"/>
  <c r="H51"/>
  <c r="H50"/>
  <c r="F51"/>
  <c r="H80"/>
  <c r="H114"/>
  <c r="H115"/>
  <c r="H91"/>
  <c r="H54"/>
  <c r="F91"/>
  <c r="F54"/>
  <c r="H145"/>
  <c r="H65"/>
  <c r="H64"/>
  <c r="H111"/>
  <c r="H110"/>
  <c r="F14"/>
  <c r="D14"/>
  <c r="D15"/>
  <c r="H104" l="1"/>
  <c r="D104"/>
  <c r="D105"/>
  <c r="C13" i="14"/>
  <c r="H116" i="13"/>
  <c r="D114"/>
  <c r="D116"/>
  <c r="D115"/>
  <c r="F114"/>
  <c r="F115"/>
  <c r="F116"/>
  <c r="D91"/>
  <c r="D92"/>
  <c r="D54"/>
  <c r="D55"/>
  <c r="D144" l="1"/>
  <c r="H144"/>
  <c r="H63"/>
  <c r="D63"/>
  <c r="D64"/>
  <c r="D145"/>
  <c r="F63"/>
  <c r="F64"/>
  <c r="D101" i="12"/>
  <c r="H8" i="13" l="1"/>
  <c r="C8" i="14"/>
  <c r="C7"/>
  <c r="C3"/>
  <c r="C4"/>
  <c r="H95" i="12"/>
  <c r="H99" s="1"/>
  <c r="B100" s="1"/>
  <c r="F142" i="13"/>
  <c r="F141"/>
  <c r="D60"/>
  <c r="D61"/>
  <c r="H141"/>
  <c r="D141"/>
  <c r="D142"/>
  <c r="F151"/>
  <c r="H151"/>
  <c r="H25"/>
  <c r="D23"/>
  <c r="F23"/>
  <c r="D24"/>
  <c r="H46"/>
  <c r="D44"/>
  <c r="D46"/>
  <c r="D45"/>
  <c r="F44"/>
  <c r="H29"/>
  <c r="D27"/>
  <c r="D28"/>
  <c r="D29"/>
  <c r="F30"/>
  <c r="H112"/>
  <c r="F111"/>
  <c r="F110"/>
  <c r="F118"/>
  <c r="H118"/>
  <c r="F29"/>
  <c r="F28"/>
  <c r="F27"/>
  <c r="F11"/>
  <c r="F10"/>
  <c r="H102"/>
  <c r="D100"/>
  <c r="D101"/>
  <c r="D102"/>
  <c r="H21"/>
  <c r="D19"/>
  <c r="F19"/>
  <c r="D20"/>
  <c r="D88"/>
  <c r="D121"/>
  <c r="D120"/>
  <c r="D87"/>
  <c r="H127"/>
  <c r="F127"/>
  <c r="H89"/>
  <c r="D51"/>
  <c r="F50"/>
  <c r="D52"/>
  <c r="D50"/>
  <c r="H58"/>
  <c r="D130"/>
  <c r="D129"/>
  <c r="D75"/>
  <c r="D74"/>
  <c r="D97"/>
  <c r="F97"/>
  <c r="F108"/>
  <c r="H108"/>
  <c r="F131"/>
  <c r="F77"/>
  <c r="F130"/>
  <c r="F75"/>
  <c r="F129"/>
  <c r="F74"/>
  <c r="H131"/>
  <c r="H77"/>
  <c r="F139"/>
  <c r="H139"/>
  <c r="B140" s="1"/>
  <c r="H107" i="12"/>
  <c r="D107"/>
  <c r="D99"/>
  <c r="B92"/>
  <c r="H91"/>
  <c r="F91"/>
  <c r="D91"/>
  <c r="B63"/>
  <c r="H62"/>
  <c r="F62"/>
  <c r="D62"/>
  <c r="H50"/>
  <c r="H41"/>
  <c r="F41"/>
  <c r="D41"/>
  <c r="B31"/>
  <c r="D30"/>
  <c r="F30"/>
  <c r="H30"/>
  <c r="H21"/>
  <c r="F21"/>
  <c r="D21"/>
  <c r="B13"/>
  <c r="H12"/>
  <c r="F12"/>
  <c r="D12"/>
  <c r="H23" i="13"/>
  <c r="H10"/>
  <c r="H6"/>
  <c r="H2"/>
  <c r="H69" i="12"/>
  <c r="H68"/>
  <c r="H6"/>
  <c r="H10"/>
  <c r="H9"/>
  <c r="H76"/>
  <c r="H73"/>
  <c r="H72"/>
  <c r="H14"/>
  <c r="H47"/>
  <c r="H39"/>
  <c r="H86" i="11"/>
  <c r="F27" i="10"/>
  <c r="H19" i="13"/>
  <c r="H45" i="12"/>
  <c r="H80"/>
  <c r="H79"/>
  <c r="H81"/>
  <c r="H32"/>
  <c r="H56"/>
  <c r="H55"/>
  <c r="H57"/>
  <c r="H14" i="13"/>
  <c r="H84" i="12"/>
  <c r="H83"/>
  <c r="F114" i="10"/>
  <c r="H43" i="12"/>
  <c r="D50"/>
  <c r="F50"/>
  <c r="H87"/>
  <c r="H86"/>
  <c r="H60"/>
  <c r="H35"/>
  <c r="H59"/>
  <c r="H105"/>
  <c r="H104"/>
  <c r="H53"/>
  <c r="H52"/>
  <c r="H77"/>
  <c r="H15"/>
  <c r="H102"/>
  <c r="H101"/>
  <c r="H24"/>
  <c r="H3"/>
  <c r="D86"/>
  <c r="D87"/>
  <c r="D60"/>
  <c r="F87"/>
  <c r="F60"/>
  <c r="F59"/>
  <c r="F37"/>
  <c r="D35"/>
  <c r="F36"/>
  <c r="F35"/>
  <c r="F10"/>
  <c r="D9"/>
  <c r="F9"/>
  <c r="D59"/>
  <c r="B42"/>
  <c r="B22"/>
  <c r="B51"/>
  <c r="H38" i="13"/>
  <c r="D36"/>
  <c r="D37"/>
  <c r="F37"/>
  <c r="F36"/>
  <c r="D38"/>
  <c r="B49"/>
  <c r="D14" i="12"/>
  <c r="D16"/>
  <c r="F14"/>
  <c r="F15"/>
  <c r="F16"/>
  <c r="H16"/>
  <c r="D15"/>
  <c r="H60" i="13"/>
  <c r="F6"/>
  <c r="D93" i="12"/>
  <c r="D6" i="13"/>
  <c r="D94" i="12"/>
  <c r="F99"/>
  <c r="D79"/>
  <c r="F79"/>
  <c r="D80"/>
  <c r="D33"/>
  <c r="D32"/>
  <c r="D55"/>
  <c r="D56"/>
  <c r="D52"/>
  <c r="D105"/>
  <c r="D104"/>
  <c r="F76"/>
  <c r="D77"/>
  <c r="D76"/>
  <c r="H23"/>
  <c r="D23"/>
  <c r="D102"/>
  <c r="F24"/>
  <c r="F23"/>
  <c r="D73"/>
  <c r="D72"/>
  <c r="D68"/>
  <c r="F68"/>
  <c r="H4" i="13"/>
  <c r="D2"/>
  <c r="F2"/>
  <c r="D3"/>
  <c r="B86"/>
  <c r="B73"/>
  <c r="H4" i="12"/>
  <c r="D3"/>
  <c r="D2"/>
  <c r="D64"/>
  <c r="D65"/>
  <c r="F64"/>
  <c r="F4"/>
  <c r="F3"/>
  <c r="F2"/>
  <c r="F107"/>
  <c r="H7" i="7"/>
  <c r="D51" i="11"/>
  <c r="D43"/>
  <c r="D52"/>
  <c r="D44"/>
  <c r="D7"/>
  <c r="F7"/>
  <c r="H7"/>
  <c r="B8"/>
  <c r="D9"/>
  <c r="D10"/>
  <c r="D13"/>
  <c r="D14"/>
  <c r="D19"/>
  <c r="F9"/>
  <c r="F10"/>
  <c r="F13"/>
  <c r="F19"/>
  <c r="H9"/>
  <c r="H10"/>
  <c r="H11"/>
  <c r="H13"/>
  <c r="H14"/>
  <c r="H15"/>
  <c r="H19"/>
  <c r="B20"/>
  <c r="D28"/>
  <c r="D29"/>
  <c r="D30"/>
  <c r="D32"/>
  <c r="D33"/>
  <c r="D38"/>
  <c r="F38"/>
  <c r="H32"/>
  <c r="H38"/>
  <c r="B39"/>
  <c r="D40"/>
  <c r="D41"/>
  <c r="D47"/>
  <c r="F40"/>
  <c r="F47"/>
  <c r="H47"/>
  <c r="B48"/>
  <c r="D56"/>
  <c r="F56"/>
  <c r="H56"/>
  <c r="B57"/>
  <c r="D65"/>
  <c r="F65"/>
  <c r="H65"/>
  <c r="D67"/>
  <c r="D74"/>
  <c r="F74"/>
  <c r="H74"/>
  <c r="B75"/>
  <c r="D76"/>
  <c r="D77"/>
  <c r="D83"/>
  <c r="F83"/>
  <c r="H83"/>
  <c r="B84"/>
  <c r="D85"/>
  <c r="D86"/>
  <c r="D87"/>
  <c r="D93"/>
  <c r="F93"/>
  <c r="H85"/>
  <c r="H93"/>
  <c r="B94" s="1"/>
  <c r="D96"/>
  <c r="D103"/>
  <c r="F103"/>
  <c r="H96"/>
  <c r="H103"/>
  <c r="B104"/>
  <c r="D105"/>
  <c r="D106"/>
  <c r="D113"/>
  <c r="F113"/>
  <c r="H113"/>
  <c r="B114"/>
  <c r="D115"/>
  <c r="D116"/>
  <c r="D123"/>
  <c r="F123"/>
  <c r="H116"/>
  <c r="H117"/>
  <c r="H119"/>
  <c r="H123"/>
  <c r="D127"/>
  <c r="F127"/>
  <c r="H127"/>
  <c r="B128"/>
  <c r="D131"/>
  <c r="D136"/>
  <c r="F132"/>
  <c r="F136"/>
  <c r="H136"/>
  <c r="B137"/>
  <c r="H66" i="10"/>
  <c r="H75"/>
  <c r="B142" i="8"/>
  <c r="H19" i="6"/>
  <c r="B20"/>
  <c r="H10"/>
  <c r="B11"/>
  <c r="B121"/>
  <c r="H29" i="7"/>
  <c r="B30"/>
  <c r="B113"/>
  <c r="H132" i="10"/>
  <c r="D2"/>
  <c r="D3"/>
  <c r="D12"/>
  <c r="F2"/>
  <c r="F12"/>
  <c r="H12"/>
  <c r="B13"/>
  <c r="D77"/>
  <c r="D78"/>
  <c r="D81"/>
  <c r="D82"/>
  <c r="D87"/>
  <c r="F87"/>
  <c r="H81"/>
  <c r="H87"/>
  <c r="B88"/>
  <c r="D139"/>
  <c r="F139"/>
  <c r="B140"/>
  <c r="H139"/>
  <c r="D144"/>
  <c r="D149"/>
  <c r="F149"/>
  <c r="H149"/>
  <c r="B150"/>
  <c r="D107"/>
  <c r="D108"/>
  <c r="D111"/>
  <c r="F111"/>
  <c r="H107"/>
  <c r="H108"/>
  <c r="H111"/>
  <c r="B112"/>
  <c r="H33" i="9"/>
  <c r="H27" i="10"/>
  <c r="H47" i="5"/>
  <c r="H97" i="10"/>
  <c r="D52"/>
  <c r="H62"/>
  <c r="H61"/>
  <c r="D63"/>
  <c r="D62"/>
  <c r="D61"/>
  <c r="D24"/>
  <c r="D25"/>
  <c r="D23"/>
  <c r="F31"/>
  <c r="D31"/>
  <c r="H31"/>
  <c r="D70"/>
  <c r="D71"/>
  <c r="D51"/>
  <c r="F51"/>
  <c r="F75"/>
  <c r="D75"/>
  <c r="B76" s="1"/>
  <c r="D15"/>
  <c r="F15"/>
  <c r="H14"/>
  <c r="H21"/>
  <c r="D21"/>
  <c r="F21"/>
  <c r="B22"/>
  <c r="K23" i="4"/>
  <c r="K21"/>
  <c r="K20"/>
  <c r="K19"/>
  <c r="K18"/>
  <c r="K7"/>
  <c r="K6"/>
  <c r="K5"/>
  <c r="K4"/>
  <c r="K3"/>
  <c r="K120" i="2"/>
  <c r="K119"/>
  <c r="K118"/>
  <c r="K117"/>
  <c r="K116"/>
  <c r="K115"/>
  <c r="K114"/>
  <c r="K108"/>
  <c r="K107"/>
  <c r="K106"/>
  <c r="K105"/>
  <c r="K104"/>
  <c r="K99"/>
  <c r="K97"/>
  <c r="K96"/>
  <c r="K90"/>
  <c r="K89"/>
  <c r="K85"/>
  <c r="K83"/>
  <c r="K81"/>
  <c r="K80"/>
  <c r="K70"/>
  <c r="K67"/>
  <c r="K68"/>
  <c r="K66"/>
  <c r="K65"/>
  <c r="K59"/>
  <c r="K57"/>
  <c r="K56"/>
  <c r="K54"/>
  <c r="K52"/>
  <c r="K51"/>
  <c r="K50"/>
  <c r="K49"/>
  <c r="K44"/>
  <c r="K42"/>
  <c r="K37"/>
  <c r="K35"/>
  <c r="K33"/>
  <c r="K32"/>
  <c r="K30"/>
  <c r="K26"/>
  <c r="K25"/>
  <c r="K23"/>
  <c r="K20"/>
  <c r="K19"/>
  <c r="K18"/>
  <c r="K15"/>
  <c r="K14"/>
  <c r="K12"/>
  <c r="K8"/>
  <c r="K5"/>
  <c r="K4"/>
  <c r="K3"/>
  <c r="K88" i="1"/>
  <c r="K87"/>
  <c r="K86"/>
  <c r="K85"/>
  <c r="K84"/>
  <c r="K83"/>
  <c r="K82"/>
  <c r="K78"/>
  <c r="K76"/>
  <c r="K75"/>
  <c r="K69"/>
  <c r="K68"/>
  <c r="K64"/>
  <c r="K63"/>
  <c r="K61"/>
  <c r="K58"/>
  <c r="K54"/>
  <c r="K53"/>
  <c r="K48"/>
  <c r="K47"/>
  <c r="K42"/>
  <c r="K40"/>
  <c r="K39"/>
  <c r="K32"/>
  <c r="K33"/>
  <c r="K26"/>
  <c r="K24"/>
  <c r="K16"/>
  <c r="K15"/>
  <c r="K14"/>
  <c r="K9"/>
  <c r="K6"/>
  <c r="K5"/>
  <c r="K4"/>
  <c r="D35" i="10"/>
  <c r="D33"/>
  <c r="H33"/>
  <c r="D34"/>
  <c r="D40"/>
  <c r="H40"/>
  <c r="F40"/>
  <c r="D96"/>
  <c r="D97"/>
  <c r="H101"/>
  <c r="F101"/>
  <c r="D43"/>
  <c r="D42"/>
  <c r="B41"/>
  <c r="D101"/>
  <c r="B102"/>
  <c r="H49"/>
  <c r="F49"/>
  <c r="D49"/>
  <c r="B50"/>
  <c r="D130"/>
  <c r="D89"/>
  <c r="D90"/>
  <c r="F91"/>
  <c r="F89"/>
  <c r="F123"/>
  <c r="D118"/>
  <c r="D94"/>
  <c r="F94"/>
  <c r="H94"/>
  <c r="B95"/>
  <c r="D42" i="7"/>
  <c r="D30" i="8"/>
  <c r="D29"/>
  <c r="H60"/>
  <c r="D58"/>
  <c r="D122"/>
  <c r="H31"/>
  <c r="H63"/>
  <c r="D39" i="9"/>
  <c r="D40"/>
  <c r="H41"/>
  <c r="F39"/>
  <c r="F40"/>
  <c r="D15"/>
  <c r="D16"/>
  <c r="D17"/>
  <c r="D27"/>
  <c r="D26"/>
  <c r="D2"/>
  <c r="F2"/>
  <c r="D131" i="8"/>
  <c r="B132"/>
  <c r="H109"/>
  <c r="D109"/>
  <c r="B110"/>
  <c r="H33"/>
  <c r="D33"/>
  <c r="B34"/>
  <c r="F51" i="9"/>
  <c r="D51"/>
  <c r="H32"/>
  <c r="D32"/>
  <c r="D33"/>
  <c r="F32"/>
  <c r="H43"/>
  <c r="H55"/>
  <c r="H39"/>
  <c r="F49"/>
  <c r="D49"/>
  <c r="H122" i="8"/>
  <c r="H87"/>
  <c r="H48" i="7"/>
  <c r="H70"/>
  <c r="F70"/>
  <c r="D70"/>
  <c r="B71"/>
  <c r="H129" i="8"/>
  <c r="H29"/>
  <c r="H30"/>
  <c r="H27"/>
  <c r="H26"/>
  <c r="H23"/>
  <c r="F23"/>
  <c r="D23"/>
  <c r="D11" i="9"/>
  <c r="D12"/>
  <c r="D23"/>
  <c r="D22"/>
  <c r="D9"/>
  <c r="F9"/>
  <c r="H9"/>
  <c r="D20"/>
  <c r="F20"/>
  <c r="H20"/>
  <c r="B21"/>
  <c r="D37"/>
  <c r="F37"/>
  <c r="H37"/>
  <c r="D30"/>
  <c r="F30"/>
  <c r="H30"/>
  <c r="D57"/>
  <c r="F57"/>
  <c r="H57"/>
  <c r="H36" i="8"/>
  <c r="H41"/>
  <c r="F35"/>
  <c r="F36"/>
  <c r="H111"/>
  <c r="D113"/>
  <c r="D112"/>
  <c r="D111"/>
  <c r="D2"/>
  <c r="D76"/>
  <c r="D75"/>
  <c r="D71"/>
  <c r="D70"/>
  <c r="F78"/>
  <c r="H78"/>
  <c r="D55"/>
  <c r="D56"/>
  <c r="D46"/>
  <c r="D47"/>
  <c r="D65"/>
  <c r="D68"/>
  <c r="H68"/>
  <c r="F68"/>
  <c r="F11"/>
  <c r="H11"/>
  <c r="D11"/>
  <c r="H25"/>
  <c r="D25"/>
  <c r="D26"/>
  <c r="H74" i="6"/>
  <c r="D64" i="7"/>
  <c r="F64"/>
  <c r="H64"/>
  <c r="B65"/>
  <c r="H71" i="6"/>
  <c r="D37" i="7"/>
  <c r="D55"/>
  <c r="H79"/>
  <c r="F79"/>
  <c r="D79"/>
  <c r="H86"/>
  <c r="F86"/>
  <c r="D86"/>
  <c r="D94"/>
  <c r="H102"/>
  <c r="H110"/>
  <c r="F110"/>
  <c r="D110"/>
  <c r="B87"/>
  <c r="H46"/>
  <c r="D46"/>
  <c r="D109" i="6"/>
  <c r="D110"/>
  <c r="D17" i="8"/>
  <c r="F17"/>
  <c r="H17"/>
  <c r="F33"/>
  <c r="D49"/>
  <c r="H49"/>
  <c r="F49"/>
  <c r="D90"/>
  <c r="F90"/>
  <c r="H90"/>
  <c r="F109"/>
  <c r="D99"/>
  <c r="F99"/>
  <c r="H99"/>
  <c r="F131"/>
  <c r="H131"/>
  <c r="D82"/>
  <c r="F82"/>
  <c r="H82"/>
  <c r="B83"/>
  <c r="D135"/>
  <c r="F135"/>
  <c r="H135"/>
  <c r="D139"/>
  <c r="F139"/>
  <c r="H139"/>
  <c r="B140"/>
  <c r="D63"/>
  <c r="F63"/>
  <c r="D41"/>
  <c r="F41"/>
  <c r="D79" i="6"/>
  <c r="D78"/>
  <c r="F94" i="7"/>
  <c r="H94"/>
  <c r="D3"/>
  <c r="D29"/>
  <c r="D10"/>
  <c r="D20"/>
  <c r="F2"/>
  <c r="F29"/>
  <c r="H19"/>
  <c r="F55"/>
  <c r="H55"/>
  <c r="B56"/>
  <c r="D106" i="6"/>
  <c r="D98" i="5"/>
  <c r="D97"/>
  <c r="D108" i="6"/>
  <c r="D97" i="7"/>
  <c r="D96"/>
  <c r="D102"/>
  <c r="H37"/>
  <c r="F37"/>
  <c r="B38"/>
  <c r="F46"/>
  <c r="F102"/>
  <c r="F19" i="6"/>
  <c r="D19"/>
  <c r="D113"/>
  <c r="F113"/>
  <c r="H113"/>
  <c r="B114"/>
  <c r="D118"/>
  <c r="F118"/>
  <c r="H118"/>
  <c r="B119"/>
  <c r="H104"/>
  <c r="F104"/>
  <c r="D104"/>
  <c r="H92"/>
  <c r="F92"/>
  <c r="D92"/>
  <c r="H83"/>
  <c r="F83"/>
  <c r="D83"/>
  <c r="H65"/>
  <c r="F54"/>
  <c r="F65"/>
  <c r="D54"/>
  <c r="D65"/>
  <c r="H51"/>
  <c r="F51"/>
  <c r="D44"/>
  <c r="D45"/>
  <c r="D51"/>
  <c r="H42"/>
  <c r="F42"/>
  <c r="D36"/>
  <c r="D37"/>
  <c r="D38"/>
  <c r="D42"/>
  <c r="H34"/>
  <c r="F34"/>
  <c r="D34"/>
  <c r="H26"/>
  <c r="F26"/>
  <c r="D26"/>
  <c r="F10"/>
  <c r="D3"/>
  <c r="D10"/>
  <c r="B43"/>
  <c r="B35"/>
  <c r="B105"/>
  <c r="B27"/>
  <c r="B52"/>
  <c r="B66"/>
  <c r="B84"/>
  <c r="B93"/>
  <c r="H53" i="5"/>
  <c r="H15"/>
  <c r="H29"/>
  <c r="H14"/>
  <c r="H103"/>
  <c r="H102"/>
  <c r="H82"/>
  <c r="H83"/>
  <c r="H36"/>
  <c r="H35"/>
  <c r="H52"/>
  <c r="H43"/>
  <c r="H42"/>
  <c r="H19"/>
  <c r="H64"/>
  <c r="H65"/>
  <c r="H90"/>
  <c r="H91"/>
  <c r="H109"/>
  <c r="H110"/>
  <c r="H73"/>
  <c r="F50"/>
  <c r="D27"/>
  <c r="D113"/>
  <c r="H49"/>
  <c r="D50"/>
  <c r="D49"/>
  <c r="F5"/>
  <c r="F4"/>
  <c r="F34"/>
  <c r="F77"/>
  <c r="F76"/>
  <c r="F79"/>
  <c r="F32"/>
  <c r="D32"/>
  <c r="H84"/>
  <c r="D84"/>
  <c r="F84"/>
  <c r="D34"/>
  <c r="D37"/>
  <c r="D47"/>
  <c r="H46"/>
  <c r="H54"/>
  <c r="D46"/>
  <c r="D25"/>
  <c r="F25"/>
  <c r="D104" i="4"/>
  <c r="F70" i="5"/>
  <c r="F97"/>
  <c r="F40"/>
  <c r="F39"/>
  <c r="D40"/>
  <c r="D39"/>
  <c r="F95"/>
  <c r="F87"/>
  <c r="F94"/>
  <c r="F86"/>
  <c r="F24"/>
  <c r="F23"/>
  <c r="D24"/>
  <c r="D23"/>
  <c r="D30"/>
  <c r="D88"/>
  <c r="F88"/>
  <c r="F61"/>
  <c r="F60"/>
  <c r="F58"/>
  <c r="D60"/>
  <c r="F106"/>
  <c r="D106"/>
  <c r="F68"/>
  <c r="F74"/>
  <c r="F2"/>
  <c r="D3"/>
  <c r="D2"/>
  <c r="F12"/>
  <c r="F11"/>
  <c r="D11"/>
  <c r="D16"/>
  <c r="H56"/>
  <c r="D56"/>
  <c r="D66"/>
  <c r="D18"/>
  <c r="D99"/>
  <c r="H21"/>
  <c r="F21"/>
  <c r="D21"/>
  <c r="H116"/>
  <c r="F116"/>
  <c r="D116"/>
  <c r="H111"/>
  <c r="F111"/>
  <c r="D111"/>
  <c r="H104"/>
  <c r="F104"/>
  <c r="D104"/>
  <c r="H92"/>
  <c r="D92"/>
  <c r="H74"/>
  <c r="D74"/>
  <c r="H66"/>
  <c r="F66"/>
  <c r="F54"/>
  <c r="D54"/>
  <c r="H44"/>
  <c r="F44"/>
  <c r="F37"/>
  <c r="H37"/>
  <c r="H30"/>
  <c r="F30"/>
  <c r="H16"/>
  <c r="F16"/>
  <c r="H9"/>
  <c r="F9"/>
  <c r="D58" i="4"/>
  <c r="D57"/>
  <c r="D9"/>
  <c r="D8"/>
  <c r="F110"/>
  <c r="F27"/>
  <c r="F83"/>
  <c r="F54"/>
  <c r="F53"/>
  <c r="F113"/>
  <c r="F85"/>
  <c r="F55"/>
  <c r="F23"/>
  <c r="D110"/>
  <c r="H83"/>
  <c r="D83"/>
  <c r="D85"/>
  <c r="D90"/>
  <c r="H90"/>
  <c r="F90"/>
  <c r="D55"/>
  <c r="D113"/>
  <c r="D53"/>
  <c r="H27"/>
  <c r="D27"/>
  <c r="F44"/>
  <c r="F43"/>
  <c r="F33"/>
  <c r="F35"/>
  <c r="F34"/>
  <c r="F22"/>
  <c r="D5"/>
  <c r="D4"/>
  <c r="D102"/>
  <c r="D101"/>
  <c r="D92"/>
  <c r="H20"/>
  <c r="H31"/>
  <c r="D21"/>
  <c r="D20"/>
  <c r="D44"/>
  <c r="D43"/>
  <c r="H43"/>
  <c r="F105"/>
  <c r="F104"/>
  <c r="H108"/>
  <c r="D108"/>
  <c r="D17"/>
  <c r="D16"/>
  <c r="D31"/>
  <c r="F17"/>
  <c r="F16"/>
  <c r="H2"/>
  <c r="D3"/>
  <c r="D2"/>
  <c r="F2"/>
  <c r="F68"/>
  <c r="F67"/>
  <c r="F66"/>
  <c r="H6"/>
  <c r="H14"/>
  <c r="D7"/>
  <c r="D6"/>
  <c r="D48"/>
  <c r="D47"/>
  <c r="D64"/>
  <c r="D63"/>
  <c r="F64"/>
  <c r="F63"/>
  <c r="D37"/>
  <c r="F37"/>
  <c r="F74"/>
  <c r="F75"/>
  <c r="F81"/>
  <c r="H117"/>
  <c r="F117"/>
  <c r="D117"/>
  <c r="H99"/>
  <c r="F99"/>
  <c r="D99"/>
  <c r="H81"/>
  <c r="D81"/>
  <c r="H72"/>
  <c r="H61"/>
  <c r="F61"/>
  <c r="D61"/>
  <c r="H41"/>
  <c r="F41"/>
  <c r="D41"/>
  <c r="D51"/>
  <c r="H51"/>
  <c r="F51"/>
  <c r="F31"/>
  <c r="F14"/>
  <c r="D108" i="2"/>
  <c r="F106"/>
  <c r="D106"/>
  <c r="D10"/>
  <c r="D6"/>
  <c r="H9"/>
  <c r="D44" i="5"/>
  <c r="B38"/>
  <c r="B22"/>
  <c r="D9"/>
  <c r="B10"/>
  <c r="B85"/>
  <c r="D14" i="4"/>
  <c r="F92" i="5"/>
  <c r="B93"/>
  <c r="B67"/>
  <c r="B117"/>
  <c r="B55"/>
  <c r="B105"/>
  <c r="B112"/>
  <c r="B17"/>
  <c r="B45"/>
  <c r="B75"/>
  <c r="B31"/>
  <c r="B91" i="4"/>
  <c r="D72"/>
  <c r="F108"/>
  <c r="B109"/>
  <c r="F72"/>
  <c r="B73"/>
  <c r="B32"/>
  <c r="B118"/>
  <c r="B100"/>
  <c r="B42"/>
  <c r="B15"/>
  <c r="B52"/>
  <c r="B62"/>
  <c r="B82"/>
  <c r="H22" i="2"/>
  <c r="H46"/>
  <c r="H37"/>
  <c r="H43" i="1"/>
  <c r="H76" i="2"/>
  <c r="H100"/>
  <c r="H10" i="1"/>
  <c r="H86" i="2"/>
  <c r="D52"/>
  <c r="F52"/>
  <c r="D60"/>
  <c r="D59"/>
  <c r="F34"/>
  <c r="F50"/>
  <c r="F49"/>
  <c r="D50"/>
  <c r="D49"/>
  <c r="D57"/>
  <c r="D56"/>
  <c r="H54"/>
  <c r="H62"/>
  <c r="F62"/>
  <c r="H23"/>
  <c r="D23"/>
  <c r="F71"/>
  <c r="F67"/>
  <c r="F68"/>
  <c r="F97"/>
  <c r="F3"/>
  <c r="F2"/>
  <c r="F10"/>
  <c r="D3"/>
  <c r="H2"/>
  <c r="H10"/>
  <c r="H3"/>
  <c r="D4"/>
  <c r="D2"/>
  <c r="D97"/>
  <c r="B119" i="5"/>
  <c r="B120" i="4"/>
  <c r="B11" i="2"/>
  <c r="F54"/>
  <c r="D54"/>
  <c r="D62"/>
  <c r="B63"/>
  <c r="D74"/>
  <c r="D72"/>
  <c r="D73"/>
  <c r="D96"/>
  <c r="D95"/>
  <c r="F95"/>
  <c r="F72"/>
  <c r="F81"/>
  <c r="D80"/>
  <c r="D79"/>
  <c r="F80"/>
  <c r="F79"/>
  <c r="F32"/>
  <c r="F31"/>
  <c r="H31"/>
  <c r="D32"/>
  <c r="D31"/>
  <c r="F92"/>
  <c r="F91"/>
  <c r="F19"/>
  <c r="H91"/>
  <c r="H93"/>
  <c r="D91"/>
  <c r="F89"/>
  <c r="F93"/>
  <c r="F17"/>
  <c r="F23"/>
  <c r="D89"/>
  <c r="D65"/>
  <c r="D64"/>
  <c r="F65"/>
  <c r="F64"/>
  <c r="F42"/>
  <c r="F43"/>
  <c r="F40"/>
  <c r="D13"/>
  <c r="D12"/>
  <c r="F83"/>
  <c r="F82"/>
  <c r="F44"/>
  <c r="D43"/>
  <c r="D104"/>
  <c r="D103"/>
  <c r="F105"/>
  <c r="F104"/>
  <c r="F25"/>
  <c r="F29"/>
  <c r="H29"/>
  <c r="D25"/>
  <c r="D29"/>
  <c r="H111"/>
  <c r="H101"/>
  <c r="F101"/>
  <c r="H87"/>
  <c r="D87"/>
  <c r="H77"/>
  <c r="F47"/>
  <c r="H47"/>
  <c r="F38"/>
  <c r="H38"/>
  <c r="D38"/>
  <c r="H15"/>
  <c r="F15"/>
  <c r="H79" i="1"/>
  <c r="H73"/>
  <c r="H51"/>
  <c r="F51"/>
  <c r="F77" i="2"/>
  <c r="B55"/>
  <c r="D15"/>
  <c r="F111"/>
  <c r="D111"/>
  <c r="D93"/>
  <c r="B94"/>
  <c r="B30"/>
  <c r="B24"/>
  <c r="D47"/>
  <c r="B48"/>
  <c r="D77"/>
  <c r="F87"/>
  <c r="B88"/>
  <c r="D101"/>
  <c r="B102"/>
  <c r="B16"/>
  <c r="B39"/>
  <c r="H27" i="1"/>
  <c r="H28"/>
  <c r="D40"/>
  <c r="D42"/>
  <c r="H40"/>
  <c r="H44"/>
  <c r="H32"/>
  <c r="H36"/>
  <c r="H16"/>
  <c r="H20"/>
  <c r="D32"/>
  <c r="D36"/>
  <c r="D24"/>
  <c r="D25"/>
  <c r="D17"/>
  <c r="D16"/>
  <c r="B78" i="2"/>
  <c r="B112"/>
  <c r="D28" i="1"/>
  <c r="D47"/>
  <c r="D46"/>
  <c r="F67"/>
  <c r="F69"/>
  <c r="F56"/>
  <c r="F57"/>
  <c r="H55"/>
  <c r="H58"/>
  <c r="D55"/>
  <c r="D58"/>
  <c r="D69"/>
  <c r="D73"/>
  <c r="B114" i="2"/>
  <c r="D51" i="1"/>
  <c r="F73"/>
  <c r="F58"/>
  <c r="F7"/>
  <c r="F11"/>
  <c r="D7"/>
  <c r="H7"/>
  <c r="H11"/>
  <c r="D2"/>
  <c r="D3"/>
  <c r="D39"/>
  <c r="D38"/>
  <c r="F77"/>
  <c r="F79"/>
  <c r="D75"/>
  <c r="D79"/>
  <c r="F44"/>
  <c r="D61"/>
  <c r="D60"/>
  <c r="F61"/>
  <c r="D13"/>
  <c r="D20"/>
  <c r="F14"/>
  <c r="F13"/>
  <c r="D6"/>
  <c r="D5"/>
  <c r="D4"/>
  <c r="F20"/>
  <c r="D44"/>
  <c r="B45"/>
  <c r="D11"/>
  <c r="B80"/>
  <c r="H65"/>
  <c r="F65"/>
  <c r="D65"/>
  <c r="F36"/>
  <c r="F28"/>
  <c r="B59"/>
  <c r="B29"/>
  <c r="B74"/>
  <c r="B66"/>
  <c r="B52"/>
  <c r="B37"/>
  <c r="B21"/>
  <c r="B12"/>
  <c r="B82"/>
  <c r="B31" i="9"/>
  <c r="B10"/>
  <c r="B50" i="8"/>
  <c r="B12"/>
  <c r="B64"/>
  <c r="B100"/>
  <c r="B69"/>
  <c r="B42"/>
  <c r="B91"/>
  <c r="B18"/>
  <c r="D78"/>
  <c r="B79"/>
  <c r="B24"/>
  <c r="B136"/>
  <c r="B58" i="9"/>
  <c r="B38"/>
  <c r="H49"/>
  <c r="B50" s="1"/>
  <c r="B60" s="1"/>
  <c r="B47" i="7"/>
  <c r="B95"/>
  <c r="B111"/>
  <c r="B80"/>
  <c r="B103"/>
  <c r="B109" i="13"/>
  <c r="B35"/>
  <c r="B128"/>
  <c r="B96"/>
  <c r="B59"/>
  <c r="B124" i="11" l="1"/>
  <c r="B66"/>
  <c r="B32" i="10"/>
  <c r="B152" s="1"/>
  <c r="B108" i="12"/>
  <c r="B119" i="13"/>
  <c r="B154" s="1"/>
  <c r="B152"/>
  <c r="B110" i="12"/>
  <c r="B139" i="11" l="1"/>
</calcChain>
</file>

<file path=xl/sharedStrings.xml><?xml version="1.0" encoding="utf-8"?>
<sst xmlns="http://schemas.openxmlformats.org/spreadsheetml/2006/main" count="2718" uniqueCount="498">
  <si>
    <t>TRASFERTA</t>
  </si>
  <si>
    <t>DIPENDENTE</t>
  </si>
  <si>
    <t>GG TRASFERTA</t>
  </si>
  <si>
    <t>PRENOTAZIONI/PAGAMENTI ANTICIPATI (alberghi, meeting room ecc)</t>
  </si>
  <si>
    <t>TOT. PARZIALE</t>
  </si>
  <si>
    <t xml:space="preserve">TOT. COMPLESSIVO </t>
  </si>
  <si>
    <t>SPESE X VIAGGIO (autostrada/auto/treno ecc)</t>
  </si>
  <si>
    <t>SPESE VARIE in trasferta (pranzi, taxi ecc)</t>
  </si>
  <si>
    <t>PAG. ANTICIPATO</t>
  </si>
  <si>
    <t>ESQUIRE</t>
  </si>
  <si>
    <t>TOTALE  MESE</t>
  </si>
  <si>
    <t>Milan</t>
  </si>
  <si>
    <t>11-18/01/13</t>
  </si>
  <si>
    <t>Russo</t>
  </si>
  <si>
    <t>Vincenzetti</t>
  </si>
  <si>
    <t>15-19/01/13</t>
  </si>
  <si>
    <t>Annapolis (USA)</t>
  </si>
  <si>
    <t>Washington (USA)</t>
  </si>
  <si>
    <t>Catino</t>
  </si>
  <si>
    <t>19-21/01/13</t>
  </si>
  <si>
    <t>Los Angeles (USA)</t>
  </si>
  <si>
    <t>Velasco</t>
  </si>
  <si>
    <t>23-26/01/13</t>
  </si>
  <si>
    <t>Bogotà (Colombia)</t>
  </si>
  <si>
    <t>21-23/01/13</t>
  </si>
  <si>
    <t>Kuala Lumpur (Malaysia)</t>
  </si>
  <si>
    <t>Woon</t>
  </si>
  <si>
    <t>Maglietta</t>
  </si>
  <si>
    <t>Bangkok (Thailandia)</t>
  </si>
  <si>
    <t>Roma (Italia)</t>
  </si>
  <si>
    <t>Bettini</t>
  </si>
  <si>
    <t>Valleri</t>
  </si>
  <si>
    <t>Pelliccione</t>
  </si>
  <si>
    <t>28-30/01/13</t>
  </si>
  <si>
    <t>Colazioni+Pranzi+Cene</t>
  </si>
  <si>
    <t>Varie</t>
  </si>
  <si>
    <t>Extra hotel</t>
  </si>
  <si>
    <t>Taxi</t>
  </si>
  <si>
    <t>Colazione</t>
  </si>
  <si>
    <t>Colazioni</t>
  </si>
  <si>
    <t>HW</t>
  </si>
  <si>
    <t>Rimborso KM</t>
  </si>
  <si>
    <t>Marca bollo+Tasse passaporto</t>
  </si>
  <si>
    <t>Taxi+Treno</t>
  </si>
  <si>
    <t>Parcheggio</t>
  </si>
  <si>
    <t>Metro</t>
  </si>
  <si>
    <t>Pranzi</t>
  </si>
  <si>
    <t>Ornaghi</t>
  </si>
  <si>
    <t>28-31/01/13</t>
  </si>
  <si>
    <t>New York (USA)</t>
  </si>
  <si>
    <t>Rimborso KM+Parcheggio</t>
  </si>
  <si>
    <t>Pranzo</t>
  </si>
  <si>
    <t>Pranzi+Cene</t>
  </si>
  <si>
    <t>Cena</t>
  </si>
  <si>
    <t>Hotel</t>
  </si>
  <si>
    <t>Biglietto aereo</t>
  </si>
  <si>
    <t>Cyber Security</t>
  </si>
  <si>
    <t>Taxi+Treni</t>
  </si>
  <si>
    <t>Cene</t>
  </si>
  <si>
    <t>Parcheggio+Benzina</t>
  </si>
  <si>
    <t>Noleggio auto</t>
  </si>
  <si>
    <t>Benzina</t>
  </si>
  <si>
    <t>CC Bedeschi</t>
  </si>
  <si>
    <t>Hotel - CC Bedeschi</t>
  </si>
  <si>
    <t>Extra Hotel</t>
  </si>
  <si>
    <t>Voli</t>
  </si>
  <si>
    <t>Hotel+Meeting room</t>
  </si>
  <si>
    <t>Volo Catino</t>
  </si>
  <si>
    <t>Biglietti FS</t>
  </si>
  <si>
    <t>Biglietti Italo</t>
  </si>
  <si>
    <t>Volo - CC Bedeschi</t>
  </si>
  <si>
    <t>de Giovanni</t>
  </si>
  <si>
    <t>Landi</t>
  </si>
  <si>
    <t>03-09/02/13</t>
  </si>
  <si>
    <t>04-07/02/13</t>
  </si>
  <si>
    <t xml:space="preserve"> Queretaro (Messico)</t>
  </si>
  <si>
    <t>Jakarta (Indonesia)</t>
  </si>
  <si>
    <t>05-11/02/13</t>
  </si>
  <si>
    <t>05-07/02/13</t>
  </si>
  <si>
    <t>Hotel - BB anticipato</t>
  </si>
  <si>
    <t>Busatto</t>
  </si>
  <si>
    <t>Abu Dhabi (Emirati Arabi)</t>
  </si>
  <si>
    <t>13-22/02/13</t>
  </si>
  <si>
    <t>Vilnius (Lituania)</t>
  </si>
  <si>
    <t>Luppi</t>
  </si>
  <si>
    <t>06-08/02/13</t>
  </si>
  <si>
    <t>Scarafile</t>
  </si>
  <si>
    <t>Rabat (Marocco)</t>
  </si>
  <si>
    <t>Hotel pagato dal cliente</t>
  </si>
  <si>
    <t>Maanna</t>
  </si>
  <si>
    <t>17-22/02/13</t>
  </si>
  <si>
    <t>14-22/02/13</t>
  </si>
  <si>
    <t>Hotel - CC Russo DB (unico pagamento con trasferta Bettini/de Giovanni/Maanna)</t>
  </si>
  <si>
    <t>Hotel - CC Russo DB (incluso soggiorno Busatto)</t>
  </si>
  <si>
    <t>Atene (Grecia)</t>
  </si>
  <si>
    <t>19-21/02/13</t>
  </si>
  <si>
    <t>Doha (Qatar)</t>
  </si>
  <si>
    <t>25-27/02/13</t>
  </si>
  <si>
    <t>Rabe</t>
  </si>
  <si>
    <t>San Francisco (USA)</t>
  </si>
  <si>
    <t>26/02-01/03/13</t>
  </si>
  <si>
    <t>27/02-01/03/13</t>
  </si>
  <si>
    <t>Taxi+Metro+Malpensa Express</t>
  </si>
  <si>
    <t>Marca passaporto</t>
  </si>
  <si>
    <t>Taxi+Malpensa Express</t>
  </si>
  <si>
    <t>Pranzo+Cena</t>
  </si>
  <si>
    <t>Transfer</t>
  </si>
  <si>
    <t>Autostrada</t>
  </si>
  <si>
    <t>Aperitivo</t>
  </si>
  <si>
    <t>03-06/02/13</t>
  </si>
  <si>
    <t>Amsterdam (Olanda)</t>
  </si>
  <si>
    <t>Cornelli</t>
  </si>
  <si>
    <t>Metro+Treno</t>
  </si>
  <si>
    <t xml:space="preserve">Hotel </t>
  </si>
  <si>
    <t>Pasti</t>
  </si>
  <si>
    <t>Parcheggio+Autostrada+Bus</t>
  </si>
  <si>
    <t>Pasto</t>
  </si>
  <si>
    <t>Visti</t>
  </si>
  <si>
    <t>Bangkok (Tailandia)</t>
  </si>
  <si>
    <t>Hotel x 2</t>
  </si>
  <si>
    <t>Parcheggio+Autostrada</t>
  </si>
  <si>
    <t>Booth: Internet+Counter</t>
  </si>
  <si>
    <t>Hardware+Varie</t>
  </si>
  <si>
    <t>Securebag</t>
  </si>
  <si>
    <t>19-23/02/13</t>
  </si>
  <si>
    <t>Città del Messico (Messico)</t>
  </si>
  <si>
    <t>24/02-09/03/13</t>
  </si>
  <si>
    <t>17-19/02/13 +</t>
  </si>
  <si>
    <t>Volo de Giovanni+Landi</t>
  </si>
  <si>
    <t>Volo Pelliccione</t>
  </si>
  <si>
    <t>Volo x 2</t>
  </si>
  <si>
    <t>Volo</t>
  </si>
  <si>
    <t>Volo x 3 (+ Milan)</t>
  </si>
  <si>
    <t>Volo x 2 (CC Bedeschi)</t>
  </si>
  <si>
    <t>Taxi+Bus</t>
  </si>
  <si>
    <t>Colazione+Cena</t>
  </si>
  <si>
    <t>Noleggio auto+benzina</t>
  </si>
  <si>
    <t>01-09/03/13</t>
  </si>
  <si>
    <t>03-07/03/13</t>
  </si>
  <si>
    <t>03-06/03/13</t>
  </si>
  <si>
    <t>ESQUIRE/CWTL</t>
  </si>
  <si>
    <t>12-14/03/13</t>
  </si>
  <si>
    <t>ISS Dubai (UAE)</t>
  </si>
  <si>
    <t>HOSDB Farnborough (UK)</t>
  </si>
  <si>
    <t>05-08/03/13</t>
  </si>
  <si>
    <t>Tblisi (Georgia)</t>
  </si>
  <si>
    <t>11-15/03/13</t>
  </si>
  <si>
    <t>07-16/03/13</t>
  </si>
  <si>
    <t>Cyber Intelligence Asia (KL)</t>
  </si>
  <si>
    <t>Baku (Azerbaijan)</t>
  </si>
  <si>
    <t>09-15/03/13</t>
  </si>
  <si>
    <t>10-14/03/13</t>
  </si>
  <si>
    <t>Riyad (Arabia Saudita )</t>
  </si>
  <si>
    <t>18-22/03/13</t>
  </si>
  <si>
    <t>Singapore-Seoul (Korea)</t>
  </si>
  <si>
    <t>25-31/03/13</t>
  </si>
  <si>
    <t>25-29/03/13</t>
  </si>
  <si>
    <t>Taxi+Metro+Treno</t>
  </si>
  <si>
    <t>Visto</t>
  </si>
  <si>
    <t>Treno</t>
  </si>
  <si>
    <t>23/03-03/04/13</t>
  </si>
  <si>
    <t>Iannelli</t>
  </si>
  <si>
    <r>
      <t>Il Cairo-Karthoum (</t>
    </r>
    <r>
      <rPr>
        <sz val="11"/>
        <color rgb="FF0070C0"/>
        <rFont val="Calibri"/>
        <family val="2"/>
        <scheme val="minor"/>
      </rPr>
      <t>Egitto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Sudan</t>
    </r>
    <r>
      <rPr>
        <sz val="11"/>
        <color theme="1"/>
        <rFont val="Calibri"/>
        <family val="2"/>
        <scheme val="minor"/>
      </rPr>
      <t>)</t>
    </r>
  </si>
  <si>
    <r>
      <t>Washington-Fort Loderdale-Miami-Caracas (</t>
    </r>
    <r>
      <rPr>
        <sz val="11"/>
        <color rgb="FF0070C0"/>
        <rFont val="Calibri"/>
        <family val="2"/>
        <scheme val="minor"/>
      </rPr>
      <t>USA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Venezuela</t>
    </r>
    <r>
      <rPr>
        <sz val="11"/>
        <color theme="1"/>
        <rFont val="Calibri"/>
        <family val="2"/>
        <scheme val="minor"/>
      </rPr>
      <t>)</t>
    </r>
  </si>
  <si>
    <t xml:space="preserve">Varie </t>
  </si>
  <si>
    <t>17-19/03/13</t>
  </si>
  <si>
    <t xml:space="preserve">Spedizione Nomadic Taxi + Extra bagaglio </t>
  </si>
  <si>
    <t>Volo ritorno</t>
  </si>
  <si>
    <t>02-04/04/13</t>
  </si>
  <si>
    <t>GSA (Singapore)</t>
  </si>
  <si>
    <t>06-09/04/13</t>
  </si>
  <si>
    <t>Rijadh (Arabia Saudita)</t>
  </si>
  <si>
    <t>09-12/04/13</t>
  </si>
  <si>
    <t>08-13/04/13</t>
  </si>
  <si>
    <t>08-12/04/13</t>
  </si>
  <si>
    <t>IALEIA (Chicago)</t>
  </si>
  <si>
    <t>Ulaambataar (Mongolia)</t>
  </si>
  <si>
    <t>08-11/04/13</t>
  </si>
  <si>
    <t>14-18/04/13</t>
  </si>
  <si>
    <t>14-19/04/13</t>
  </si>
  <si>
    <t>Cancun - Monterrey - Mexico City</t>
  </si>
  <si>
    <t>Il Cairo (Egitto)</t>
  </si>
  <si>
    <t>15-17/04/13</t>
  </si>
  <si>
    <t>15-16/04/13</t>
  </si>
  <si>
    <t>Kiev (Ucraina)</t>
  </si>
  <si>
    <t>Tel Aviv (Israele)</t>
  </si>
  <si>
    <t>16-18/04/13</t>
  </si>
  <si>
    <t>Londra (Counter Terror)</t>
  </si>
  <si>
    <t>23-25/04/13</t>
  </si>
  <si>
    <t>Madrid (Spagna)</t>
  </si>
  <si>
    <t>29-30/04/13</t>
  </si>
  <si>
    <t>Matia Spring (USA)</t>
  </si>
  <si>
    <t>30/04-02/05/13</t>
  </si>
  <si>
    <t>3 Taxi</t>
  </si>
  <si>
    <t>2 Taxi</t>
  </si>
  <si>
    <t>10 Taxi</t>
  </si>
  <si>
    <t>4 Pranzi/Cene</t>
  </si>
  <si>
    <t>Autostrada+Parcheggio+Rimborso KM</t>
  </si>
  <si>
    <t>Cene/Pranzi+Extra vari</t>
  </si>
  <si>
    <t>5 Taxi</t>
  </si>
  <si>
    <t>Pranzi/Cene+Colazione</t>
  </si>
  <si>
    <t>Secure Bag</t>
  </si>
  <si>
    <t xml:space="preserve">Visto </t>
  </si>
  <si>
    <t>Extra vari</t>
  </si>
  <si>
    <t>Extra Bagaglio</t>
  </si>
  <si>
    <t>2 Taxi + Malpensa Express</t>
  </si>
  <si>
    <t>7 Taxi</t>
  </si>
  <si>
    <t>Pranzi/Cene</t>
  </si>
  <si>
    <t>Parcheggio+Rimborso KM</t>
  </si>
  <si>
    <t>Parcheggio+Autostrada+Rimborso KM</t>
  </si>
  <si>
    <t>4 Taxi</t>
  </si>
  <si>
    <t>Visto+Trasferta Roma</t>
  </si>
  <si>
    <t>11 Taxi</t>
  </si>
  <si>
    <t>Taxi+Parcheggio</t>
  </si>
  <si>
    <t>8 Taxi</t>
  </si>
  <si>
    <t>Costo partecipazione fiera</t>
  </si>
  <si>
    <t>6 Taxi</t>
  </si>
  <si>
    <t>Extra bagaglio</t>
  </si>
  <si>
    <t>Hotel (1 notte) + Extra Hotel</t>
  </si>
  <si>
    <t>CWTL</t>
  </si>
  <si>
    <t>HOTEL</t>
  </si>
  <si>
    <t xml:space="preserve">   </t>
  </si>
  <si>
    <t>New Delhi (India)</t>
  </si>
  <si>
    <t>Compresa trasferta Roma</t>
  </si>
  <si>
    <t>Compresa sala meeting</t>
  </si>
  <si>
    <t>Compreso volo MXP-CAIRO-LONDRA</t>
  </si>
  <si>
    <t>Volo MXP-RIJADH-ABU DHABI</t>
  </si>
  <si>
    <t>Follow-up cliente</t>
  </si>
  <si>
    <t>Abu Dhabi - Emirati Arabi</t>
  </si>
  <si>
    <t>ARMY SPONSORED FT. BELVOIR EXPO</t>
  </si>
  <si>
    <t>USA</t>
  </si>
  <si>
    <t>15-16/05/2013</t>
  </si>
  <si>
    <t xml:space="preserve">CYBER DEFENSE SYMPOSIUM </t>
  </si>
  <si>
    <t>Sestri Levante</t>
  </si>
  <si>
    <t>CWT</t>
  </si>
  <si>
    <t>Grand Hotel Villa Balbi</t>
  </si>
  <si>
    <t>17-29/05/2013</t>
  </si>
  <si>
    <t>Delivery</t>
  </si>
  <si>
    <t>Rijadh - Arabia Saudita</t>
  </si>
  <si>
    <t>De Giovanni</t>
  </si>
  <si>
    <t>Holiday Inn Olaya</t>
  </si>
  <si>
    <t>Bogota - Venezuela</t>
  </si>
  <si>
    <t>Bagnasco</t>
  </si>
  <si>
    <t>22-25/05/2013</t>
  </si>
  <si>
    <t>19-22/05 2013</t>
  </si>
  <si>
    <t>Prevendita</t>
  </si>
  <si>
    <t>Città del Messico</t>
  </si>
  <si>
    <t>22/05 - 01/06/2013</t>
  </si>
  <si>
    <t>26/05 - 01/06/2013</t>
  </si>
  <si>
    <t>21-25/05/2013</t>
  </si>
  <si>
    <t>20-22/05/2013</t>
  </si>
  <si>
    <t>21-24/05/2013</t>
  </si>
  <si>
    <t>Demo</t>
  </si>
  <si>
    <t>Dubai</t>
  </si>
  <si>
    <t>Ulaambataar - Mongolia</t>
  </si>
  <si>
    <t>The Blue Sky</t>
  </si>
  <si>
    <t>06 -11/05/2013</t>
  </si>
  <si>
    <t>Extra Vari</t>
  </si>
  <si>
    <t>Autobus Malpensa</t>
  </si>
  <si>
    <t>203+33,99</t>
  </si>
  <si>
    <t>Hotel + Extra</t>
  </si>
  <si>
    <t>Parcheggio/Benzina</t>
  </si>
  <si>
    <t>Bus</t>
  </si>
  <si>
    <t>Parcheggio/Auto</t>
  </si>
  <si>
    <t>Autobus</t>
  </si>
  <si>
    <t>15-28/05/2013</t>
  </si>
  <si>
    <t>AZNS - Delivery</t>
  </si>
  <si>
    <t>Azerbaijan</t>
  </si>
  <si>
    <t>Autostrada/Benzina/Parcheggio</t>
  </si>
  <si>
    <t>07 -10/05/2013</t>
  </si>
  <si>
    <t>Singapore</t>
  </si>
  <si>
    <t>04-07/06/2013</t>
  </si>
  <si>
    <t>ISS Praga</t>
  </si>
  <si>
    <t xml:space="preserve">Luppi </t>
  </si>
  <si>
    <t xml:space="preserve">Valleri </t>
  </si>
  <si>
    <t>17-20/06/2013</t>
  </si>
  <si>
    <t>Il Cairo</t>
  </si>
  <si>
    <t>Praga</t>
  </si>
  <si>
    <t>17-21/06/2013</t>
  </si>
  <si>
    <t>21-26/06/2013</t>
  </si>
  <si>
    <t>Supporto c/o cliente</t>
  </si>
  <si>
    <t>27-28/06/2013</t>
  </si>
  <si>
    <t xml:space="preserve">Meeting </t>
  </si>
  <si>
    <t>Madrid</t>
  </si>
  <si>
    <t>Registration cost</t>
  </si>
  <si>
    <t>23-25/05/2013</t>
  </si>
  <si>
    <t xml:space="preserve">Autostrada </t>
  </si>
  <si>
    <t>10-11/06/2013</t>
  </si>
  <si>
    <t>NICE -TNI</t>
  </si>
  <si>
    <t>Israele</t>
  </si>
  <si>
    <t>18-20/06/2013</t>
  </si>
  <si>
    <t>Washington</t>
  </si>
  <si>
    <t>Meeting</t>
  </si>
  <si>
    <t>24-05 / 01-06/2013</t>
  </si>
  <si>
    <t xml:space="preserve">Delivery </t>
  </si>
  <si>
    <t>Arabia Saudita</t>
  </si>
  <si>
    <t>Messico</t>
  </si>
  <si>
    <t>07-11/06/2013</t>
  </si>
  <si>
    <t>Thailand Project DOC</t>
  </si>
  <si>
    <t>Thailandia</t>
  </si>
  <si>
    <t xml:space="preserve">Volo </t>
  </si>
  <si>
    <t>Lyon</t>
  </si>
  <si>
    <t>31-05 / 08-06/2013</t>
  </si>
  <si>
    <t>11-12/06/2013</t>
  </si>
  <si>
    <t>Meeting e demo</t>
  </si>
  <si>
    <t>Londra</t>
  </si>
  <si>
    <t xml:space="preserve">Hotel  </t>
  </si>
  <si>
    <t>26-05/06-06/2013</t>
  </si>
  <si>
    <t>28-05/30-05/2013</t>
  </si>
  <si>
    <t>06-14/07/2013</t>
  </si>
  <si>
    <t>Pre-sales</t>
  </si>
  <si>
    <t>Canada</t>
  </si>
  <si>
    <t>Abu Dhabi</t>
  </si>
  <si>
    <t>Technology Against Crime</t>
  </si>
  <si>
    <t>08-12/07/2013</t>
  </si>
  <si>
    <t>08-09/07/2013</t>
  </si>
  <si>
    <t>15-18/07/2013</t>
  </si>
  <si>
    <t>Natia</t>
  </si>
  <si>
    <t>Memphis</t>
  </si>
  <si>
    <t>18-21/07/2013</t>
  </si>
  <si>
    <t>Miami</t>
  </si>
  <si>
    <t>18-20/07/2013</t>
  </si>
  <si>
    <t>Mexico City</t>
  </si>
  <si>
    <t>20-23/07/2013</t>
  </si>
  <si>
    <t>Lima - Peru</t>
  </si>
  <si>
    <t>22-25/07/2013</t>
  </si>
  <si>
    <t>ISS Brasilia</t>
  </si>
  <si>
    <t>Brasile</t>
  </si>
  <si>
    <t>01-03/07/2013</t>
  </si>
  <si>
    <t>Cipro</t>
  </si>
  <si>
    <t>Muscat - Oman</t>
  </si>
  <si>
    <t>15-17/07/2013</t>
  </si>
  <si>
    <t>Extra Hotel Bettini - Ornaghi - Velasco</t>
  </si>
  <si>
    <t>Hotel Bettini + Luppi</t>
  </si>
  <si>
    <t>25-31/08/2013</t>
  </si>
  <si>
    <t>14-16/08/2013</t>
  </si>
  <si>
    <t>Hong Kong</t>
  </si>
  <si>
    <t>26-31/08/2013</t>
  </si>
  <si>
    <t>Colombia</t>
  </si>
  <si>
    <t xml:space="preserve">Scarafile </t>
  </si>
  <si>
    <t>27-28/08/2013</t>
  </si>
  <si>
    <t>Francia</t>
  </si>
  <si>
    <t>Germani</t>
  </si>
  <si>
    <t>28/07 - 03/08/2013</t>
  </si>
  <si>
    <t>Extra</t>
  </si>
  <si>
    <t>26/08 - 06/09/2013</t>
  </si>
  <si>
    <t>Messico - USA</t>
  </si>
  <si>
    <t>05-08/08/2013</t>
  </si>
  <si>
    <t>Honduras</t>
  </si>
  <si>
    <t>Albergo</t>
  </si>
  <si>
    <t>Pranzo/Cena</t>
  </si>
  <si>
    <t>Iscrizione</t>
  </si>
  <si>
    <t>17-20/09/2013</t>
  </si>
  <si>
    <t>THDOC Acceptance</t>
  </si>
  <si>
    <t>25-26/09/2013</t>
  </si>
  <si>
    <t>Demo Shangai</t>
  </si>
  <si>
    <t>Cina</t>
  </si>
  <si>
    <t>24-28/09/2013</t>
  </si>
  <si>
    <t>ISS</t>
  </si>
  <si>
    <t>21-27/09/2013</t>
  </si>
  <si>
    <t>TCC Delivery</t>
  </si>
  <si>
    <t>23-25/09/2013</t>
  </si>
  <si>
    <t>Moldavia - Slovenia</t>
  </si>
  <si>
    <t>04-06/09/2013</t>
  </si>
  <si>
    <t>Marocco</t>
  </si>
  <si>
    <t>13-17/09/2013</t>
  </si>
  <si>
    <t>Follow-up</t>
  </si>
  <si>
    <t>22-26/09/2013</t>
  </si>
  <si>
    <t>Emirati Arabi</t>
  </si>
  <si>
    <t>08-10/09/2013</t>
  </si>
  <si>
    <t>Vietnam</t>
  </si>
  <si>
    <t>T</t>
  </si>
  <si>
    <t>V</t>
  </si>
  <si>
    <t>CB</t>
  </si>
  <si>
    <t>TB</t>
  </si>
  <si>
    <t>EH</t>
  </si>
  <si>
    <t>EV</t>
  </si>
  <si>
    <t>TOTALE</t>
  </si>
  <si>
    <t>totale</t>
  </si>
  <si>
    <t>07-13/09/2013</t>
  </si>
  <si>
    <t>14-23/09/2013</t>
  </si>
  <si>
    <t>14-20/09/2013</t>
  </si>
  <si>
    <t>Pranzi/cene</t>
  </si>
  <si>
    <t>29/09 - 12/10/2013</t>
  </si>
  <si>
    <t>Ecuador</t>
  </si>
  <si>
    <t>HTCIA</t>
  </si>
  <si>
    <t>07-14/09/2013</t>
  </si>
  <si>
    <t>Hotel Quito</t>
  </si>
  <si>
    <t>15/09 - 12/10/2013</t>
  </si>
  <si>
    <t>Hotel Medellin</t>
  </si>
  <si>
    <t>Hotel Sofitel</t>
  </si>
  <si>
    <t>Hotel Morrison</t>
  </si>
  <si>
    <t>Hotel Morrison (sbagliato)</t>
  </si>
  <si>
    <t>Volo Bogotà</t>
  </si>
  <si>
    <t>Hotel Bogotà</t>
  </si>
  <si>
    <t>Hotel Las Vegas</t>
  </si>
  <si>
    <t>22-25/10/2013</t>
  </si>
  <si>
    <t>06-08/10/2013</t>
  </si>
  <si>
    <t>Pre-Sales</t>
  </si>
  <si>
    <t>Bahrain</t>
  </si>
  <si>
    <t>Saudi Arabia</t>
  </si>
  <si>
    <t>Visto Ingresso</t>
  </si>
  <si>
    <t>Vaccinazioni</t>
  </si>
  <si>
    <t>08-10/10/2013</t>
  </si>
  <si>
    <t>Zurigo</t>
  </si>
  <si>
    <t>Shehata</t>
  </si>
  <si>
    <t>Guatemala</t>
  </si>
  <si>
    <t>24/10 - 01/11/2013</t>
  </si>
  <si>
    <t>Cile</t>
  </si>
  <si>
    <t>SIM Card</t>
  </si>
  <si>
    <t>20-24/10/2013</t>
  </si>
  <si>
    <t>Interpol</t>
  </si>
  <si>
    <t>Cartagena</t>
  </si>
  <si>
    <t>Area C</t>
  </si>
  <si>
    <t>Vignetta</t>
  </si>
  <si>
    <t>01-31/10/2013</t>
  </si>
  <si>
    <t>Malaysia</t>
  </si>
  <si>
    <t xml:space="preserve">Hong Kong </t>
  </si>
  <si>
    <t>Macau</t>
  </si>
  <si>
    <t>Traghetto</t>
  </si>
  <si>
    <t>Volo Milano - Singapore</t>
  </si>
  <si>
    <t xml:space="preserve">Tel Aviv </t>
  </si>
  <si>
    <t>23-24/10/2013</t>
  </si>
  <si>
    <t>Roma</t>
  </si>
  <si>
    <t>Bedeschi</t>
  </si>
  <si>
    <t>14-15/10/2013</t>
  </si>
  <si>
    <t>Di Pasquale</t>
  </si>
  <si>
    <t>Levi</t>
  </si>
  <si>
    <t>21-24/10/2013</t>
  </si>
  <si>
    <t>volo</t>
  </si>
  <si>
    <t>04-07/11/2013</t>
  </si>
  <si>
    <t>18-22/11/2013</t>
  </si>
  <si>
    <t>Kazakistan</t>
  </si>
  <si>
    <t>Milipol</t>
  </si>
  <si>
    <t>Parigi</t>
  </si>
  <si>
    <t>01-06/12/2013</t>
  </si>
  <si>
    <t xml:space="preserve">ISS Kuala Lumpur </t>
  </si>
  <si>
    <t>10-14/11/2013</t>
  </si>
  <si>
    <t>Training</t>
  </si>
  <si>
    <t>Ankara</t>
  </si>
  <si>
    <t>30/11 - 01/12/2013</t>
  </si>
  <si>
    <t>17-18/11/2013</t>
  </si>
  <si>
    <t>24-26/11/2013</t>
  </si>
  <si>
    <t>Solis</t>
  </si>
  <si>
    <t>07-21/12/2013</t>
  </si>
  <si>
    <t>Saudi</t>
  </si>
  <si>
    <t>Volo non rimborsabile</t>
  </si>
  <si>
    <t>04-08/11/13</t>
  </si>
  <si>
    <t>Oman</t>
  </si>
  <si>
    <t>01-14/12/2013</t>
  </si>
  <si>
    <t>Mexico</t>
  </si>
  <si>
    <t>Riyadh</t>
  </si>
  <si>
    <t>Noleggio Auto</t>
  </si>
  <si>
    <t>09-11/12/2013</t>
  </si>
  <si>
    <t xml:space="preserve">Training </t>
  </si>
  <si>
    <t>(non andato a buon fine)</t>
  </si>
  <si>
    <t>20-24/12/2013</t>
  </si>
  <si>
    <t>16-18/12/2013</t>
  </si>
  <si>
    <t>Svizzera</t>
  </si>
  <si>
    <t>05-06/12/2013</t>
  </si>
  <si>
    <t>Furlan</t>
  </si>
  <si>
    <t>10-13/12/2013</t>
  </si>
  <si>
    <t>Collaudo</t>
  </si>
  <si>
    <t>17-19/12/2013</t>
  </si>
  <si>
    <t>16-17/12/2013</t>
  </si>
  <si>
    <t>Turchia</t>
  </si>
  <si>
    <t>Rodriguez</t>
  </si>
  <si>
    <t>27-31/12/2013</t>
  </si>
  <si>
    <t>Visto per Vietnam</t>
  </si>
  <si>
    <t>Meeting hq - taxi</t>
  </si>
  <si>
    <t>Meeting con k</t>
  </si>
  <si>
    <t>volo daniel + serge vietnam</t>
  </si>
  <si>
    <t>Meeting hq treno</t>
  </si>
  <si>
    <t>Meeting hq - extra vari</t>
  </si>
  <si>
    <t>Meeting hq - pranzi/Cene</t>
  </si>
  <si>
    <t>meeting hq Extra hotel</t>
  </si>
  <si>
    <t>Hotel 14/12 + Extra Hotel</t>
  </si>
  <si>
    <t>Extra hotel demo croazia</t>
  </si>
  <si>
    <t>Taxi demo Croazia</t>
  </si>
  <si>
    <t>Autostrada demo croazia</t>
  </si>
  <si>
    <t>pranzi/cene demo croazia</t>
  </si>
  <si>
    <t>Taxi meeting svizzera</t>
  </si>
  <si>
    <t>Pranzi/cene meeting svizzera</t>
  </si>
  <si>
    <t>Hotel 7-13/12</t>
  </si>
  <si>
    <t>Hotel (Astana)</t>
  </si>
  <si>
    <t>07-13/12/2013</t>
  </si>
  <si>
    <t>Volo meeting hq</t>
  </si>
  <si>
    <t>Annullato</t>
  </si>
  <si>
    <t>08-20/12/2013</t>
  </si>
  <si>
    <t>Treno meeting svizzera</t>
  </si>
  <si>
    <t>Hotel (Kiev)</t>
  </si>
  <si>
    <t>treno meeting zurigo</t>
  </si>
  <si>
    <t>volo meeting hq</t>
  </si>
  <si>
    <t>Cancellazione Hotel</t>
  </si>
  <si>
    <t>Extra Vari (meeting room)</t>
  </si>
  <si>
    <t>02-09/10/2013</t>
  </si>
  <si>
    <t>15-17/10/2013</t>
  </si>
  <si>
    <t>Extra Vari (visto)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</si>
</sst>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8" fontId="0" fillId="0" borderId="3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0" fontId="0" fillId="0" borderId="0" xfId="0" applyFill="1" applyBorder="1"/>
    <xf numFmtId="14" fontId="0" fillId="0" borderId="9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8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8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" fontId="0" fillId="0" borderId="10" xfId="0" applyNumberForma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8" fontId="7" fillId="0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8" fontId="0" fillId="0" borderId="3" xfId="0" applyNumberForma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8" fontId="6" fillId="0" borderId="4" xfId="0" applyNumberFormat="1" applyFont="1" applyFill="1" applyBorder="1" applyAlignment="1">
      <alignment horizontal="center"/>
    </xf>
    <xf numFmtId="8" fontId="6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8" fontId="0" fillId="0" borderId="4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164" fontId="0" fillId="0" borderId="0" xfId="0" applyNumberFormat="1"/>
    <xf numFmtId="8" fontId="0" fillId="0" borderId="0" xfId="0" applyNumberFormat="1" applyBorder="1" applyAlignment="1">
      <alignment wrapText="1"/>
    </xf>
    <xf numFmtId="6" fontId="0" fillId="0" borderId="0" xfId="0" applyNumberFormat="1"/>
    <xf numFmtId="0" fontId="1" fillId="0" borderId="10" xfId="0" applyFont="1" applyBorder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opLeftCell="A39" workbookViewId="0">
      <selection activeCell="J47" sqref="J47:J52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>
      <c r="A2" s="8" t="s">
        <v>12</v>
      </c>
      <c r="B2" s="8" t="s">
        <v>17</v>
      </c>
      <c r="C2" s="8" t="s">
        <v>11</v>
      </c>
      <c r="D2" s="15">
        <f>13.57+10.32+79.16+6.7+30.82+51.7+7.56</f>
        <v>199.82999999999998</v>
      </c>
      <c r="E2" s="16" t="s">
        <v>35</v>
      </c>
      <c r="F2" s="28">
        <v>96.5</v>
      </c>
      <c r="G2" s="23" t="s">
        <v>37</v>
      </c>
      <c r="H2" s="33"/>
      <c r="I2" s="5"/>
    </row>
    <row r="3" spans="1:11" s="1" customFormat="1">
      <c r="A3" s="10"/>
      <c r="B3" s="43"/>
      <c r="C3" s="9"/>
      <c r="D3" s="17">
        <f>45.04+46.65</f>
        <v>91.69</v>
      </c>
      <c r="E3" s="18" t="s">
        <v>37</v>
      </c>
      <c r="F3" s="29"/>
      <c r="G3" s="24"/>
      <c r="H3" s="34"/>
      <c r="I3" s="6"/>
    </row>
    <row r="4" spans="1:11" s="1" customFormat="1">
      <c r="A4" s="9"/>
      <c r="B4" s="9"/>
      <c r="C4" s="10" t="s">
        <v>13</v>
      </c>
      <c r="D4" s="17">
        <f>13.44+170.79+65.46+106.83+45.33+133.16</f>
        <v>535.01</v>
      </c>
      <c r="E4" s="18" t="s">
        <v>34</v>
      </c>
      <c r="F4" s="29"/>
      <c r="G4" s="24"/>
      <c r="H4" s="34">
        <v>114.3</v>
      </c>
      <c r="I4" s="6" t="s">
        <v>36</v>
      </c>
      <c r="J4" s="1" t="s">
        <v>371</v>
      </c>
      <c r="K4" s="85">
        <f>SUM(D3,D6,D8,F2,F7)</f>
        <v>385.34999999999997</v>
      </c>
    </row>
    <row r="5" spans="1:11" s="1" customFormat="1">
      <c r="A5" s="10"/>
      <c r="B5" s="14"/>
      <c r="C5" s="9"/>
      <c r="D5" s="17">
        <f>9.63+4.92</f>
        <v>14.55</v>
      </c>
      <c r="E5" s="18" t="s">
        <v>35</v>
      </c>
      <c r="F5" s="29"/>
      <c r="G5" s="24"/>
      <c r="H5" s="34"/>
      <c r="I5" s="6"/>
      <c r="J5" s="1" t="s">
        <v>372</v>
      </c>
      <c r="K5" s="85">
        <f>SUM(D4,D7)</f>
        <v>554.09</v>
      </c>
    </row>
    <row r="6" spans="1:11" s="1" customFormat="1">
      <c r="A6" s="10"/>
      <c r="B6" s="14"/>
      <c r="C6" s="9"/>
      <c r="D6" s="17">
        <f>16.55+63.95</f>
        <v>80.5</v>
      </c>
      <c r="E6" s="18" t="s">
        <v>37</v>
      </c>
      <c r="F6" s="29"/>
      <c r="G6" s="24"/>
      <c r="H6" s="34"/>
      <c r="I6" s="6"/>
      <c r="J6" s="1" t="s">
        <v>376</v>
      </c>
      <c r="K6" s="85">
        <f>D2+D5</f>
        <v>214.38</v>
      </c>
    </row>
    <row r="7" spans="1:11" s="1" customFormat="1">
      <c r="A7" s="10"/>
      <c r="B7" s="14"/>
      <c r="C7" s="9" t="s">
        <v>14</v>
      </c>
      <c r="D7" s="17">
        <f>1.76+3.36+7.06+1.62+1.73+1.77+1.78</f>
        <v>19.080000000000002</v>
      </c>
      <c r="E7" s="18" t="s">
        <v>39</v>
      </c>
      <c r="F7" s="29">
        <f>90+6.7</f>
        <v>96.7</v>
      </c>
      <c r="G7" s="24" t="s">
        <v>37</v>
      </c>
      <c r="H7" s="34">
        <f>19.36+40.89+1091.54</f>
        <v>1151.79</v>
      </c>
      <c r="I7" s="6" t="s">
        <v>36</v>
      </c>
      <c r="J7" s="1" t="s">
        <v>373</v>
      </c>
    </row>
    <row r="8" spans="1:11" s="1" customFormat="1">
      <c r="A8" s="10"/>
      <c r="B8" s="14"/>
      <c r="C8" s="9"/>
      <c r="D8" s="17">
        <v>19.96</v>
      </c>
      <c r="E8" s="18" t="s">
        <v>37</v>
      </c>
      <c r="F8" s="29"/>
      <c r="G8" s="24"/>
      <c r="H8" s="34"/>
      <c r="I8" s="6"/>
      <c r="J8" s="1" t="s">
        <v>374</v>
      </c>
    </row>
    <row r="9" spans="1:11" s="1" customFormat="1">
      <c r="A9" s="9"/>
      <c r="B9" s="9"/>
      <c r="C9" s="10" t="s">
        <v>8</v>
      </c>
      <c r="D9" s="17"/>
      <c r="E9" s="18"/>
      <c r="F9" s="29"/>
      <c r="G9" s="24"/>
      <c r="H9" s="34">
        <v>11657</v>
      </c>
      <c r="I9" s="6" t="s">
        <v>66</v>
      </c>
      <c r="J9" s="1" t="s">
        <v>375</v>
      </c>
      <c r="K9" s="86">
        <f>H4+H7</f>
        <v>1266.0899999999999</v>
      </c>
    </row>
    <row r="10" spans="1:11" s="1" customFormat="1">
      <c r="A10" s="9"/>
      <c r="B10" s="9"/>
      <c r="C10" s="9" t="s">
        <v>9</v>
      </c>
      <c r="D10" s="17"/>
      <c r="E10" s="18"/>
      <c r="F10" s="29"/>
      <c r="G10" s="24"/>
      <c r="H10" s="34">
        <f>8361+33.39</f>
        <v>8394.39</v>
      </c>
      <c r="I10" s="2" t="s">
        <v>65</v>
      </c>
      <c r="K10" s="4"/>
    </row>
    <row r="11" spans="1:11" s="1" customFormat="1">
      <c r="A11" s="12" t="s">
        <v>4</v>
      </c>
      <c r="B11" s="10"/>
      <c r="C11" s="10"/>
      <c r="D11" s="20">
        <f>SUM(D2:D10)</f>
        <v>960.62</v>
      </c>
      <c r="E11" s="6"/>
      <c r="F11" s="31">
        <f>SUM(F2:F10)</f>
        <v>193.2</v>
      </c>
      <c r="G11" s="26"/>
      <c r="H11" s="36">
        <f>SUM(H2:H10)</f>
        <v>21317.48</v>
      </c>
      <c r="I11" s="2"/>
    </row>
    <row r="12" spans="1:11" s="1" customFormat="1" ht="15.75" thickBot="1">
      <c r="A12" s="13" t="s">
        <v>5</v>
      </c>
      <c r="B12" s="39">
        <f>SUM(D11+F11+H11)</f>
        <v>22471.3</v>
      </c>
      <c r="C12" s="38"/>
      <c r="D12" s="21"/>
      <c r="E12" s="22"/>
      <c r="F12" s="32"/>
      <c r="G12" s="27"/>
      <c r="H12" s="37"/>
      <c r="I12" s="3"/>
    </row>
    <row r="13" spans="1:11">
      <c r="A13" s="8" t="s">
        <v>15</v>
      </c>
      <c r="B13" s="8" t="s">
        <v>16</v>
      </c>
      <c r="C13" s="11" t="s">
        <v>18</v>
      </c>
      <c r="D13" s="15">
        <f>4.43+4.86+4.86+6.75</f>
        <v>20.9</v>
      </c>
      <c r="E13" s="40" t="s">
        <v>39</v>
      </c>
      <c r="F13" s="28">
        <f>43.8+40.29</f>
        <v>84.09</v>
      </c>
      <c r="G13" s="23" t="s">
        <v>42</v>
      </c>
      <c r="H13" s="33"/>
      <c r="I13" s="5"/>
    </row>
    <row r="14" spans="1:11">
      <c r="A14" s="9"/>
      <c r="B14" s="9"/>
      <c r="C14" s="10"/>
      <c r="D14" s="17">
        <v>11.9</v>
      </c>
      <c r="E14" s="18" t="s">
        <v>40</v>
      </c>
      <c r="F14" s="29">
        <f>18+11</f>
        <v>29</v>
      </c>
      <c r="G14" s="24" t="s">
        <v>43</v>
      </c>
      <c r="H14" s="34"/>
      <c r="I14" s="6"/>
      <c r="J14" s="1" t="s">
        <v>371</v>
      </c>
      <c r="K14" s="87">
        <f>D16+F14</f>
        <v>169</v>
      </c>
    </row>
    <row r="15" spans="1:11">
      <c r="A15" s="9"/>
      <c r="B15" s="9"/>
      <c r="C15" s="10"/>
      <c r="D15" s="17"/>
      <c r="E15" s="18"/>
      <c r="F15" s="29">
        <v>3.5</v>
      </c>
      <c r="G15" s="24" t="s">
        <v>38</v>
      </c>
      <c r="H15" s="34"/>
      <c r="I15" s="6"/>
      <c r="J15" s="1" t="s">
        <v>372</v>
      </c>
      <c r="K15" s="87">
        <f>D13+D17+F15</f>
        <v>791.4</v>
      </c>
    </row>
    <row r="16" spans="1:11">
      <c r="A16" s="10"/>
      <c r="B16" s="14"/>
      <c r="C16" s="10" t="s">
        <v>21</v>
      </c>
      <c r="D16" s="19">
        <f>140</f>
        <v>140</v>
      </c>
      <c r="E16" s="6" t="s">
        <v>37</v>
      </c>
      <c r="F16" s="30"/>
      <c r="G16" s="25"/>
      <c r="H16" s="34">
        <f>720+685</f>
        <v>1405</v>
      </c>
      <c r="I16" s="6" t="s">
        <v>54</v>
      </c>
      <c r="J16" s="1" t="s">
        <v>376</v>
      </c>
      <c r="K16" s="87">
        <f>D14+F13</f>
        <v>95.990000000000009</v>
      </c>
    </row>
    <row r="17" spans="1:11">
      <c r="A17" s="10"/>
      <c r="B17" s="14"/>
      <c r="C17" s="10"/>
      <c r="D17" s="19">
        <f>180+65+35+21+210+25+14+165+31+21</f>
        <v>767</v>
      </c>
      <c r="E17" s="6" t="s">
        <v>52</v>
      </c>
      <c r="F17" s="30"/>
      <c r="G17" s="25"/>
      <c r="H17" s="35"/>
      <c r="I17" s="2"/>
      <c r="J17" s="1" t="s">
        <v>373</v>
      </c>
    </row>
    <row r="18" spans="1:11">
      <c r="A18" s="10"/>
      <c r="B18" s="14"/>
      <c r="C18" s="9" t="s">
        <v>8</v>
      </c>
      <c r="D18" s="19"/>
      <c r="E18" s="6"/>
      <c r="F18" s="30"/>
      <c r="G18" s="25"/>
      <c r="H18" s="35">
        <v>316.24</v>
      </c>
      <c r="I18" s="6" t="s">
        <v>63</v>
      </c>
      <c r="J18" s="1" t="s">
        <v>374</v>
      </c>
    </row>
    <row r="19" spans="1:11">
      <c r="A19" s="10"/>
      <c r="B19" s="14"/>
      <c r="C19" s="9" t="s">
        <v>9</v>
      </c>
      <c r="D19" s="19"/>
      <c r="E19" s="6"/>
      <c r="F19" s="30"/>
      <c r="G19" s="25"/>
      <c r="H19" s="35">
        <v>686.95</v>
      </c>
      <c r="I19" s="2" t="s">
        <v>67</v>
      </c>
      <c r="J19" s="1" t="s">
        <v>375</v>
      </c>
    </row>
    <row r="20" spans="1:11">
      <c r="A20" s="12" t="s">
        <v>4</v>
      </c>
      <c r="B20" s="10"/>
      <c r="C20" s="10"/>
      <c r="D20" s="20">
        <f>SUM(D13:D19)</f>
        <v>939.8</v>
      </c>
      <c r="E20" s="6"/>
      <c r="F20" s="31">
        <f>SUM(F13:F19)</f>
        <v>116.59</v>
      </c>
      <c r="G20" s="26"/>
      <c r="H20" s="36">
        <f>SUM(H13:H19)</f>
        <v>2408.19</v>
      </c>
      <c r="I20" s="2"/>
    </row>
    <row r="21" spans="1:11" ht="15.75" thickBot="1">
      <c r="A21" s="13" t="s">
        <v>5</v>
      </c>
      <c r="B21" s="39">
        <f>SUM(D20+F20+H20)</f>
        <v>3464.58</v>
      </c>
      <c r="C21" s="38"/>
      <c r="D21" s="21"/>
      <c r="E21" s="22"/>
      <c r="F21" s="32"/>
      <c r="G21" s="27"/>
      <c r="H21" s="37"/>
      <c r="I21" s="3"/>
    </row>
    <row r="22" spans="1:11">
      <c r="A22" s="8" t="s">
        <v>19</v>
      </c>
      <c r="B22" s="8" t="s">
        <v>20</v>
      </c>
      <c r="C22" s="11" t="s">
        <v>18</v>
      </c>
      <c r="D22" s="15"/>
      <c r="E22" s="40"/>
      <c r="F22" s="28"/>
      <c r="G22" s="23"/>
      <c r="H22" s="33"/>
      <c r="I22" s="5"/>
    </row>
    <row r="23" spans="1:11">
      <c r="A23" s="9"/>
      <c r="B23" s="9"/>
      <c r="C23" s="10"/>
      <c r="D23" s="17"/>
      <c r="E23" s="18"/>
      <c r="F23" s="29"/>
      <c r="G23" s="24"/>
      <c r="H23" s="34"/>
      <c r="I23" s="6"/>
      <c r="J23" s="1" t="s">
        <v>371</v>
      </c>
    </row>
    <row r="24" spans="1:11">
      <c r="A24" s="9"/>
      <c r="B24" s="9"/>
      <c r="C24" s="10" t="s">
        <v>21</v>
      </c>
      <c r="D24" s="17">
        <f>75+95+42+42+33+57+11+4.5</f>
        <v>359.5</v>
      </c>
      <c r="E24" s="6" t="s">
        <v>52</v>
      </c>
      <c r="F24" s="29"/>
      <c r="G24" s="24"/>
      <c r="H24" s="34">
        <v>1177.44</v>
      </c>
      <c r="I24" s="6" t="s">
        <v>54</v>
      </c>
      <c r="J24" s="1" t="s">
        <v>372</v>
      </c>
      <c r="K24" s="87">
        <f>D24</f>
        <v>359.5</v>
      </c>
    </row>
    <row r="25" spans="1:11">
      <c r="A25" s="10"/>
      <c r="B25" s="14"/>
      <c r="C25" s="10"/>
      <c r="D25" s="19">
        <f>8+28</f>
        <v>36</v>
      </c>
      <c r="E25" s="6" t="s">
        <v>59</v>
      </c>
      <c r="F25" s="30"/>
      <c r="G25" s="25"/>
      <c r="H25" s="35"/>
      <c r="I25" s="2"/>
      <c r="J25" s="1" t="s">
        <v>376</v>
      </c>
    </row>
    <row r="26" spans="1:11">
      <c r="A26" s="10"/>
      <c r="B26" s="14"/>
      <c r="C26" s="9" t="s">
        <v>8</v>
      </c>
      <c r="D26" s="19"/>
      <c r="E26" s="6"/>
      <c r="F26" s="30"/>
      <c r="G26" s="25"/>
      <c r="H26" s="35">
        <v>553.23</v>
      </c>
      <c r="I26" s="6" t="s">
        <v>62</v>
      </c>
      <c r="J26" s="1" t="s">
        <v>373</v>
      </c>
      <c r="K26" s="87">
        <f>D25</f>
        <v>36</v>
      </c>
    </row>
    <row r="27" spans="1:11">
      <c r="A27" s="10"/>
      <c r="B27" s="14"/>
      <c r="C27" s="9" t="s">
        <v>9</v>
      </c>
      <c r="D27" s="19"/>
      <c r="E27" s="6"/>
      <c r="F27" s="30"/>
      <c r="G27" s="25"/>
      <c r="H27" s="35">
        <f>627.36</f>
        <v>627.36</v>
      </c>
      <c r="I27" s="2" t="s">
        <v>65</v>
      </c>
      <c r="J27" s="1" t="s">
        <v>374</v>
      </c>
    </row>
    <row r="28" spans="1:11">
      <c r="A28" s="12" t="s">
        <v>4</v>
      </c>
      <c r="B28" s="10"/>
      <c r="C28" s="10"/>
      <c r="D28" s="20">
        <f>SUM(D22:D27)</f>
        <v>395.5</v>
      </c>
      <c r="E28" s="6"/>
      <c r="F28" s="31">
        <f>SUM(F22:F27)</f>
        <v>0</v>
      </c>
      <c r="G28" s="26"/>
      <c r="H28" s="36">
        <f>SUM(H22:H27)</f>
        <v>2358.0300000000002</v>
      </c>
      <c r="I28" s="2"/>
      <c r="J28" s="1" t="s">
        <v>375</v>
      </c>
    </row>
    <row r="29" spans="1:11" ht="15.75" thickBot="1">
      <c r="A29" s="13" t="s">
        <v>5</v>
      </c>
      <c r="B29" s="39">
        <f>SUM(D28+F28+H28)</f>
        <v>2753.53</v>
      </c>
      <c r="C29" s="38"/>
      <c r="D29" s="21"/>
      <c r="E29" s="22"/>
      <c r="F29" s="32"/>
      <c r="G29" s="27"/>
      <c r="H29" s="37"/>
      <c r="I29" s="3"/>
    </row>
    <row r="30" spans="1:11">
      <c r="A30" s="8" t="s">
        <v>22</v>
      </c>
      <c r="B30" s="8" t="s">
        <v>23</v>
      </c>
      <c r="C30" s="11" t="s">
        <v>18</v>
      </c>
      <c r="D30" s="15"/>
      <c r="E30" s="40"/>
      <c r="F30" s="28"/>
      <c r="G30" s="23"/>
      <c r="H30" s="33"/>
      <c r="I30" s="5"/>
    </row>
    <row r="31" spans="1:11" ht="13.5" customHeight="1">
      <c r="A31" s="9"/>
      <c r="B31" s="9"/>
      <c r="C31" s="10"/>
      <c r="D31" s="17"/>
      <c r="E31" s="18"/>
      <c r="F31" s="29"/>
      <c r="G31" s="24"/>
      <c r="H31" s="34"/>
      <c r="I31" s="6"/>
      <c r="J31" s="1" t="s">
        <v>371</v>
      </c>
    </row>
    <row r="32" spans="1:11">
      <c r="A32" s="9"/>
      <c r="B32" s="9"/>
      <c r="C32" s="10" t="s">
        <v>21</v>
      </c>
      <c r="D32" s="17">
        <f>10+145+38+12+40+37</f>
        <v>282</v>
      </c>
      <c r="E32" s="18" t="s">
        <v>58</v>
      </c>
      <c r="F32" s="29"/>
      <c r="G32" s="24"/>
      <c r="H32" s="34">
        <f>575+620</f>
        <v>1195</v>
      </c>
      <c r="I32" s="6" t="s">
        <v>54</v>
      </c>
      <c r="J32" s="1" t="s">
        <v>372</v>
      </c>
      <c r="K32" s="87">
        <f>D32</f>
        <v>282</v>
      </c>
    </row>
    <row r="33" spans="1:11">
      <c r="A33" s="10"/>
      <c r="B33" s="14"/>
      <c r="C33" s="10"/>
      <c r="D33" s="19">
        <v>180</v>
      </c>
      <c r="E33" s="6" t="s">
        <v>60</v>
      </c>
      <c r="F33" s="30"/>
      <c r="G33" s="25"/>
      <c r="H33" s="35"/>
      <c r="I33" s="2"/>
      <c r="J33" s="1" t="s">
        <v>376</v>
      </c>
      <c r="K33" s="87">
        <f>D33</f>
        <v>180</v>
      </c>
    </row>
    <row r="34" spans="1:11">
      <c r="A34" s="10"/>
      <c r="B34" s="14"/>
      <c r="C34" s="9" t="s">
        <v>8</v>
      </c>
      <c r="D34" s="19"/>
      <c r="E34" s="6"/>
      <c r="F34" s="30"/>
      <c r="G34" s="25"/>
      <c r="H34" s="35">
        <v>312.98</v>
      </c>
      <c r="I34" s="6" t="s">
        <v>63</v>
      </c>
      <c r="J34" s="1" t="s">
        <v>373</v>
      </c>
    </row>
    <row r="35" spans="1:11">
      <c r="A35" s="10"/>
      <c r="B35" s="14"/>
      <c r="C35" s="9" t="s">
        <v>9</v>
      </c>
      <c r="D35" s="19"/>
      <c r="E35" s="6"/>
      <c r="F35" s="30"/>
      <c r="G35" s="25"/>
      <c r="H35" s="35">
        <v>1738.06</v>
      </c>
      <c r="I35" s="2" t="s">
        <v>65</v>
      </c>
      <c r="J35" s="1" t="s">
        <v>374</v>
      </c>
    </row>
    <row r="36" spans="1:11">
      <c r="A36" s="12" t="s">
        <v>4</v>
      </c>
      <c r="B36" s="10"/>
      <c r="C36" s="10"/>
      <c r="D36" s="20">
        <f>SUM(D30:D35)</f>
        <v>462</v>
      </c>
      <c r="E36" s="6"/>
      <c r="F36" s="31">
        <f>SUM(F30:F35)</f>
        <v>0</v>
      </c>
      <c r="G36" s="26"/>
      <c r="H36" s="36">
        <f>SUM(H30:H35)</f>
        <v>3246.04</v>
      </c>
      <c r="I36" s="2"/>
      <c r="J36" s="1" t="s">
        <v>375</v>
      </c>
    </row>
    <row r="37" spans="1:11" ht="15.75" thickBot="1">
      <c r="A37" s="13" t="s">
        <v>5</v>
      </c>
      <c r="B37" s="39">
        <f>SUM(D36+F36+H36)</f>
        <v>3708.04</v>
      </c>
      <c r="C37" s="38"/>
      <c r="D37" s="21"/>
      <c r="E37" s="22"/>
      <c r="F37" s="32"/>
      <c r="G37" s="27"/>
      <c r="H37" s="37"/>
      <c r="I37" s="3"/>
    </row>
    <row r="38" spans="1:11">
      <c r="A38" s="8" t="s">
        <v>48</v>
      </c>
      <c r="B38" s="8" t="s">
        <v>49</v>
      </c>
      <c r="C38" s="11" t="s">
        <v>18</v>
      </c>
      <c r="D38" s="15">
        <f>17.2+51.7+33.62+9.87+75.72</f>
        <v>188.11</v>
      </c>
      <c r="E38" s="40" t="s">
        <v>52</v>
      </c>
      <c r="F38" s="28"/>
      <c r="G38" s="23"/>
      <c r="H38" s="33"/>
      <c r="I38" s="5"/>
    </row>
    <row r="39" spans="1:11" ht="13.5" customHeight="1">
      <c r="A39" s="9"/>
      <c r="B39" s="9"/>
      <c r="C39" s="10"/>
      <c r="D39" s="17">
        <f>6.69</f>
        <v>6.69</v>
      </c>
      <c r="E39" s="18" t="s">
        <v>37</v>
      </c>
      <c r="F39" s="29"/>
      <c r="G39" s="24"/>
      <c r="H39" s="34"/>
      <c r="I39" s="6"/>
      <c r="J39" s="1" t="s">
        <v>371</v>
      </c>
      <c r="K39" s="87">
        <f>D39+D42</f>
        <v>126.69</v>
      </c>
    </row>
    <row r="40" spans="1:11">
      <c r="A40" s="9"/>
      <c r="B40" s="9"/>
      <c r="C40" s="10" t="s">
        <v>21</v>
      </c>
      <c r="D40" s="17">
        <f>19+10+4+285+220+32+24+28+6.5+15+215+48</f>
        <v>906.5</v>
      </c>
      <c r="E40" s="6" t="s">
        <v>52</v>
      </c>
      <c r="F40" s="29"/>
      <c r="G40" s="24"/>
      <c r="H40" s="35">
        <f>1200+1100</f>
        <v>2300</v>
      </c>
      <c r="I40" s="2" t="s">
        <v>54</v>
      </c>
      <c r="J40" s="1" t="s">
        <v>372</v>
      </c>
      <c r="K40" s="87">
        <f>D38+D40</f>
        <v>1094.6100000000001</v>
      </c>
    </row>
    <row r="41" spans="1:11">
      <c r="A41" s="10"/>
      <c r="B41" s="14"/>
      <c r="C41" s="10"/>
      <c r="D41" s="19">
        <v>11</v>
      </c>
      <c r="E41" s="6" t="s">
        <v>61</v>
      </c>
      <c r="F41" s="30"/>
      <c r="G41" s="25"/>
      <c r="H41" s="35"/>
      <c r="I41" s="2"/>
      <c r="J41" s="1" t="s">
        <v>376</v>
      </c>
    </row>
    <row r="42" spans="1:11">
      <c r="A42" s="10"/>
      <c r="B42" s="14"/>
      <c r="C42" s="10"/>
      <c r="D42" s="19">
        <f>9+75+11+5+8+12</f>
        <v>120</v>
      </c>
      <c r="E42" s="6" t="s">
        <v>37</v>
      </c>
      <c r="F42" s="30"/>
      <c r="G42" s="25"/>
      <c r="H42" s="35"/>
      <c r="I42" s="2"/>
      <c r="J42" s="1" t="s">
        <v>373</v>
      </c>
      <c r="K42" s="87">
        <f>D41</f>
        <v>11</v>
      </c>
    </row>
    <row r="43" spans="1:11">
      <c r="A43" s="10"/>
      <c r="B43" s="14"/>
      <c r="C43" s="9" t="s">
        <v>9</v>
      </c>
      <c r="D43" s="19"/>
      <c r="E43" s="6"/>
      <c r="F43" s="30"/>
      <c r="G43" s="25"/>
      <c r="H43" s="35">
        <f>588.42+239</f>
        <v>827.42</v>
      </c>
      <c r="I43" s="2" t="s">
        <v>65</v>
      </c>
      <c r="J43" s="1" t="s">
        <v>374</v>
      </c>
    </row>
    <row r="44" spans="1:11">
      <c r="A44" s="12" t="s">
        <v>4</v>
      </c>
      <c r="B44" s="10"/>
      <c r="C44" s="10"/>
      <c r="D44" s="20">
        <f>SUM(D38:D43)</f>
        <v>1232.3</v>
      </c>
      <c r="E44" s="6"/>
      <c r="F44" s="31">
        <f>SUM(F38:F43)</f>
        <v>0</v>
      </c>
      <c r="G44" s="26"/>
      <c r="H44" s="36">
        <f>SUM(H38:H43)</f>
        <v>3127.42</v>
      </c>
      <c r="I44" s="2"/>
      <c r="J44" s="1" t="s">
        <v>375</v>
      </c>
    </row>
    <row r="45" spans="1:11" ht="14.25" customHeight="1" thickBot="1">
      <c r="A45" s="13" t="s">
        <v>5</v>
      </c>
      <c r="B45" s="39">
        <f>SUM(D44+F44+H44)</f>
        <v>4359.72</v>
      </c>
      <c r="C45" s="38"/>
      <c r="D45" s="21"/>
      <c r="E45" s="22"/>
      <c r="F45" s="32"/>
      <c r="G45" s="27"/>
      <c r="H45" s="37"/>
      <c r="I45" s="3"/>
    </row>
    <row r="46" spans="1:11">
      <c r="A46" s="8" t="s">
        <v>24</v>
      </c>
      <c r="B46" s="8" t="s">
        <v>25</v>
      </c>
      <c r="C46" s="11" t="s">
        <v>26</v>
      </c>
      <c r="D46" s="15">
        <f>8.89+2.5+3.5+6+4.5+8.83+25.4+45.18+6</f>
        <v>110.8</v>
      </c>
      <c r="E46" s="40" t="s">
        <v>57</v>
      </c>
      <c r="F46" s="28">
        <v>11.37</v>
      </c>
      <c r="G46" s="23" t="s">
        <v>37</v>
      </c>
      <c r="H46" s="33"/>
      <c r="I46" s="5"/>
    </row>
    <row r="47" spans="1:11">
      <c r="A47" s="9"/>
      <c r="B47" s="9"/>
      <c r="C47" s="10"/>
      <c r="D47" s="17">
        <f>15.4+24.12+7.83+10.91</f>
        <v>58.260000000000005</v>
      </c>
      <c r="E47" s="18" t="s">
        <v>52</v>
      </c>
      <c r="F47" s="29"/>
      <c r="G47" s="24"/>
      <c r="H47" s="34"/>
      <c r="I47" s="6"/>
      <c r="J47" s="1" t="s">
        <v>371</v>
      </c>
      <c r="K47" s="87">
        <f>D46</f>
        <v>110.8</v>
      </c>
    </row>
    <row r="48" spans="1:11">
      <c r="A48" s="10"/>
      <c r="B48" s="14"/>
      <c r="C48" s="10"/>
      <c r="D48" s="19"/>
      <c r="E48" s="6"/>
      <c r="F48" s="30"/>
      <c r="G48" s="25"/>
      <c r="H48" s="35"/>
      <c r="I48" s="2"/>
      <c r="J48" s="1" t="s">
        <v>372</v>
      </c>
      <c r="K48" s="87">
        <f>D47</f>
        <v>58.260000000000005</v>
      </c>
    </row>
    <row r="49" spans="1:11">
      <c r="A49" s="10"/>
      <c r="B49" s="14"/>
      <c r="C49" s="9" t="s">
        <v>8</v>
      </c>
      <c r="D49" s="19"/>
      <c r="E49" s="6"/>
      <c r="F49" s="30"/>
      <c r="G49" s="25"/>
      <c r="H49" s="35">
        <v>278.57</v>
      </c>
      <c r="I49" s="6" t="s">
        <v>62</v>
      </c>
      <c r="J49" s="1" t="s">
        <v>376</v>
      </c>
    </row>
    <row r="50" spans="1:11">
      <c r="A50" s="10"/>
      <c r="B50" s="14"/>
      <c r="C50" s="9" t="s">
        <v>8</v>
      </c>
      <c r="D50" s="19"/>
      <c r="E50" s="6"/>
      <c r="F50" s="30"/>
      <c r="G50" s="25"/>
      <c r="H50" s="35">
        <v>181.95</v>
      </c>
      <c r="I50" s="2" t="s">
        <v>70</v>
      </c>
      <c r="J50" s="1" t="s">
        <v>373</v>
      </c>
    </row>
    <row r="51" spans="1:11">
      <c r="A51" s="12" t="s">
        <v>4</v>
      </c>
      <c r="B51" s="10"/>
      <c r="C51" s="10"/>
      <c r="D51" s="20">
        <f>SUM(D46:D50)</f>
        <v>169.06</v>
      </c>
      <c r="E51" s="6"/>
      <c r="F51" s="31">
        <f>SUM(F46:F50)</f>
        <v>11.37</v>
      </c>
      <c r="G51" s="26"/>
      <c r="H51" s="36">
        <f>SUM(H46:H50)</f>
        <v>460.52</v>
      </c>
      <c r="I51" s="2"/>
      <c r="J51" s="1" t="s">
        <v>374</v>
      </c>
    </row>
    <row r="52" spans="1:11" ht="15.75" thickBot="1">
      <c r="A52" s="13" t="s">
        <v>5</v>
      </c>
      <c r="B52" s="39">
        <f>SUM(D51+F51+H51)</f>
        <v>640.95000000000005</v>
      </c>
      <c r="C52" s="38"/>
      <c r="D52" s="21"/>
      <c r="E52" s="22"/>
      <c r="F52" s="32"/>
      <c r="G52" s="27"/>
      <c r="H52" s="37"/>
      <c r="I52" s="3"/>
      <c r="J52" s="1" t="s">
        <v>375</v>
      </c>
    </row>
    <row r="53" spans="1:11">
      <c r="A53" s="8" t="s">
        <v>22</v>
      </c>
      <c r="B53" s="8" t="s">
        <v>28</v>
      </c>
      <c r="C53" s="11" t="s">
        <v>26</v>
      </c>
      <c r="D53" s="15"/>
      <c r="E53" s="40"/>
      <c r="F53" s="28">
        <v>167.52</v>
      </c>
      <c r="G53" s="23" t="s">
        <v>55</v>
      </c>
      <c r="H53" s="33"/>
      <c r="I53" s="5"/>
      <c r="J53" s="1" t="s">
        <v>371</v>
      </c>
      <c r="K53" s="87">
        <f>D56+F54+F56</f>
        <v>90.93</v>
      </c>
    </row>
    <row r="54" spans="1:11">
      <c r="A54" s="9"/>
      <c r="B54" s="9"/>
      <c r="C54" s="10"/>
      <c r="D54" s="17"/>
      <c r="E54" s="18"/>
      <c r="F54" s="29">
        <v>14.92</v>
      </c>
      <c r="G54" s="24" t="s">
        <v>37</v>
      </c>
      <c r="H54" s="34"/>
      <c r="I54" s="6"/>
      <c r="J54" s="1" t="s">
        <v>372</v>
      </c>
      <c r="K54" s="87">
        <f>D55+F57</f>
        <v>66.2</v>
      </c>
    </row>
    <row r="55" spans="1:11">
      <c r="A55" s="9"/>
      <c r="B55" s="9"/>
      <c r="C55" s="10" t="s">
        <v>27</v>
      </c>
      <c r="D55" s="17">
        <f>48.72</f>
        <v>48.72</v>
      </c>
      <c r="E55" s="18" t="s">
        <v>53</v>
      </c>
      <c r="F55" s="29">
        <v>260.66000000000003</v>
      </c>
      <c r="G55" s="24" t="s">
        <v>55</v>
      </c>
      <c r="H55" s="34">
        <f>194.25</f>
        <v>194.25</v>
      </c>
      <c r="I55" s="6" t="s">
        <v>64</v>
      </c>
      <c r="J55" s="1" t="s">
        <v>376</v>
      </c>
    </row>
    <row r="56" spans="1:11">
      <c r="A56" s="10"/>
      <c r="B56" s="14"/>
      <c r="C56" s="10"/>
      <c r="D56" s="19">
        <v>21.35</v>
      </c>
      <c r="E56" s="6" t="s">
        <v>37</v>
      </c>
      <c r="F56" s="30">
        <f>37.76+16.9</f>
        <v>54.66</v>
      </c>
      <c r="G56" s="25" t="s">
        <v>37</v>
      </c>
      <c r="H56" s="35"/>
      <c r="I56" s="2"/>
      <c r="J56" s="1" t="s">
        <v>373</v>
      </c>
    </row>
    <row r="57" spans="1:11">
      <c r="A57" s="10"/>
      <c r="B57" s="14"/>
      <c r="C57" s="9" t="s">
        <v>8</v>
      </c>
      <c r="D57" s="19"/>
      <c r="E57" s="6"/>
      <c r="F57" s="30">
        <f>17.48</f>
        <v>17.48</v>
      </c>
      <c r="G57" s="25" t="s">
        <v>51</v>
      </c>
      <c r="H57" s="35">
        <v>1151.48</v>
      </c>
      <c r="I57" s="6" t="s">
        <v>63</v>
      </c>
      <c r="J57" s="1" t="s">
        <v>374</v>
      </c>
    </row>
    <row r="58" spans="1:11">
      <c r="A58" s="12" t="s">
        <v>4</v>
      </c>
      <c r="B58" s="10"/>
      <c r="C58" s="10"/>
      <c r="D58" s="20">
        <f>SUM(D53:D57)</f>
        <v>70.069999999999993</v>
      </c>
      <c r="E58" s="6"/>
      <c r="F58" s="31">
        <f>SUM(F53:F57)</f>
        <v>515.24</v>
      </c>
      <c r="G58" s="26"/>
      <c r="H58" s="36">
        <f>SUM(H53:H57)</f>
        <v>1345.73</v>
      </c>
      <c r="I58" s="2"/>
      <c r="J58" s="1" t="s">
        <v>375</v>
      </c>
      <c r="K58" s="88">
        <f>H55</f>
        <v>194.25</v>
      </c>
    </row>
    <row r="59" spans="1:11" ht="15.75" thickBot="1">
      <c r="A59" s="13" t="s">
        <v>5</v>
      </c>
      <c r="B59" s="39">
        <f>SUM(D58+F58+H58)</f>
        <v>1931.04</v>
      </c>
      <c r="C59" s="38"/>
      <c r="D59" s="21"/>
      <c r="E59" s="22"/>
      <c r="F59" s="32"/>
      <c r="G59" s="27"/>
      <c r="H59" s="37"/>
      <c r="I59" s="3"/>
    </row>
    <row r="60" spans="1:11">
      <c r="A60" s="44">
        <v>41298</v>
      </c>
      <c r="B60" s="8" t="s">
        <v>29</v>
      </c>
      <c r="C60" s="11" t="s">
        <v>30</v>
      </c>
      <c r="D60" s="15">
        <f>3+6</f>
        <v>9</v>
      </c>
      <c r="E60" s="40" t="s">
        <v>45</v>
      </c>
      <c r="F60" s="28">
        <v>1.9</v>
      </c>
      <c r="G60" s="23" t="s">
        <v>41</v>
      </c>
      <c r="H60" s="33"/>
      <c r="I60" s="5"/>
      <c r="J60" s="1" t="s">
        <v>371</v>
      </c>
    </row>
    <row r="61" spans="1:11">
      <c r="A61" s="9"/>
      <c r="B61" s="9"/>
      <c r="C61" s="10"/>
      <c r="D61" s="17">
        <f>5+57</f>
        <v>62</v>
      </c>
      <c r="E61" s="18" t="s">
        <v>46</v>
      </c>
      <c r="F61" s="29">
        <f>25</f>
        <v>25</v>
      </c>
      <c r="G61" s="24" t="s">
        <v>44</v>
      </c>
      <c r="H61" s="34"/>
      <c r="I61" s="6"/>
      <c r="J61" s="1" t="s">
        <v>372</v>
      </c>
      <c r="K61" s="87">
        <f>D61</f>
        <v>62</v>
      </c>
    </row>
    <row r="62" spans="1:11">
      <c r="A62" s="9"/>
      <c r="B62" s="9"/>
      <c r="C62" s="10"/>
      <c r="D62" s="17"/>
      <c r="E62" s="18"/>
      <c r="F62" s="29"/>
      <c r="G62" s="24"/>
      <c r="H62" s="34"/>
      <c r="I62" s="6"/>
      <c r="J62" s="1" t="s">
        <v>376</v>
      </c>
    </row>
    <row r="63" spans="1:11">
      <c r="A63" s="9"/>
      <c r="B63" s="9"/>
      <c r="C63" s="10" t="s">
        <v>32</v>
      </c>
      <c r="D63" s="17"/>
      <c r="E63" s="18"/>
      <c r="F63" s="29"/>
      <c r="G63" s="24"/>
      <c r="H63" s="34"/>
      <c r="I63" s="6"/>
      <c r="J63" s="1" t="s">
        <v>373</v>
      </c>
      <c r="K63" s="88">
        <f>SUM(F60:F61)</f>
        <v>26.9</v>
      </c>
    </row>
    <row r="64" spans="1:11">
      <c r="A64" s="10"/>
      <c r="B64" s="14"/>
      <c r="C64" s="9" t="s">
        <v>9</v>
      </c>
      <c r="D64" s="19"/>
      <c r="E64" s="6"/>
      <c r="F64" s="30"/>
      <c r="G64" s="25"/>
      <c r="H64" s="35">
        <v>470</v>
      </c>
      <c r="I64" s="2" t="s">
        <v>68</v>
      </c>
      <c r="J64" s="1" t="s">
        <v>374</v>
      </c>
      <c r="K64" s="87">
        <f>D60</f>
        <v>9</v>
      </c>
    </row>
    <row r="65" spans="1:11">
      <c r="A65" s="12" t="s">
        <v>4</v>
      </c>
      <c r="B65" s="10"/>
      <c r="C65" s="10"/>
      <c r="D65" s="20">
        <f>SUM(D60:D64)</f>
        <v>71</v>
      </c>
      <c r="E65" s="6"/>
      <c r="F65" s="31">
        <f>SUM(F60:F64)</f>
        <v>26.9</v>
      </c>
      <c r="G65" s="26"/>
      <c r="H65" s="36">
        <f>SUM(H60:H64)</f>
        <v>470</v>
      </c>
      <c r="I65" s="2"/>
      <c r="J65" s="1" t="s">
        <v>375</v>
      </c>
    </row>
    <row r="66" spans="1:11" ht="15.75" thickBot="1">
      <c r="A66" s="13" t="s">
        <v>5</v>
      </c>
      <c r="B66" s="39">
        <f>SUM(D65+F65+H65)</f>
        <v>567.9</v>
      </c>
      <c r="C66" s="38"/>
      <c r="D66" s="21"/>
      <c r="E66" s="22"/>
      <c r="F66" s="32"/>
      <c r="G66" s="27"/>
      <c r="H66" s="37"/>
      <c r="I66" s="3"/>
    </row>
    <row r="67" spans="1:11">
      <c r="A67" s="8" t="s">
        <v>33</v>
      </c>
      <c r="B67" s="8" t="s">
        <v>25</v>
      </c>
      <c r="C67" s="11" t="s">
        <v>26</v>
      </c>
      <c r="D67" s="15"/>
      <c r="E67" s="40"/>
      <c r="F67" s="28">
        <f>14.86+20.76</f>
        <v>35.620000000000005</v>
      </c>
      <c r="G67" s="23" t="s">
        <v>37</v>
      </c>
      <c r="H67" s="33"/>
      <c r="I67" s="5"/>
      <c r="J67" s="1"/>
    </row>
    <row r="68" spans="1:11">
      <c r="A68" s="9"/>
      <c r="B68" s="9" t="s">
        <v>56</v>
      </c>
      <c r="C68" s="10"/>
      <c r="D68" s="17"/>
      <c r="E68" s="18"/>
      <c r="F68" s="29"/>
      <c r="G68" s="24"/>
      <c r="H68" s="34"/>
      <c r="I68" s="6"/>
      <c r="J68" s="1" t="s">
        <v>371</v>
      </c>
      <c r="K68" s="88">
        <f>F67+F69</f>
        <v>92.18</v>
      </c>
    </row>
    <row r="69" spans="1:11">
      <c r="A69" s="9"/>
      <c r="B69" s="9"/>
      <c r="C69" s="10" t="s">
        <v>27</v>
      </c>
      <c r="D69" s="17">
        <f>7.06+26.22+20.94</f>
        <v>54.22</v>
      </c>
      <c r="E69" s="18" t="s">
        <v>52</v>
      </c>
      <c r="F69" s="29">
        <f>40.35+16.21</f>
        <v>56.56</v>
      </c>
      <c r="G69" s="24" t="s">
        <v>37</v>
      </c>
      <c r="H69" s="34"/>
      <c r="I69" s="6"/>
      <c r="J69" s="1" t="s">
        <v>372</v>
      </c>
      <c r="K69" s="87">
        <f>D69+F70</f>
        <v>57.36</v>
      </c>
    </row>
    <row r="70" spans="1:11">
      <c r="A70" s="10"/>
      <c r="B70" s="14"/>
      <c r="C70" s="10"/>
      <c r="D70" s="19"/>
      <c r="E70" s="6"/>
      <c r="F70" s="30">
        <v>3.14</v>
      </c>
      <c r="G70" s="25" t="s">
        <v>38</v>
      </c>
      <c r="H70" s="35"/>
      <c r="I70" s="2"/>
      <c r="J70" s="1" t="s">
        <v>376</v>
      </c>
    </row>
    <row r="71" spans="1:11">
      <c r="A71" s="10"/>
      <c r="B71" s="14"/>
      <c r="C71" s="10" t="s">
        <v>8</v>
      </c>
      <c r="D71" s="19"/>
      <c r="E71" s="6"/>
      <c r="F71" s="30"/>
      <c r="G71" s="25"/>
      <c r="H71" s="35">
        <v>498.13</v>
      </c>
      <c r="I71" s="6" t="s">
        <v>54</v>
      </c>
      <c r="J71" s="1" t="s">
        <v>373</v>
      </c>
    </row>
    <row r="72" spans="1:11">
      <c r="A72" s="10"/>
      <c r="B72" s="14"/>
      <c r="C72" s="9" t="s">
        <v>9</v>
      </c>
      <c r="D72" s="19"/>
      <c r="E72" s="6"/>
      <c r="F72" s="30"/>
      <c r="G72" s="25"/>
      <c r="H72" s="35">
        <v>787.38</v>
      </c>
      <c r="I72" s="2" t="s">
        <v>65</v>
      </c>
      <c r="J72" s="1" t="s">
        <v>374</v>
      </c>
    </row>
    <row r="73" spans="1:11">
      <c r="A73" s="12" t="s">
        <v>4</v>
      </c>
      <c r="B73" s="10"/>
      <c r="C73" s="10"/>
      <c r="D73" s="20">
        <f>SUM(D67:D72)</f>
        <v>54.22</v>
      </c>
      <c r="E73" s="6"/>
      <c r="F73" s="31">
        <f>SUM(F67:F72)</f>
        <v>95.320000000000007</v>
      </c>
      <c r="G73" s="26"/>
      <c r="H73" s="36">
        <f>SUM(H67:H72)</f>
        <v>1285.51</v>
      </c>
      <c r="I73" s="2"/>
      <c r="J73" s="1" t="s">
        <v>375</v>
      </c>
    </row>
    <row r="74" spans="1:11" ht="15.75" thickBot="1">
      <c r="A74" s="13" t="s">
        <v>5</v>
      </c>
      <c r="B74" s="39">
        <f>SUM(D73+F73+H73)</f>
        <v>1435.05</v>
      </c>
      <c r="C74" s="38"/>
      <c r="D74" s="21"/>
      <c r="E74" s="22"/>
      <c r="F74" s="32"/>
      <c r="G74" s="27"/>
      <c r="H74" s="37"/>
      <c r="I74" s="3"/>
    </row>
    <row r="75" spans="1:11">
      <c r="A75" s="44">
        <v>41305</v>
      </c>
      <c r="B75" s="8" t="s">
        <v>29</v>
      </c>
      <c r="C75" s="11" t="s">
        <v>31</v>
      </c>
      <c r="D75" s="15">
        <f>23.5+32</f>
        <v>55.5</v>
      </c>
      <c r="E75" s="40" t="s">
        <v>37</v>
      </c>
      <c r="F75" s="28"/>
      <c r="G75" s="23"/>
      <c r="H75" s="33"/>
      <c r="I75" s="5"/>
      <c r="J75" s="1" t="s">
        <v>371</v>
      </c>
      <c r="K75" s="87">
        <f>D75</f>
        <v>55.5</v>
      </c>
    </row>
    <row r="76" spans="1:11">
      <c r="A76" s="9"/>
      <c r="B76" s="9"/>
      <c r="C76" s="10"/>
      <c r="D76" s="17"/>
      <c r="E76" s="18"/>
      <c r="F76" s="29"/>
      <c r="G76" s="24"/>
      <c r="H76" s="34"/>
      <c r="I76" s="6"/>
      <c r="J76" s="1" t="s">
        <v>372</v>
      </c>
      <c r="K76" s="87">
        <f>D77</f>
        <v>8.8000000000000007</v>
      </c>
    </row>
    <row r="77" spans="1:11">
      <c r="A77" s="9"/>
      <c r="B77" s="9"/>
      <c r="C77" s="10" t="s">
        <v>47</v>
      </c>
      <c r="D77" s="17">
        <v>8.8000000000000007</v>
      </c>
      <c r="E77" s="18" t="s">
        <v>51</v>
      </c>
      <c r="F77" s="29">
        <f>11.59+7</f>
        <v>18.59</v>
      </c>
      <c r="G77" s="24" t="s">
        <v>50</v>
      </c>
      <c r="H77" s="34"/>
      <c r="I77" s="6"/>
      <c r="J77" s="1" t="s">
        <v>376</v>
      </c>
    </row>
    <row r="78" spans="1:11">
      <c r="A78" s="10"/>
      <c r="B78" s="14"/>
      <c r="C78" s="9" t="s">
        <v>8</v>
      </c>
      <c r="D78" s="19"/>
      <c r="E78" s="6"/>
      <c r="F78" s="30"/>
      <c r="G78" s="25"/>
      <c r="H78" s="35">
        <v>288</v>
      </c>
      <c r="I78" s="2" t="s">
        <v>69</v>
      </c>
      <c r="J78" s="1" t="s">
        <v>373</v>
      </c>
      <c r="K78" s="88">
        <f>F77</f>
        <v>18.59</v>
      </c>
    </row>
    <row r="79" spans="1:11">
      <c r="A79" s="12" t="s">
        <v>4</v>
      </c>
      <c r="B79" s="10"/>
      <c r="C79" s="10"/>
      <c r="D79" s="20">
        <f>SUM(D75:D78)</f>
        <v>64.3</v>
      </c>
      <c r="E79" s="6"/>
      <c r="F79" s="31">
        <f>SUM(F75:F78)</f>
        <v>18.59</v>
      </c>
      <c r="G79" s="26"/>
      <c r="H79" s="36">
        <f>SUM(H75:H78)</f>
        <v>288</v>
      </c>
      <c r="I79" s="2"/>
      <c r="J79" s="1" t="s">
        <v>374</v>
      </c>
    </row>
    <row r="80" spans="1:11" ht="15.75" thickBot="1">
      <c r="A80" s="13" t="s">
        <v>5</v>
      </c>
      <c r="B80" s="39">
        <f>SUM(D79+F79+H79)</f>
        <v>370.89</v>
      </c>
      <c r="C80" s="38"/>
      <c r="D80" s="21"/>
      <c r="E80" s="22"/>
      <c r="F80" s="32"/>
      <c r="G80" s="27"/>
      <c r="H80" s="37"/>
      <c r="I80" s="3"/>
      <c r="J80" s="1" t="s">
        <v>375</v>
      </c>
    </row>
    <row r="81" spans="1:11" ht="15.75" thickBot="1"/>
    <row r="82" spans="1:11" ht="20.25" thickBot="1">
      <c r="A82" s="41" t="s">
        <v>10</v>
      </c>
      <c r="B82" s="42">
        <f>SUM(B12+B21+B29+B37+B45+B52+B59+B66+B74+B80)</f>
        <v>41703</v>
      </c>
      <c r="J82" s="1" t="s">
        <v>371</v>
      </c>
      <c r="K82" s="87">
        <f>SUM(K4,K14,K39,K47,K53,K68,K75)</f>
        <v>1030.45</v>
      </c>
    </row>
    <row r="83" spans="1:11">
      <c r="J83" s="1" t="s">
        <v>372</v>
      </c>
      <c r="K83" s="87">
        <f>SUM(K5,K15,K24,K32,K40,K48,K54,K61,K69,K76)</f>
        <v>3334.2200000000007</v>
      </c>
    </row>
    <row r="84" spans="1:11">
      <c r="J84" s="1" t="s">
        <v>376</v>
      </c>
      <c r="K84" s="87">
        <f>SUM(K6,K16,K33,K58)</f>
        <v>684.62</v>
      </c>
    </row>
    <row r="85" spans="1:11">
      <c r="J85" s="1" t="s">
        <v>373</v>
      </c>
      <c r="K85" s="87">
        <f>SUM(K26,K42,K63,K78)</f>
        <v>92.490000000000009</v>
      </c>
    </row>
    <row r="86" spans="1:11">
      <c r="J86" s="1" t="s">
        <v>374</v>
      </c>
      <c r="K86" s="87">
        <f>SUM(K64)</f>
        <v>9</v>
      </c>
    </row>
    <row r="87" spans="1:11">
      <c r="J87" s="1" t="s">
        <v>375</v>
      </c>
      <c r="K87" s="88">
        <f>SUM(K9,K58)</f>
        <v>1460.34</v>
      </c>
    </row>
    <row r="88" spans="1:11">
      <c r="J88" s="1" t="s">
        <v>377</v>
      </c>
      <c r="K88" s="87">
        <f>SUM(K82:K87)</f>
        <v>6611.1200000000008</v>
      </c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1"/>
  <sheetViews>
    <sheetView topLeftCell="A31" workbookViewId="0">
      <selection activeCell="I90" sqref="I90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>
      <c r="A2" s="44">
        <v>41548</v>
      </c>
      <c r="B2" s="8" t="s">
        <v>252</v>
      </c>
      <c r="C2" s="11" t="s">
        <v>161</v>
      </c>
      <c r="D2" s="17">
        <v>66.099999999999994</v>
      </c>
      <c r="E2" s="51" t="s">
        <v>37</v>
      </c>
      <c r="F2" s="28"/>
      <c r="G2" s="23"/>
      <c r="H2" s="33">
        <v>149</v>
      </c>
      <c r="I2" s="5" t="s">
        <v>159</v>
      </c>
    </row>
    <row r="3" spans="1:9">
      <c r="A3" s="9"/>
      <c r="B3" s="9" t="s">
        <v>423</v>
      </c>
      <c r="C3" s="10"/>
      <c r="D3" s="17"/>
      <c r="E3" s="18"/>
      <c r="F3" s="29"/>
      <c r="G3" s="24"/>
      <c r="H3" s="34"/>
      <c r="I3" s="6"/>
    </row>
    <row r="4" spans="1:9">
      <c r="A4" s="9"/>
      <c r="B4" s="9"/>
      <c r="C4" s="10" t="s">
        <v>30</v>
      </c>
      <c r="D4" s="17">
        <v>7.45</v>
      </c>
      <c r="E4" s="51" t="s">
        <v>207</v>
      </c>
      <c r="F4" s="29">
        <v>6</v>
      </c>
      <c r="G4" s="24" t="s">
        <v>45</v>
      </c>
      <c r="H4" s="34">
        <v>149</v>
      </c>
      <c r="I4" s="6" t="s">
        <v>159</v>
      </c>
    </row>
    <row r="5" spans="1:9">
      <c r="A5" s="9"/>
      <c r="B5" s="9"/>
      <c r="C5" s="10"/>
      <c r="D5" s="17"/>
      <c r="E5" s="51"/>
      <c r="F5" s="29"/>
      <c r="G5" s="24"/>
      <c r="H5" s="34"/>
      <c r="I5" s="6"/>
    </row>
    <row r="6" spans="1:9">
      <c r="A6" s="9"/>
      <c r="B6" s="9"/>
      <c r="C6" s="10"/>
      <c r="D6" s="17"/>
      <c r="E6" s="6"/>
      <c r="F6" s="17"/>
      <c r="G6" s="6"/>
      <c r="H6" s="35"/>
      <c r="I6" s="2"/>
    </row>
    <row r="7" spans="1:9">
      <c r="A7" s="12" t="s">
        <v>4</v>
      </c>
      <c r="B7" s="10"/>
      <c r="C7" s="10"/>
      <c r="D7" s="20">
        <f>SUM(D2:D6)</f>
        <v>73.55</v>
      </c>
      <c r="E7" s="6"/>
      <c r="F7" s="31">
        <f>SUM(F2:F6)</f>
        <v>6</v>
      </c>
      <c r="G7" s="26"/>
      <c r="H7" s="36">
        <f>SUM(H2:H6)</f>
        <v>298</v>
      </c>
      <c r="I7" s="2"/>
    </row>
    <row r="8" spans="1:9" ht="15.75" thickBot="1">
      <c r="A8" s="13" t="s">
        <v>5</v>
      </c>
      <c r="B8" s="39">
        <f>SUM(D7+F7+H7)</f>
        <v>377.55</v>
      </c>
      <c r="C8" s="38"/>
      <c r="D8" s="21"/>
      <c r="E8" s="22"/>
      <c r="F8" s="32"/>
      <c r="G8" s="27"/>
      <c r="H8" s="37"/>
      <c r="I8" s="3"/>
    </row>
    <row r="9" spans="1:9">
      <c r="A9" s="8" t="s">
        <v>415</v>
      </c>
      <c r="B9" s="8" t="s">
        <v>252</v>
      </c>
      <c r="C9" s="11" t="s">
        <v>26</v>
      </c>
      <c r="D9" s="17">
        <f>57.59+131.87+4.69+43.27+18.9</f>
        <v>256.32</v>
      </c>
      <c r="E9" s="51" t="s">
        <v>207</v>
      </c>
      <c r="F9" s="28">
        <f>16.52</f>
        <v>16.52</v>
      </c>
      <c r="G9" s="23" t="s">
        <v>159</v>
      </c>
      <c r="H9" s="33">
        <f>285.16+144.56</f>
        <v>429.72</v>
      </c>
      <c r="I9" s="5" t="s">
        <v>64</v>
      </c>
    </row>
    <row r="10" spans="1:9">
      <c r="A10" s="9"/>
      <c r="B10" s="9" t="s">
        <v>370</v>
      </c>
      <c r="C10" s="10"/>
      <c r="D10" s="17">
        <f>113.02+15.42+13.92+49.45+7.48</f>
        <v>199.29</v>
      </c>
      <c r="E10" s="18" t="s">
        <v>37</v>
      </c>
      <c r="F10" s="29">
        <f>73.21+55.2</f>
        <v>128.41</v>
      </c>
      <c r="G10" s="24" t="s">
        <v>419</v>
      </c>
      <c r="H10" s="34">
        <f>336.06+15.84+335.79</f>
        <v>687.69</v>
      </c>
      <c r="I10" s="6" t="s">
        <v>65</v>
      </c>
    </row>
    <row r="11" spans="1:9">
      <c r="A11" s="9"/>
      <c r="B11" s="9" t="s">
        <v>416</v>
      </c>
      <c r="C11" s="10"/>
      <c r="D11" s="17"/>
      <c r="E11" s="51"/>
      <c r="F11" s="29"/>
      <c r="G11" s="24"/>
      <c r="H11" s="34">
        <f>141.26+18.93+174.92+289.55</f>
        <v>624.66000000000008</v>
      </c>
      <c r="I11" s="6" t="s">
        <v>54</v>
      </c>
    </row>
    <row r="12" spans="1:9">
      <c r="A12" s="9"/>
      <c r="B12" s="9" t="s">
        <v>417</v>
      </c>
      <c r="C12" s="10"/>
      <c r="D12" s="17"/>
      <c r="E12" s="51"/>
      <c r="F12" s="29"/>
      <c r="G12" s="24"/>
      <c r="H12" s="34"/>
      <c r="I12" s="6"/>
    </row>
    <row r="13" spans="1:9">
      <c r="A13" s="9"/>
      <c r="B13" s="9" t="s">
        <v>418</v>
      </c>
      <c r="C13" s="10" t="s">
        <v>27</v>
      </c>
      <c r="D13" s="17">
        <f>85.58+12.79+11.21</f>
        <v>109.58000000000001</v>
      </c>
      <c r="E13" s="6" t="s">
        <v>207</v>
      </c>
      <c r="F13" s="17">
        <f>16.81</f>
        <v>16.809999999999999</v>
      </c>
      <c r="G13" s="6" t="s">
        <v>159</v>
      </c>
      <c r="H13" s="35">
        <f>74.07</f>
        <v>74.069999999999993</v>
      </c>
      <c r="I13" s="2" t="s">
        <v>64</v>
      </c>
    </row>
    <row r="14" spans="1:9">
      <c r="A14" s="10"/>
      <c r="B14" s="14"/>
      <c r="C14" s="10"/>
      <c r="D14" s="19">
        <f>5.43+136.7</f>
        <v>142.13</v>
      </c>
      <c r="E14" s="6" t="s">
        <v>37</v>
      </c>
      <c r="F14" s="30"/>
      <c r="G14" s="25"/>
      <c r="H14" s="35">
        <f>336.06+126.03+15.84+335.79</f>
        <v>813.72</v>
      </c>
      <c r="I14" s="2" t="s">
        <v>65</v>
      </c>
    </row>
    <row r="15" spans="1:9">
      <c r="A15" s="10"/>
      <c r="B15" s="14"/>
      <c r="C15" s="10"/>
      <c r="D15" s="19"/>
      <c r="E15" s="6"/>
      <c r="F15" s="30"/>
      <c r="G15" s="25"/>
      <c r="H15" s="35">
        <f>141.26+261.08+174.92+296.78</f>
        <v>874.04</v>
      </c>
      <c r="I15" s="2" t="s">
        <v>54</v>
      </c>
    </row>
    <row r="16" spans="1:9">
      <c r="A16" s="10"/>
      <c r="B16" s="14"/>
      <c r="C16" s="10"/>
      <c r="D16" s="19"/>
      <c r="E16" s="6"/>
      <c r="F16" s="30"/>
      <c r="G16" s="25"/>
      <c r="H16" s="35"/>
      <c r="I16" s="2"/>
    </row>
    <row r="17" spans="1:9">
      <c r="A17" s="10"/>
      <c r="B17" s="14"/>
      <c r="C17" s="10"/>
      <c r="D17" s="19"/>
      <c r="E17" s="6"/>
      <c r="F17" s="30"/>
      <c r="G17" s="25"/>
      <c r="H17" s="35"/>
      <c r="I17" s="2"/>
    </row>
    <row r="18" spans="1:9">
      <c r="A18" s="10"/>
      <c r="B18" s="14"/>
      <c r="C18" s="9"/>
      <c r="D18" s="19"/>
      <c r="E18" s="6"/>
      <c r="F18" s="30"/>
      <c r="G18" s="25"/>
      <c r="H18" s="34"/>
      <c r="I18" s="2"/>
    </row>
    <row r="19" spans="1:9">
      <c r="A19" s="12" t="s">
        <v>4</v>
      </c>
      <c r="B19" s="10"/>
      <c r="C19" s="10"/>
      <c r="D19" s="20">
        <f>SUM(D9:D18)</f>
        <v>707.32</v>
      </c>
      <c r="E19" s="6"/>
      <c r="F19" s="31">
        <f>SUM(F9:F18)</f>
        <v>161.74</v>
      </c>
      <c r="G19" s="26"/>
      <c r="H19" s="36">
        <f>SUM(H9:H18)</f>
        <v>3503.9</v>
      </c>
      <c r="I19" s="2"/>
    </row>
    <row r="20" spans="1:9" ht="15.75" thickBot="1">
      <c r="A20" s="13" t="s">
        <v>5</v>
      </c>
      <c r="B20" s="39">
        <f>SUM(D19+F19+H19)</f>
        <v>4372.96</v>
      </c>
      <c r="C20" s="38"/>
      <c r="D20" s="21"/>
      <c r="E20" s="22"/>
      <c r="F20" s="32"/>
      <c r="G20" s="27"/>
      <c r="H20" s="37"/>
      <c r="I20" s="3"/>
    </row>
    <row r="21" spans="1:9">
      <c r="A21" s="44" t="s">
        <v>495</v>
      </c>
      <c r="B21" s="8" t="s">
        <v>252</v>
      </c>
      <c r="C21" s="11" t="s">
        <v>21</v>
      </c>
      <c r="D21" s="17">
        <f>2.59+44.11</f>
        <v>46.7</v>
      </c>
      <c r="E21" s="51" t="s">
        <v>207</v>
      </c>
      <c r="F21" s="28"/>
      <c r="G21" s="23"/>
      <c r="H21" s="33">
        <f>1121.72</f>
        <v>1121.72</v>
      </c>
      <c r="I21" s="5" t="s">
        <v>131</v>
      </c>
    </row>
    <row r="22" spans="1:9">
      <c r="A22" s="9"/>
      <c r="B22" s="9" t="s">
        <v>338</v>
      </c>
      <c r="C22" s="10"/>
      <c r="D22" s="17">
        <f>110.8+121.55+16.39</f>
        <v>248.74</v>
      </c>
      <c r="E22" s="18" t="s">
        <v>37</v>
      </c>
      <c r="F22" s="29"/>
      <c r="G22" s="24"/>
      <c r="H22" s="34">
        <v>1112.23</v>
      </c>
      <c r="I22" s="6" t="s">
        <v>54</v>
      </c>
    </row>
    <row r="23" spans="1:9">
      <c r="A23" s="9"/>
      <c r="B23" s="9" t="s">
        <v>384</v>
      </c>
      <c r="C23" s="10"/>
      <c r="D23" s="17">
        <f>184.66</f>
        <v>184.66</v>
      </c>
      <c r="E23" s="51" t="s">
        <v>497</v>
      </c>
      <c r="F23" s="29"/>
      <c r="G23" s="24"/>
      <c r="H23" s="34">
        <f>15.26+26.09</f>
        <v>41.35</v>
      </c>
      <c r="I23" s="6" t="s">
        <v>64</v>
      </c>
    </row>
    <row r="24" spans="1:9">
      <c r="A24" s="9"/>
      <c r="B24" s="9"/>
      <c r="C24" s="10"/>
      <c r="D24" s="17"/>
      <c r="E24" s="51"/>
      <c r="F24" s="29"/>
      <c r="G24" s="24"/>
      <c r="H24" s="34"/>
      <c r="I24" s="6"/>
    </row>
    <row r="25" spans="1:9">
      <c r="A25" s="9"/>
      <c r="B25" s="9"/>
      <c r="C25" s="10"/>
      <c r="D25" s="17"/>
      <c r="E25" s="6"/>
      <c r="F25" s="17"/>
      <c r="G25" s="6"/>
      <c r="H25" s="35"/>
      <c r="I25" s="2"/>
    </row>
    <row r="26" spans="1:9">
      <c r="A26" s="12" t="s">
        <v>4</v>
      </c>
      <c r="B26" s="10"/>
      <c r="C26" s="10"/>
      <c r="D26" s="20">
        <f>SUM(D21:D25)</f>
        <v>480.1</v>
      </c>
      <c r="E26" s="6"/>
      <c r="F26" s="31">
        <f>SUM(F21:F25)</f>
        <v>0</v>
      </c>
      <c r="G26" s="26"/>
      <c r="H26" s="36">
        <f>SUM(H21:H25)</f>
        <v>2275.2999999999997</v>
      </c>
      <c r="I26" s="2"/>
    </row>
    <row r="27" spans="1:9" ht="15.75" thickBot="1">
      <c r="A27" s="13" t="s">
        <v>5</v>
      </c>
      <c r="B27" s="39">
        <f>SUM(D26+F26+H26)</f>
        <v>2755.3999999999996</v>
      </c>
      <c r="C27" s="38"/>
      <c r="D27" s="21"/>
      <c r="E27" s="22"/>
      <c r="F27" s="32"/>
      <c r="G27" s="27"/>
      <c r="H27" s="37"/>
      <c r="I27" s="3"/>
    </row>
    <row r="28" spans="1:9">
      <c r="A28" s="8" t="s">
        <v>397</v>
      </c>
      <c r="B28" s="8" t="s">
        <v>398</v>
      </c>
      <c r="C28" s="11" t="s">
        <v>339</v>
      </c>
      <c r="D28" s="17">
        <f>7.29</f>
        <v>7.29</v>
      </c>
      <c r="E28" s="51" t="s">
        <v>207</v>
      </c>
      <c r="F28" s="28">
        <v>111.95</v>
      </c>
      <c r="G28" s="23" t="s">
        <v>61</v>
      </c>
      <c r="H28" s="33">
        <v>503.6</v>
      </c>
      <c r="I28" s="5" t="s">
        <v>131</v>
      </c>
    </row>
    <row r="29" spans="1:9">
      <c r="A29" s="9"/>
      <c r="B29" s="9" t="s">
        <v>399</v>
      </c>
      <c r="C29" s="10"/>
      <c r="D29" s="17">
        <f>25.83</f>
        <v>25.83</v>
      </c>
      <c r="E29" s="18" t="s">
        <v>401</v>
      </c>
      <c r="F29" s="29">
        <v>10</v>
      </c>
      <c r="G29" s="24" t="s">
        <v>107</v>
      </c>
      <c r="H29" s="34"/>
      <c r="I29" s="6"/>
    </row>
    <row r="30" spans="1:9">
      <c r="A30" s="9"/>
      <c r="B30" s="9"/>
      <c r="C30" s="10"/>
      <c r="D30" s="17">
        <f>69.87</f>
        <v>69.87</v>
      </c>
      <c r="E30" s="51" t="s">
        <v>402</v>
      </c>
      <c r="F30" s="29">
        <v>62.1</v>
      </c>
      <c r="G30" s="24" t="s">
        <v>44</v>
      </c>
      <c r="H30" s="34"/>
      <c r="I30" s="6"/>
    </row>
    <row r="31" spans="1:9">
      <c r="A31" s="9"/>
      <c r="B31" s="9"/>
      <c r="C31" s="10"/>
      <c r="D31" s="17"/>
      <c r="E31" s="51"/>
      <c r="F31" s="29"/>
      <c r="G31" s="24"/>
      <c r="H31" s="34"/>
      <c r="I31" s="6"/>
    </row>
    <row r="32" spans="1:9">
      <c r="A32" s="9"/>
      <c r="B32" s="9"/>
      <c r="C32" s="10" t="s">
        <v>30</v>
      </c>
      <c r="D32" s="17">
        <f>10.7+7.8</f>
        <v>18.5</v>
      </c>
      <c r="E32" s="6" t="s">
        <v>207</v>
      </c>
      <c r="F32" s="17">
        <v>16.8</v>
      </c>
      <c r="G32" s="6" t="s">
        <v>61</v>
      </c>
      <c r="H32" s="35">
        <f>504.36</f>
        <v>504.36</v>
      </c>
      <c r="I32" s="2" t="s">
        <v>64</v>
      </c>
    </row>
    <row r="33" spans="1:9">
      <c r="A33" s="10"/>
      <c r="B33" s="14"/>
      <c r="C33" s="10"/>
      <c r="D33" s="19">
        <f>40.29+13.52</f>
        <v>53.81</v>
      </c>
      <c r="E33" s="6" t="s">
        <v>257</v>
      </c>
      <c r="F33" s="30">
        <v>6.2</v>
      </c>
      <c r="G33" s="25" t="s">
        <v>107</v>
      </c>
      <c r="H33" s="35">
        <v>503.6</v>
      </c>
      <c r="I33" s="2" t="s">
        <v>131</v>
      </c>
    </row>
    <row r="34" spans="1:9">
      <c r="A34" s="10"/>
      <c r="B34" s="14"/>
      <c r="C34" s="10"/>
      <c r="D34" s="19"/>
      <c r="E34" s="6"/>
      <c r="F34" s="30">
        <v>83.9</v>
      </c>
      <c r="G34" s="25" t="s">
        <v>44</v>
      </c>
      <c r="H34" s="35"/>
      <c r="I34" s="2"/>
    </row>
    <row r="35" spans="1:9">
      <c r="A35" s="10"/>
      <c r="B35" s="14"/>
      <c r="C35" s="10"/>
      <c r="D35" s="19"/>
      <c r="E35" s="6"/>
      <c r="F35" s="30"/>
      <c r="G35" s="25"/>
      <c r="H35" s="35"/>
      <c r="I35" s="2"/>
    </row>
    <row r="36" spans="1:9">
      <c r="A36" s="10"/>
      <c r="B36" s="14"/>
      <c r="C36" s="10"/>
      <c r="D36" s="19"/>
      <c r="E36" s="6"/>
      <c r="F36" s="30"/>
      <c r="G36" s="25"/>
      <c r="H36" s="35"/>
      <c r="I36" s="2"/>
    </row>
    <row r="37" spans="1:9">
      <c r="A37" s="10"/>
      <c r="B37" s="14"/>
      <c r="C37" s="9"/>
      <c r="D37" s="19"/>
      <c r="E37" s="6"/>
      <c r="F37" s="30"/>
      <c r="G37" s="25"/>
      <c r="H37" s="34"/>
      <c r="I37" s="2"/>
    </row>
    <row r="38" spans="1:9">
      <c r="A38" s="12" t="s">
        <v>4</v>
      </c>
      <c r="B38" s="10"/>
      <c r="C38" s="10"/>
      <c r="D38" s="20">
        <f>SUM(D28:D37)</f>
        <v>175.3</v>
      </c>
      <c r="E38" s="6"/>
      <c r="F38" s="31">
        <f>SUM(F28:F37)</f>
        <v>290.95000000000005</v>
      </c>
      <c r="G38" s="26"/>
      <c r="H38" s="36">
        <f>SUM(H28:H37)</f>
        <v>1511.56</v>
      </c>
      <c r="I38" s="2"/>
    </row>
    <row r="39" spans="1:9" ht="15.75" thickBot="1">
      <c r="A39" s="13" t="s">
        <v>5</v>
      </c>
      <c r="B39" s="39">
        <f>SUM(D38+F38+H38)</f>
        <v>1977.81</v>
      </c>
      <c r="C39" s="38"/>
      <c r="D39" s="21"/>
      <c r="E39" s="22"/>
      <c r="F39" s="32"/>
      <c r="G39" s="27"/>
      <c r="H39" s="37"/>
      <c r="I39" s="3"/>
    </row>
    <row r="40" spans="1:9">
      <c r="A40" s="8" t="s">
        <v>403</v>
      </c>
      <c r="B40" s="8" t="s">
        <v>252</v>
      </c>
      <c r="C40" s="11" t="s">
        <v>89</v>
      </c>
      <c r="D40" s="17">
        <f>54.21</f>
        <v>54.21</v>
      </c>
      <c r="E40" s="51" t="s">
        <v>207</v>
      </c>
      <c r="F40" s="28">
        <f>78</f>
        <v>78</v>
      </c>
      <c r="G40" s="23" t="s">
        <v>44</v>
      </c>
      <c r="H40" s="33">
        <v>713.94</v>
      </c>
      <c r="I40" s="5" t="s">
        <v>54</v>
      </c>
    </row>
    <row r="41" spans="1:9">
      <c r="A41" s="9"/>
      <c r="B41" s="9" t="s">
        <v>305</v>
      </c>
      <c r="C41" s="10"/>
      <c r="D41" s="17">
        <f>321.19+102.86</f>
        <v>424.05</v>
      </c>
      <c r="E41" s="18" t="s">
        <v>37</v>
      </c>
      <c r="F41" s="29"/>
      <c r="G41" s="24"/>
      <c r="H41" s="34">
        <v>483.72</v>
      </c>
      <c r="I41" s="6" t="s">
        <v>131</v>
      </c>
    </row>
    <row r="42" spans="1:9">
      <c r="A42" s="9"/>
      <c r="B42" s="9"/>
      <c r="C42" s="10"/>
      <c r="D42" s="17"/>
      <c r="E42" s="51"/>
      <c r="F42" s="29"/>
      <c r="G42" s="24"/>
      <c r="H42" s="34"/>
      <c r="I42" s="6"/>
    </row>
    <row r="43" spans="1:9">
      <c r="A43" s="9"/>
      <c r="B43" s="9"/>
      <c r="C43" s="10" t="s">
        <v>161</v>
      </c>
      <c r="D43" s="17">
        <f>3+182.21</f>
        <v>185.21</v>
      </c>
      <c r="E43" s="51" t="s">
        <v>207</v>
      </c>
      <c r="F43" s="29"/>
      <c r="G43" s="24"/>
      <c r="H43" s="34">
        <v>483.72</v>
      </c>
      <c r="I43" s="6" t="s">
        <v>131</v>
      </c>
    </row>
    <row r="44" spans="1:9">
      <c r="A44" s="10"/>
      <c r="B44" s="14"/>
      <c r="C44" s="10"/>
      <c r="D44" s="19">
        <f>185</f>
        <v>185</v>
      </c>
      <c r="E44" s="6" t="s">
        <v>37</v>
      </c>
      <c r="F44" s="30"/>
      <c r="G44" s="25"/>
      <c r="H44" s="35"/>
      <c r="I44" s="2"/>
    </row>
    <row r="45" spans="1:9">
      <c r="A45" s="10"/>
      <c r="B45" s="14"/>
      <c r="C45" s="10"/>
      <c r="D45" s="19"/>
      <c r="E45" s="6"/>
      <c r="F45" s="30"/>
      <c r="G45" s="25"/>
      <c r="H45" s="35"/>
      <c r="I45" s="2"/>
    </row>
    <row r="46" spans="1:9">
      <c r="A46" s="10"/>
      <c r="B46" s="14"/>
      <c r="C46" s="9"/>
      <c r="D46" s="19"/>
      <c r="E46" s="6"/>
      <c r="F46" s="30"/>
      <c r="G46" s="25"/>
      <c r="H46" s="34"/>
      <c r="I46" s="2"/>
    </row>
    <row r="47" spans="1:9">
      <c r="A47" s="12" t="s">
        <v>4</v>
      </c>
      <c r="B47" s="10"/>
      <c r="C47" s="10"/>
      <c r="D47" s="20">
        <f>SUM(D40:D46)</f>
        <v>848.47</v>
      </c>
      <c r="E47" s="6"/>
      <c r="F47" s="31">
        <f>SUM(F40:F46)</f>
        <v>78</v>
      </c>
      <c r="G47" s="26"/>
      <c r="H47" s="36">
        <f>SUM(H40:H46)</f>
        <v>1681.38</v>
      </c>
      <c r="I47" s="2"/>
    </row>
    <row r="48" spans="1:9" ht="15.75" thickBot="1">
      <c r="A48" s="13" t="s">
        <v>5</v>
      </c>
      <c r="B48" s="39">
        <f>SUM(D47+F47+H47)</f>
        <v>2607.8500000000004</v>
      </c>
      <c r="C48" s="38"/>
      <c r="D48" s="21"/>
      <c r="E48" s="22"/>
      <c r="F48" s="32"/>
      <c r="G48" s="27"/>
      <c r="H48" s="37"/>
      <c r="I48" s="3"/>
    </row>
    <row r="49" spans="1:9">
      <c r="A49" s="44" t="s">
        <v>425</v>
      </c>
      <c r="B49" s="8" t="s">
        <v>252</v>
      </c>
      <c r="C49" s="11" t="s">
        <v>426</v>
      </c>
      <c r="D49" s="17"/>
      <c r="E49" s="51"/>
      <c r="F49" s="28"/>
      <c r="G49" s="23"/>
      <c r="H49" s="33">
        <v>294.82</v>
      </c>
      <c r="I49" s="5" t="s">
        <v>131</v>
      </c>
    </row>
    <row r="50" spans="1:9">
      <c r="A50" s="9"/>
      <c r="B50" s="9" t="s">
        <v>277</v>
      </c>
      <c r="C50" s="10"/>
      <c r="D50" s="17"/>
      <c r="E50" s="18"/>
      <c r="F50" s="29"/>
      <c r="G50" s="24"/>
      <c r="H50" s="34"/>
      <c r="I50" s="6"/>
    </row>
    <row r="51" spans="1:9">
      <c r="A51" s="9"/>
      <c r="B51" s="9"/>
      <c r="C51" s="10" t="s">
        <v>161</v>
      </c>
      <c r="D51" s="17">
        <f>60.6+60.64</f>
        <v>121.24000000000001</v>
      </c>
      <c r="E51" s="51" t="s">
        <v>207</v>
      </c>
      <c r="F51" s="29">
        <v>13.13</v>
      </c>
      <c r="G51" s="24" t="s">
        <v>61</v>
      </c>
      <c r="H51" s="34">
        <v>294.82</v>
      </c>
      <c r="I51" s="6" t="s">
        <v>131</v>
      </c>
    </row>
    <row r="52" spans="1:9">
      <c r="A52" s="9"/>
      <c r="B52" s="9"/>
      <c r="C52" s="10"/>
      <c r="D52" s="17">
        <f>145</f>
        <v>145</v>
      </c>
      <c r="E52" s="51" t="s">
        <v>37</v>
      </c>
      <c r="F52" s="29"/>
      <c r="G52" s="24"/>
      <c r="H52" s="34">
        <v>226.73</v>
      </c>
      <c r="I52" s="6" t="s">
        <v>54</v>
      </c>
    </row>
    <row r="53" spans="1:9">
      <c r="A53" s="10"/>
      <c r="B53" s="14"/>
      <c r="C53" s="10"/>
      <c r="D53" s="19"/>
      <c r="E53" s="6"/>
      <c r="F53" s="30"/>
      <c r="G53" s="25"/>
      <c r="H53" s="35"/>
      <c r="I53" s="2"/>
    </row>
    <row r="54" spans="1:9">
      <c r="A54" s="10"/>
      <c r="B54" s="14"/>
      <c r="C54" s="10"/>
      <c r="D54" s="19"/>
      <c r="E54" s="6"/>
      <c r="F54" s="30"/>
      <c r="G54" s="25"/>
      <c r="H54" s="35"/>
      <c r="I54" s="2"/>
    </row>
    <row r="55" spans="1:9">
      <c r="A55" s="10"/>
      <c r="B55" s="14"/>
      <c r="C55" s="9"/>
      <c r="D55" s="19"/>
      <c r="E55" s="6"/>
      <c r="F55" s="30"/>
      <c r="G55" s="25"/>
      <c r="H55" s="34"/>
      <c r="I55" s="2"/>
    </row>
    <row r="56" spans="1:9">
      <c r="A56" s="12" t="s">
        <v>4</v>
      </c>
      <c r="B56" s="10"/>
      <c r="C56" s="10"/>
      <c r="D56" s="20">
        <f>SUM(D49:D55)</f>
        <v>266.24</v>
      </c>
      <c r="E56" s="6"/>
      <c r="F56" s="31">
        <f>SUM(F49:F55)</f>
        <v>13.13</v>
      </c>
      <c r="G56" s="26"/>
      <c r="H56" s="36">
        <f>SUM(H49:H55)</f>
        <v>816.37</v>
      </c>
      <c r="I56" s="2"/>
    </row>
    <row r="57" spans="1:9" ht="15.75" thickBot="1">
      <c r="A57" s="13" t="s">
        <v>5</v>
      </c>
      <c r="B57" s="39">
        <f>SUM(D56+F56+H56)</f>
        <v>1095.74</v>
      </c>
      <c r="C57" s="38"/>
      <c r="D57" s="21"/>
      <c r="E57" s="22"/>
      <c r="F57" s="32"/>
      <c r="G57" s="27"/>
      <c r="H57" s="37"/>
      <c r="I57" s="3"/>
    </row>
    <row r="58" spans="1:9">
      <c r="A58" s="44" t="s">
        <v>496</v>
      </c>
      <c r="B58" s="8" t="s">
        <v>292</v>
      </c>
      <c r="C58" s="11" t="s">
        <v>21</v>
      </c>
      <c r="D58" s="17">
        <f>46.48</f>
        <v>46.48</v>
      </c>
      <c r="E58" s="51" t="s">
        <v>207</v>
      </c>
      <c r="F58" s="28"/>
      <c r="G58" s="23"/>
      <c r="H58" s="33">
        <v>376.81</v>
      </c>
      <c r="I58" s="5" t="s">
        <v>131</v>
      </c>
    </row>
    <row r="59" spans="1:9">
      <c r="A59" s="9"/>
      <c r="B59" s="9" t="s">
        <v>322</v>
      </c>
      <c r="C59" s="10"/>
      <c r="D59" s="17">
        <f>110.57+30.86</f>
        <v>141.43</v>
      </c>
      <c r="E59" s="18" t="s">
        <v>37</v>
      </c>
      <c r="F59" s="29"/>
      <c r="G59" s="24"/>
      <c r="H59" s="34">
        <f>198.95+132.14</f>
        <v>331.09</v>
      </c>
      <c r="I59" s="6" t="s">
        <v>54</v>
      </c>
    </row>
    <row r="60" spans="1:9">
      <c r="A60" s="9"/>
      <c r="B60" s="9"/>
      <c r="C60" s="10"/>
      <c r="D60" s="17"/>
      <c r="E60" s="51"/>
      <c r="F60" s="29"/>
      <c r="G60" s="24"/>
      <c r="H60" s="34">
        <v>88.19</v>
      </c>
      <c r="I60" s="6" t="s">
        <v>64</v>
      </c>
    </row>
    <row r="61" spans="1:9">
      <c r="A61" s="9"/>
      <c r="B61" s="9"/>
      <c r="C61" s="10"/>
      <c r="D61" s="17"/>
      <c r="E61" s="51"/>
      <c r="F61" s="29"/>
      <c r="G61" s="24"/>
      <c r="H61" s="34"/>
      <c r="I61" s="6"/>
    </row>
    <row r="62" spans="1:9">
      <c r="A62" s="10"/>
      <c r="B62" s="14"/>
      <c r="C62" s="10"/>
      <c r="D62" s="19"/>
      <c r="E62" s="6"/>
      <c r="F62" s="30"/>
      <c r="G62" s="25"/>
      <c r="H62" s="35"/>
      <c r="I62" s="2"/>
    </row>
    <row r="63" spans="1:9">
      <c r="A63" s="10"/>
      <c r="B63" s="14"/>
      <c r="C63" s="10"/>
      <c r="D63" s="19"/>
      <c r="E63" s="6"/>
      <c r="F63" s="30"/>
      <c r="G63" s="25"/>
      <c r="H63" s="35"/>
      <c r="I63" s="2"/>
    </row>
    <row r="64" spans="1:9">
      <c r="A64" s="10"/>
      <c r="B64" s="14"/>
      <c r="C64" s="9"/>
      <c r="D64" s="19"/>
      <c r="E64" s="6"/>
      <c r="F64" s="30"/>
      <c r="G64" s="25"/>
      <c r="H64" s="34"/>
      <c r="I64" s="2"/>
    </row>
    <row r="65" spans="1:9">
      <c r="A65" s="12" t="s">
        <v>4</v>
      </c>
      <c r="B65" s="10"/>
      <c r="C65" s="10"/>
      <c r="D65" s="20">
        <f>SUM(D58:D64)</f>
        <v>187.91</v>
      </c>
      <c r="E65" s="6"/>
      <c r="F65" s="31">
        <f>SUM(F58:F64)</f>
        <v>0</v>
      </c>
      <c r="G65" s="26"/>
      <c r="H65" s="36">
        <f>SUM(H58:H64)</f>
        <v>796.08999999999992</v>
      </c>
      <c r="I65" s="2"/>
    </row>
    <row r="66" spans="1:9" ht="15.75" thickBot="1">
      <c r="A66" s="13" t="s">
        <v>5</v>
      </c>
      <c r="B66" s="39">
        <f>SUM(D65+F65+H65)</f>
        <v>983.99999999999989</v>
      </c>
      <c r="C66" s="38"/>
      <c r="D66" s="21"/>
      <c r="E66" s="22"/>
      <c r="F66" s="32"/>
      <c r="G66" s="27"/>
      <c r="H66" s="37"/>
      <c r="I66" s="3"/>
    </row>
    <row r="67" spans="1:9">
      <c r="A67" s="44">
        <v>41564</v>
      </c>
      <c r="B67" s="8" t="s">
        <v>292</v>
      </c>
      <c r="C67" s="11" t="s">
        <v>89</v>
      </c>
      <c r="D67" s="17">
        <f>1.6+4.58</f>
        <v>6.18</v>
      </c>
      <c r="E67" s="51" t="s">
        <v>207</v>
      </c>
      <c r="F67" s="28">
        <v>25</v>
      </c>
      <c r="G67" s="23" t="s">
        <v>44</v>
      </c>
      <c r="H67" s="33">
        <v>323.18</v>
      </c>
      <c r="I67" s="5" t="s">
        <v>131</v>
      </c>
    </row>
    <row r="68" spans="1:9">
      <c r="A68" s="9"/>
      <c r="B68" s="9" t="s">
        <v>305</v>
      </c>
      <c r="C68" s="10"/>
      <c r="D68" s="17">
        <v>135.88</v>
      </c>
      <c r="E68" s="18" t="s">
        <v>37</v>
      </c>
      <c r="F68" s="29">
        <v>122.01</v>
      </c>
      <c r="G68" s="24" t="s">
        <v>61</v>
      </c>
      <c r="H68" s="34"/>
      <c r="I68" s="6"/>
    </row>
    <row r="69" spans="1:9">
      <c r="A69" s="9"/>
      <c r="B69" s="9"/>
      <c r="C69" s="10"/>
      <c r="D69" s="17">
        <v>5.91</v>
      </c>
      <c r="E69" s="51" t="s">
        <v>257</v>
      </c>
      <c r="F69" s="29">
        <v>17.739999999999998</v>
      </c>
      <c r="G69" s="24" t="s">
        <v>159</v>
      </c>
      <c r="H69" s="34"/>
      <c r="I69" s="6"/>
    </row>
    <row r="70" spans="1:9">
      <c r="A70" s="9"/>
      <c r="B70" s="9"/>
      <c r="C70" s="10"/>
      <c r="D70" s="17"/>
      <c r="E70" s="51"/>
      <c r="F70" s="29"/>
      <c r="G70" s="24"/>
      <c r="H70" s="34"/>
      <c r="I70" s="6"/>
    </row>
    <row r="71" spans="1:9">
      <c r="A71" s="10"/>
      <c r="B71" s="14"/>
      <c r="C71" s="10"/>
      <c r="D71" s="19"/>
      <c r="E71" s="6"/>
      <c r="F71" s="30"/>
      <c r="G71" s="25"/>
      <c r="H71" s="35"/>
      <c r="I71" s="2"/>
    </row>
    <row r="72" spans="1:9">
      <c r="A72" s="10"/>
      <c r="B72" s="14"/>
      <c r="C72" s="10"/>
      <c r="D72" s="19"/>
      <c r="E72" s="6"/>
      <c r="F72" s="30"/>
      <c r="G72" s="25"/>
      <c r="H72" s="35"/>
      <c r="I72" s="2"/>
    </row>
    <row r="73" spans="1:9">
      <c r="A73" s="10"/>
      <c r="B73" s="14"/>
      <c r="C73" s="9"/>
      <c r="D73" s="19"/>
      <c r="E73" s="6"/>
      <c r="F73" s="30"/>
      <c r="G73" s="25"/>
      <c r="H73" s="34"/>
      <c r="I73" s="2"/>
    </row>
    <row r="74" spans="1:9">
      <c r="A74" s="12" t="s">
        <v>4</v>
      </c>
      <c r="B74" s="10"/>
      <c r="C74" s="10"/>
      <c r="D74" s="20">
        <f>SUM(D67:D73)</f>
        <v>147.97</v>
      </c>
      <c r="E74" s="6"/>
      <c r="F74" s="31">
        <f>SUM(F67:F73)</f>
        <v>164.75</v>
      </c>
      <c r="G74" s="26"/>
      <c r="H74" s="36">
        <f>SUM(H67:H73)</f>
        <v>323.18</v>
      </c>
      <c r="I74" s="2"/>
    </row>
    <row r="75" spans="1:9" ht="15.75" thickBot="1">
      <c r="A75" s="13" t="s">
        <v>5</v>
      </c>
      <c r="B75" s="39">
        <f>SUM(D74+F74+H74)</f>
        <v>635.90000000000009</v>
      </c>
      <c r="C75" s="38"/>
      <c r="D75" s="21"/>
      <c r="E75" s="22"/>
      <c r="F75" s="32"/>
      <c r="G75" s="27"/>
      <c r="H75" s="37"/>
      <c r="I75" s="3"/>
    </row>
    <row r="76" spans="1:9">
      <c r="A76" s="44">
        <v>41565</v>
      </c>
      <c r="B76" s="8" t="s">
        <v>292</v>
      </c>
      <c r="C76" s="11" t="s">
        <v>13</v>
      </c>
      <c r="D76" s="17">
        <f>2.7</f>
        <v>2.7</v>
      </c>
      <c r="E76" s="51" t="s">
        <v>207</v>
      </c>
      <c r="F76" s="28">
        <v>11</v>
      </c>
      <c r="G76" s="23" t="s">
        <v>159</v>
      </c>
      <c r="H76" s="33">
        <v>1078.67</v>
      </c>
      <c r="I76" s="5" t="s">
        <v>131</v>
      </c>
    </row>
    <row r="77" spans="1:9">
      <c r="A77" s="9"/>
      <c r="B77" s="9" t="s">
        <v>283</v>
      </c>
      <c r="C77" s="10"/>
      <c r="D77" s="17">
        <f>29.7</f>
        <v>29.7</v>
      </c>
      <c r="E77" s="18" t="s">
        <v>37</v>
      </c>
      <c r="F77" s="29"/>
      <c r="G77" s="24"/>
      <c r="H77" s="34"/>
      <c r="I77" s="6"/>
    </row>
    <row r="78" spans="1:9">
      <c r="A78" s="9"/>
      <c r="B78" s="9"/>
      <c r="C78" s="10"/>
      <c r="D78" s="17"/>
      <c r="E78" s="51"/>
      <c r="F78" s="29"/>
      <c r="G78" s="24"/>
      <c r="H78" s="34"/>
      <c r="I78" s="6"/>
    </row>
    <row r="79" spans="1:9">
      <c r="A79" s="9"/>
      <c r="B79" s="9"/>
      <c r="C79" s="10" t="s">
        <v>14</v>
      </c>
      <c r="D79" s="17">
        <v>17.75</v>
      </c>
      <c r="E79" s="51" t="s">
        <v>207</v>
      </c>
      <c r="F79" s="29"/>
      <c r="G79" s="24"/>
      <c r="H79" s="34">
        <v>1153.67</v>
      </c>
      <c r="I79" s="6" t="s">
        <v>131</v>
      </c>
    </row>
    <row r="80" spans="1:9">
      <c r="A80" s="10"/>
      <c r="B80" s="14"/>
      <c r="C80" s="10"/>
      <c r="D80" s="19">
        <v>25.6</v>
      </c>
      <c r="E80" s="6" t="s">
        <v>37</v>
      </c>
      <c r="F80" s="30"/>
      <c r="G80" s="25"/>
      <c r="H80" s="35"/>
      <c r="I80" s="2"/>
    </row>
    <row r="81" spans="1:9">
      <c r="A81" s="10"/>
      <c r="B81" s="14"/>
      <c r="C81" s="10"/>
      <c r="D81" s="19"/>
      <c r="E81" s="6"/>
      <c r="F81" s="30"/>
      <c r="G81" s="25"/>
      <c r="H81" s="35"/>
      <c r="I81" s="2"/>
    </row>
    <row r="82" spans="1:9">
      <c r="A82" s="10"/>
      <c r="B82" s="14"/>
      <c r="C82" s="9"/>
      <c r="D82" s="19"/>
      <c r="E82" s="6"/>
      <c r="F82" s="30"/>
      <c r="G82" s="25"/>
      <c r="H82" s="34"/>
      <c r="I82" s="2"/>
    </row>
    <row r="83" spans="1:9">
      <c r="A83" s="12" t="s">
        <v>4</v>
      </c>
      <c r="B83" s="10"/>
      <c r="C83" s="10"/>
      <c r="D83" s="20">
        <f>SUM(D76:D82)</f>
        <v>75.75</v>
      </c>
      <c r="E83" s="6"/>
      <c r="F83" s="31">
        <f>SUM(F76:F82)</f>
        <v>11</v>
      </c>
      <c r="G83" s="26"/>
      <c r="H83" s="36">
        <f>SUM(H76:H82)</f>
        <v>2232.34</v>
      </c>
      <c r="I83" s="2"/>
    </row>
    <row r="84" spans="1:9" ht="15.75" thickBot="1">
      <c r="A84" s="13" t="s">
        <v>5</v>
      </c>
      <c r="B84" s="39">
        <f>SUM(D83+F83+H83)</f>
        <v>2319.09</v>
      </c>
      <c r="C84" s="38"/>
      <c r="D84" s="21"/>
      <c r="E84" s="22"/>
      <c r="F84" s="32"/>
      <c r="G84" s="27"/>
      <c r="H84" s="37"/>
      <c r="I84" s="3"/>
    </row>
    <row r="85" spans="1:9">
      <c r="A85" s="44" t="s">
        <v>410</v>
      </c>
      <c r="B85" s="8" t="s">
        <v>411</v>
      </c>
      <c r="C85" s="11" t="s">
        <v>30</v>
      </c>
      <c r="D85" s="17">
        <f>9+219.75</f>
        <v>228.75</v>
      </c>
      <c r="E85" s="51" t="s">
        <v>207</v>
      </c>
      <c r="F85" s="30">
        <v>14.35</v>
      </c>
      <c r="G85" s="25" t="s">
        <v>61</v>
      </c>
      <c r="H85" s="33">
        <f>62.89</f>
        <v>62.89</v>
      </c>
      <c r="I85" s="5" t="s">
        <v>64</v>
      </c>
    </row>
    <row r="86" spans="1:9">
      <c r="A86" s="9"/>
      <c r="B86" s="9" t="s">
        <v>412</v>
      </c>
      <c r="C86" s="10"/>
      <c r="D86" s="17">
        <f>26.78</f>
        <v>26.78</v>
      </c>
      <c r="E86" s="18" t="s">
        <v>37</v>
      </c>
      <c r="F86" s="30">
        <v>80</v>
      </c>
      <c r="G86" s="25" t="s">
        <v>44</v>
      </c>
      <c r="H86" s="34">
        <f>566.28+2092.26</f>
        <v>2658.54</v>
      </c>
      <c r="I86" s="6" t="s">
        <v>131</v>
      </c>
    </row>
    <row r="87" spans="1:9">
      <c r="A87" s="9"/>
      <c r="B87" s="9"/>
      <c r="C87" s="10"/>
      <c r="D87" s="17">
        <f>10</f>
        <v>10</v>
      </c>
      <c r="E87" s="51" t="s">
        <v>257</v>
      </c>
      <c r="F87" s="30">
        <v>10</v>
      </c>
      <c r="G87" s="25" t="s">
        <v>413</v>
      </c>
      <c r="H87" s="34"/>
      <c r="I87" s="6"/>
    </row>
    <row r="88" spans="1:9">
      <c r="A88" s="9"/>
      <c r="B88" s="9"/>
      <c r="C88" s="10"/>
      <c r="D88" s="17"/>
      <c r="E88" s="51"/>
      <c r="F88" s="29"/>
      <c r="G88" s="24"/>
      <c r="H88" s="34"/>
      <c r="I88" s="6"/>
    </row>
    <row r="89" spans="1:9">
      <c r="A89" s="10"/>
      <c r="B89" s="14"/>
      <c r="C89" s="10" t="s">
        <v>21</v>
      </c>
      <c r="D89" s="19">
        <f>31.16+22.02</f>
        <v>53.18</v>
      </c>
      <c r="E89" s="6" t="s">
        <v>207</v>
      </c>
      <c r="F89" s="30"/>
      <c r="G89" s="25"/>
      <c r="H89" s="35">
        <f>247.37</f>
        <v>247.37</v>
      </c>
      <c r="I89" s="2" t="s">
        <v>54</v>
      </c>
    </row>
    <row r="90" spans="1:9">
      <c r="A90" s="10"/>
      <c r="B90" s="14"/>
      <c r="C90" s="10"/>
      <c r="D90" s="19">
        <f>109.58</f>
        <v>109.58</v>
      </c>
      <c r="E90" s="6" t="s">
        <v>37</v>
      </c>
      <c r="F90" s="30"/>
      <c r="G90" s="25"/>
      <c r="H90" s="35"/>
      <c r="I90" s="2"/>
    </row>
    <row r="91" spans="1:9">
      <c r="A91" s="10"/>
      <c r="B91" s="14"/>
      <c r="C91" s="9"/>
      <c r="D91" s="19"/>
      <c r="E91" s="6"/>
      <c r="F91" s="30"/>
      <c r="G91" s="25"/>
      <c r="H91" s="34"/>
      <c r="I91" s="2"/>
    </row>
    <row r="92" spans="1:9">
      <c r="A92" s="10"/>
      <c r="B92" s="14"/>
      <c r="C92" s="9"/>
      <c r="D92" s="19"/>
      <c r="E92" s="6"/>
      <c r="F92" s="30"/>
      <c r="G92" s="25"/>
      <c r="H92" s="34"/>
      <c r="I92" s="2"/>
    </row>
    <row r="93" spans="1:9">
      <c r="A93" s="12" t="s">
        <v>4</v>
      </c>
      <c r="B93" s="10"/>
      <c r="C93" s="10"/>
      <c r="D93" s="20">
        <f>SUM(D85:D91)</f>
        <v>428.28999999999996</v>
      </c>
      <c r="E93" s="6"/>
      <c r="F93" s="31">
        <f>SUM(F85:F91)</f>
        <v>104.35</v>
      </c>
      <c r="G93" s="26"/>
      <c r="H93" s="36">
        <f>SUM(H85:H91)</f>
        <v>2968.7999999999997</v>
      </c>
      <c r="I93" s="2"/>
    </row>
    <row r="94" spans="1:9" ht="15.75" thickBot="1">
      <c r="A94" s="13" t="s">
        <v>5</v>
      </c>
      <c r="B94" s="39">
        <f>SUM(D93+F93+H93)</f>
        <v>3501.4399999999996</v>
      </c>
      <c r="C94" s="38"/>
      <c r="D94" s="21"/>
      <c r="E94" s="22"/>
      <c r="F94" s="32"/>
      <c r="G94" s="27"/>
      <c r="H94" s="37"/>
      <c r="I94" s="3"/>
    </row>
    <row r="95" spans="1:9">
      <c r="A95" s="8" t="s">
        <v>396</v>
      </c>
      <c r="B95" s="8" t="s">
        <v>398</v>
      </c>
      <c r="C95" s="11" t="s">
        <v>86</v>
      </c>
      <c r="D95" s="15">
        <v>46.66</v>
      </c>
      <c r="E95" s="40" t="s">
        <v>37</v>
      </c>
      <c r="F95" s="28">
        <v>70.7</v>
      </c>
      <c r="G95" s="23" t="s">
        <v>61</v>
      </c>
      <c r="H95" s="33">
        <v>128.52000000000001</v>
      </c>
      <c r="I95" s="5" t="s">
        <v>64</v>
      </c>
    </row>
    <row r="96" spans="1:9">
      <c r="A96" s="9"/>
      <c r="B96" s="9" t="s">
        <v>400</v>
      </c>
      <c r="C96" s="10"/>
      <c r="D96" s="17">
        <f>9.05+3.1</f>
        <v>12.15</v>
      </c>
      <c r="E96" s="51" t="s">
        <v>207</v>
      </c>
      <c r="F96" s="29">
        <v>4.3</v>
      </c>
      <c r="G96" s="24" t="s">
        <v>107</v>
      </c>
      <c r="H96" s="34">
        <f>410.04+184.52</f>
        <v>594.56000000000006</v>
      </c>
      <c r="I96" s="6" t="s">
        <v>54</v>
      </c>
    </row>
    <row r="97" spans="1:9">
      <c r="A97" s="9"/>
      <c r="B97" s="9"/>
      <c r="C97" s="10"/>
      <c r="D97" s="17"/>
      <c r="E97" s="18"/>
      <c r="F97" s="29">
        <v>87</v>
      </c>
      <c r="G97" s="24" t="s">
        <v>44</v>
      </c>
      <c r="H97" s="34">
        <v>1885.38</v>
      </c>
      <c r="I97" s="6" t="s">
        <v>131</v>
      </c>
    </row>
    <row r="98" spans="1:9">
      <c r="A98" s="9"/>
      <c r="B98" s="9"/>
      <c r="C98" s="10"/>
      <c r="D98" s="17"/>
      <c r="E98" s="51"/>
      <c r="F98" s="29"/>
      <c r="G98" s="24"/>
      <c r="H98" s="34"/>
      <c r="I98" s="6"/>
    </row>
    <row r="99" spans="1:9">
      <c r="A99" s="9" t="s">
        <v>428</v>
      </c>
      <c r="B99" s="9"/>
      <c r="C99" s="10" t="s">
        <v>89</v>
      </c>
      <c r="D99" s="17">
        <v>68.03</v>
      </c>
      <c r="E99" s="6"/>
      <c r="F99" s="17">
        <v>281.79000000000002</v>
      </c>
      <c r="G99" s="6" t="s">
        <v>61</v>
      </c>
      <c r="H99" s="35">
        <v>147.91</v>
      </c>
      <c r="I99" s="2" t="s">
        <v>64</v>
      </c>
    </row>
    <row r="100" spans="1:9">
      <c r="A100" s="10"/>
      <c r="B100" s="14"/>
      <c r="C100" s="10"/>
      <c r="D100" s="19">
        <v>76.81</v>
      </c>
      <c r="E100" s="6" t="s">
        <v>207</v>
      </c>
      <c r="F100" s="30">
        <v>35.700000000000003</v>
      </c>
      <c r="G100" s="25" t="s">
        <v>44</v>
      </c>
      <c r="H100" s="35">
        <v>615.05999999999995</v>
      </c>
      <c r="I100" s="2" t="s">
        <v>54</v>
      </c>
    </row>
    <row r="101" spans="1:9">
      <c r="A101" s="10"/>
      <c r="B101" s="14"/>
      <c r="C101" s="10"/>
      <c r="D101" s="19"/>
      <c r="E101" s="6"/>
      <c r="F101" s="30"/>
      <c r="G101" s="25"/>
      <c r="H101" s="35">
        <v>1161.8800000000001</v>
      </c>
      <c r="I101" s="2" t="s">
        <v>131</v>
      </c>
    </row>
    <row r="102" spans="1:9">
      <c r="A102" s="10"/>
      <c r="B102" s="14"/>
      <c r="C102" s="9"/>
      <c r="D102" s="19"/>
      <c r="E102" s="6"/>
      <c r="F102" s="30"/>
      <c r="G102" s="25"/>
      <c r="H102" s="34"/>
      <c r="I102" s="2"/>
    </row>
    <row r="103" spans="1:9">
      <c r="A103" s="12" t="s">
        <v>4</v>
      </c>
      <c r="B103" s="10"/>
      <c r="C103" s="10"/>
      <c r="D103" s="20">
        <f>SUM(D95:D102)</f>
        <v>203.65</v>
      </c>
      <c r="E103" s="6"/>
      <c r="F103" s="31">
        <f>SUM(F95:F102)</f>
        <v>479.49</v>
      </c>
      <c r="G103" s="26"/>
      <c r="H103" s="36">
        <f>SUM(H95:H102)</f>
        <v>4533.3099999999995</v>
      </c>
      <c r="I103" s="2"/>
    </row>
    <row r="104" spans="1:9" ht="15.75" thickBot="1">
      <c r="A104" s="13" t="s">
        <v>5</v>
      </c>
      <c r="B104" s="39">
        <f>SUM(D103+F103+H103)</f>
        <v>5216.45</v>
      </c>
      <c r="C104" s="38"/>
      <c r="D104" s="21"/>
      <c r="E104" s="22"/>
      <c r="F104" s="32"/>
      <c r="G104" s="27"/>
      <c r="H104" s="37"/>
      <c r="I104" s="3"/>
    </row>
    <row r="105" spans="1:9">
      <c r="A105" s="8" t="s">
        <v>422</v>
      </c>
      <c r="B105" s="8" t="s">
        <v>421</v>
      </c>
      <c r="C105" s="11" t="s">
        <v>13</v>
      </c>
      <c r="D105" s="15">
        <f>45.48+97+12.5</f>
        <v>154.97999999999999</v>
      </c>
      <c r="E105" s="40" t="s">
        <v>37</v>
      </c>
      <c r="F105" s="28">
        <v>11</v>
      </c>
      <c r="G105" s="23" t="s">
        <v>159</v>
      </c>
      <c r="H105" s="33">
        <v>1591.54</v>
      </c>
      <c r="I105" s="5" t="s">
        <v>131</v>
      </c>
    </row>
    <row r="106" spans="1:9">
      <c r="A106" s="9"/>
      <c r="B106" s="9" t="s">
        <v>292</v>
      </c>
      <c r="C106" s="10"/>
      <c r="D106" s="17">
        <f>19.07</f>
        <v>19.07</v>
      </c>
      <c r="E106" s="51" t="s">
        <v>257</v>
      </c>
      <c r="F106" s="29"/>
      <c r="G106" s="24"/>
      <c r="H106" s="34"/>
      <c r="I106" s="6"/>
    </row>
    <row r="107" spans="1:9">
      <c r="A107" s="9"/>
      <c r="B107" s="9"/>
      <c r="C107" s="10"/>
      <c r="D107" s="17"/>
      <c r="E107" s="18"/>
      <c r="F107" s="29"/>
      <c r="G107" s="24"/>
      <c r="H107" s="34"/>
      <c r="I107" s="6"/>
    </row>
    <row r="108" spans="1:9">
      <c r="A108" s="9"/>
      <c r="B108" s="9"/>
      <c r="C108" s="10" t="s">
        <v>427</v>
      </c>
      <c r="D108" s="17"/>
      <c r="E108" s="51"/>
      <c r="F108" s="29"/>
      <c r="G108" s="24"/>
      <c r="H108" s="34">
        <v>1543.8</v>
      </c>
      <c r="I108" s="6" t="s">
        <v>131</v>
      </c>
    </row>
    <row r="109" spans="1:9">
      <c r="A109" s="9"/>
      <c r="B109" s="9"/>
      <c r="C109" s="10"/>
      <c r="D109" s="17"/>
      <c r="E109" s="6"/>
      <c r="F109" s="17"/>
      <c r="G109" s="6"/>
      <c r="H109" s="35"/>
      <c r="I109" s="2"/>
    </row>
    <row r="110" spans="1:9">
      <c r="A110" s="10"/>
      <c r="B110" s="14"/>
      <c r="C110" s="10" t="s">
        <v>14</v>
      </c>
      <c r="D110" s="19">
        <v>90</v>
      </c>
      <c r="E110" s="6" t="s">
        <v>37</v>
      </c>
      <c r="F110" s="30"/>
      <c r="G110" s="25"/>
      <c r="H110" s="35">
        <v>1591.54</v>
      </c>
      <c r="I110" s="2" t="s">
        <v>131</v>
      </c>
    </row>
    <row r="111" spans="1:9">
      <c r="A111" s="10"/>
      <c r="B111" s="14"/>
      <c r="C111" s="10"/>
      <c r="D111" s="19"/>
      <c r="E111" s="6"/>
      <c r="F111" s="30"/>
      <c r="G111" s="25"/>
      <c r="H111" s="35">
        <v>566.21</v>
      </c>
      <c r="I111" s="2" t="s">
        <v>54</v>
      </c>
    </row>
    <row r="112" spans="1:9">
      <c r="A112" s="10"/>
      <c r="B112" s="14"/>
      <c r="C112" s="9"/>
      <c r="D112" s="19"/>
      <c r="E112" s="6"/>
      <c r="F112" s="30"/>
      <c r="G112" s="25"/>
      <c r="H112" s="34"/>
      <c r="I112" s="2"/>
    </row>
    <row r="113" spans="1:9">
      <c r="A113" s="12" t="s">
        <v>4</v>
      </c>
      <c r="B113" s="10"/>
      <c r="C113" s="10"/>
      <c r="D113" s="20">
        <f>SUM(D105:D112)</f>
        <v>264.04999999999995</v>
      </c>
      <c r="E113" s="6"/>
      <c r="F113" s="31">
        <f>SUM(F105:F112)</f>
        <v>11</v>
      </c>
      <c r="G113" s="26"/>
      <c r="H113" s="36">
        <f>SUM(H105:H112)</f>
        <v>5293.09</v>
      </c>
      <c r="I113" s="2"/>
    </row>
    <row r="114" spans="1:9" ht="15.75" thickBot="1">
      <c r="A114" s="13" t="s">
        <v>5</v>
      </c>
      <c r="B114" s="39">
        <f>SUM(D113+F113+H113)</f>
        <v>5568.14</v>
      </c>
      <c r="C114" s="38"/>
      <c r="D114" s="21"/>
      <c r="E114" s="22"/>
      <c r="F114" s="32"/>
      <c r="G114" s="27"/>
      <c r="H114" s="37"/>
      <c r="I114" s="3"/>
    </row>
    <row r="115" spans="1:9">
      <c r="A115" s="8" t="s">
        <v>407</v>
      </c>
      <c r="B115" s="8" t="s">
        <v>252</v>
      </c>
      <c r="C115" s="11" t="s">
        <v>18</v>
      </c>
      <c r="D115" s="17">
        <f>19.4+72.33+34.42+551.55</f>
        <v>677.69999999999993</v>
      </c>
      <c r="E115" s="51" t="s">
        <v>207</v>
      </c>
      <c r="F115" s="28">
        <v>3.73</v>
      </c>
      <c r="G115" s="23" t="s">
        <v>61</v>
      </c>
      <c r="H115" s="33">
        <v>77.59</v>
      </c>
      <c r="I115" s="5" t="s">
        <v>64</v>
      </c>
    </row>
    <row r="116" spans="1:9">
      <c r="A116" s="9"/>
      <c r="B116" s="9" t="s">
        <v>406</v>
      </c>
      <c r="C116" s="10"/>
      <c r="D116" s="17">
        <f>54.73+59</f>
        <v>113.72999999999999</v>
      </c>
      <c r="E116" s="18" t="s">
        <v>37</v>
      </c>
      <c r="F116" s="29"/>
      <c r="G116" s="24"/>
      <c r="H116" s="34">
        <f>1998.52+1743.99</f>
        <v>3742.51</v>
      </c>
      <c r="I116" s="6" t="s">
        <v>131</v>
      </c>
    </row>
    <row r="117" spans="1:9">
      <c r="A117" s="9"/>
      <c r="B117" s="9" t="s">
        <v>408</v>
      </c>
      <c r="C117" s="10"/>
      <c r="D117" s="17">
        <v>15.75</v>
      </c>
      <c r="E117" s="51" t="s">
        <v>409</v>
      </c>
      <c r="F117" s="29"/>
      <c r="G117" s="24"/>
      <c r="H117" s="34">
        <f>254.33+147.18+423.88</f>
        <v>825.39</v>
      </c>
      <c r="I117" s="6" t="s">
        <v>54</v>
      </c>
    </row>
    <row r="118" spans="1:9">
      <c r="A118" s="9"/>
      <c r="B118" s="9" t="s">
        <v>230</v>
      </c>
      <c r="C118" s="10"/>
      <c r="D118" s="17"/>
      <c r="E118" s="51"/>
      <c r="F118" s="29"/>
      <c r="G118" s="24"/>
      <c r="H118" s="34"/>
      <c r="I118" s="6"/>
    </row>
    <row r="119" spans="1:9">
      <c r="A119" s="10"/>
      <c r="B119" s="14"/>
      <c r="C119" s="10" t="s">
        <v>21</v>
      </c>
      <c r="D119" s="19">
        <f>117.15</f>
        <v>117.15</v>
      </c>
      <c r="E119" s="6" t="s">
        <v>207</v>
      </c>
      <c r="F119" s="30"/>
      <c r="G119" s="25"/>
      <c r="H119" s="35">
        <f>2198.11+230</f>
        <v>2428.11</v>
      </c>
      <c r="I119" s="2" t="s">
        <v>131</v>
      </c>
    </row>
    <row r="120" spans="1:9">
      <c r="A120" s="10"/>
      <c r="B120" s="14"/>
      <c r="C120" s="10"/>
      <c r="D120" s="19">
        <f>130.92+17.02+111.51</f>
        <v>259.45</v>
      </c>
      <c r="E120" s="6" t="s">
        <v>37</v>
      </c>
      <c r="F120" s="30"/>
      <c r="G120" s="25"/>
      <c r="H120" s="35">
        <f>230.36+423.88+32.8+256.9</f>
        <v>943.93999999999994</v>
      </c>
      <c r="I120" s="2" t="s">
        <v>54</v>
      </c>
    </row>
    <row r="121" spans="1:9">
      <c r="A121" s="10"/>
      <c r="B121" s="14"/>
      <c r="C121" s="10"/>
      <c r="D121" s="19"/>
      <c r="E121" s="6"/>
      <c r="F121" s="30"/>
      <c r="G121" s="25"/>
      <c r="H121" s="35">
        <f>6.87</f>
        <v>6.87</v>
      </c>
      <c r="I121" s="2" t="s">
        <v>64</v>
      </c>
    </row>
    <row r="122" spans="1:9">
      <c r="A122" s="10"/>
      <c r="B122" s="14"/>
      <c r="C122" s="9"/>
      <c r="D122" s="19"/>
      <c r="E122" s="6"/>
      <c r="F122" s="30"/>
      <c r="G122" s="25"/>
      <c r="H122" s="34"/>
      <c r="I122" s="2"/>
    </row>
    <row r="123" spans="1:9">
      <c r="A123" s="12" t="s">
        <v>4</v>
      </c>
      <c r="B123" s="10"/>
      <c r="C123" s="10"/>
      <c r="D123" s="20">
        <f>SUM(D115:D122)</f>
        <v>1183.78</v>
      </c>
      <c r="E123" s="6"/>
      <c r="F123" s="31">
        <f>SUM(F115:F122)</f>
        <v>3.73</v>
      </c>
      <c r="G123" s="26"/>
      <c r="H123" s="36">
        <f>SUM(H115:H122)</f>
        <v>8024.41</v>
      </c>
      <c r="I123" s="2"/>
    </row>
    <row r="124" spans="1:9" ht="15.75" thickBot="1">
      <c r="A124" s="13" t="s">
        <v>5</v>
      </c>
      <c r="B124" s="39">
        <f>SUM(D123+F123+H123)</f>
        <v>9211.92</v>
      </c>
      <c r="C124" s="38"/>
      <c r="D124" s="21"/>
      <c r="E124" s="22"/>
      <c r="F124" s="32"/>
      <c r="G124" s="27"/>
      <c r="H124" s="37"/>
      <c r="I124" s="3"/>
    </row>
    <row r="125" spans="1:9">
      <c r="A125" s="44">
        <v>41576</v>
      </c>
      <c r="B125" s="8" t="s">
        <v>292</v>
      </c>
      <c r="C125" s="11" t="s">
        <v>424</v>
      </c>
      <c r="D125" s="17"/>
      <c r="E125" s="51"/>
      <c r="F125" s="28"/>
      <c r="G125" s="23"/>
      <c r="H125" s="33">
        <v>149</v>
      </c>
      <c r="I125" s="5" t="s">
        <v>159</v>
      </c>
    </row>
    <row r="126" spans="1:9">
      <c r="A126" s="9"/>
      <c r="B126" s="9" t="s">
        <v>423</v>
      </c>
      <c r="C126" s="10"/>
      <c r="D126" s="17"/>
      <c r="E126" s="18"/>
      <c r="F126" s="29"/>
      <c r="G126" s="24"/>
      <c r="H126" s="34"/>
      <c r="I126" s="6"/>
    </row>
    <row r="127" spans="1:9">
      <c r="A127" s="12" t="s">
        <v>4</v>
      </c>
      <c r="B127" s="10"/>
      <c r="C127" s="10"/>
      <c r="D127" s="20">
        <f>SUM(D125:D126)</f>
        <v>0</v>
      </c>
      <c r="E127" s="6"/>
      <c r="F127" s="31">
        <f>SUM(F125:F126)</f>
        <v>0</v>
      </c>
      <c r="G127" s="26"/>
      <c r="H127" s="36">
        <f>SUM(H125:H126)</f>
        <v>149</v>
      </c>
      <c r="I127" s="2"/>
    </row>
    <row r="128" spans="1:9" ht="15.75" thickBot="1">
      <c r="A128" s="13" t="s">
        <v>5</v>
      </c>
      <c r="B128" s="39">
        <f>SUM(D127+F127+H127)</f>
        <v>149</v>
      </c>
      <c r="C128" s="38"/>
      <c r="D128" s="21"/>
      <c r="E128" s="22"/>
      <c r="F128" s="32"/>
      <c r="G128" s="27"/>
      <c r="H128" s="37"/>
      <c r="I128" s="3"/>
    </row>
    <row r="129" spans="1:13">
      <c r="A129" s="44">
        <v>41577</v>
      </c>
      <c r="B129" s="8" t="s">
        <v>282</v>
      </c>
      <c r="C129" s="11" t="s">
        <v>405</v>
      </c>
      <c r="D129" s="15">
        <v>2.5</v>
      </c>
      <c r="E129" s="40" t="s">
        <v>207</v>
      </c>
      <c r="F129" s="28">
        <v>3</v>
      </c>
      <c r="G129" s="23" t="s">
        <v>45</v>
      </c>
      <c r="H129" s="33"/>
      <c r="I129" s="5"/>
    </row>
    <row r="130" spans="1:13">
      <c r="A130" s="9"/>
      <c r="B130" s="9" t="s">
        <v>404</v>
      </c>
      <c r="C130" s="10"/>
      <c r="D130" s="17"/>
      <c r="E130" s="51"/>
      <c r="F130" s="29"/>
      <c r="G130" s="24"/>
      <c r="H130" s="34"/>
      <c r="I130" s="6"/>
    </row>
    <row r="131" spans="1:13">
      <c r="A131" s="9"/>
      <c r="B131" s="9"/>
      <c r="C131" s="10" t="s">
        <v>30</v>
      </c>
      <c r="D131" s="17">
        <f>3.65</f>
        <v>3.65</v>
      </c>
      <c r="E131" s="18" t="s">
        <v>207</v>
      </c>
      <c r="F131" s="29">
        <v>85.49</v>
      </c>
      <c r="G131" s="24" t="s">
        <v>61</v>
      </c>
      <c r="H131" s="34"/>
      <c r="I131" s="6"/>
    </row>
    <row r="132" spans="1:13">
      <c r="A132" s="9"/>
      <c r="B132" s="9"/>
      <c r="C132" s="10"/>
      <c r="D132" s="17"/>
      <c r="E132" s="51"/>
      <c r="F132" s="29">
        <f>9.8</f>
        <v>9.8000000000000007</v>
      </c>
      <c r="G132" s="24" t="s">
        <v>107</v>
      </c>
      <c r="H132" s="34"/>
      <c r="I132" s="6"/>
    </row>
    <row r="133" spans="1:13">
      <c r="A133" s="9"/>
      <c r="B133" s="9"/>
      <c r="C133" s="10"/>
      <c r="D133" s="17"/>
      <c r="E133" s="6"/>
      <c r="F133" s="17">
        <v>36</v>
      </c>
      <c r="G133" s="6" t="s">
        <v>414</v>
      </c>
      <c r="H133" s="35"/>
      <c r="I133" s="2"/>
    </row>
    <row r="134" spans="1:13">
      <c r="A134" s="10"/>
      <c r="B134" s="14"/>
      <c r="C134" s="10"/>
      <c r="D134" s="19"/>
      <c r="E134" s="6"/>
      <c r="F134" s="30"/>
      <c r="G134" s="25"/>
      <c r="H134" s="35"/>
      <c r="I134" s="2"/>
    </row>
    <row r="135" spans="1:13">
      <c r="A135" s="10"/>
      <c r="B135" s="14"/>
      <c r="C135" s="9"/>
      <c r="D135" s="19"/>
      <c r="E135" s="6"/>
      <c r="F135" s="30"/>
      <c r="G135" s="25"/>
      <c r="H135" s="34"/>
      <c r="I135" s="2"/>
    </row>
    <row r="136" spans="1:13">
      <c r="A136" s="12" t="s">
        <v>4</v>
      </c>
      <c r="B136" s="10"/>
      <c r="C136" s="10"/>
      <c r="D136" s="20">
        <f>SUM(D129:D135)</f>
        <v>6.15</v>
      </c>
      <c r="E136" s="6"/>
      <c r="F136" s="31">
        <f>SUM(F129:F135)</f>
        <v>134.29</v>
      </c>
      <c r="G136" s="26"/>
      <c r="H136" s="36">
        <f>SUM(H129:H135)</f>
        <v>0</v>
      </c>
      <c r="I136" s="2"/>
    </row>
    <row r="137" spans="1:13" ht="15.75" thickBot="1">
      <c r="A137" s="13" t="s">
        <v>5</v>
      </c>
      <c r="B137" s="39">
        <f>SUM(D136+F136+H136)</f>
        <v>140.44</v>
      </c>
      <c r="C137" s="38"/>
      <c r="D137" s="21"/>
      <c r="E137" s="22"/>
      <c r="F137" s="32"/>
      <c r="G137" s="27"/>
      <c r="H137" s="37"/>
      <c r="I137" s="3"/>
    </row>
    <row r="138" spans="1:13" ht="15.75" thickBot="1"/>
    <row r="139" spans="1:13" ht="20.25" thickBot="1">
      <c r="A139" s="41" t="s">
        <v>10</v>
      </c>
      <c r="B139" s="42">
        <f>SUM(B8,B20,B39,B48,B57,B66,B75,B84,B94,B104,B114,B124,B128,B137)</f>
        <v>38158.29</v>
      </c>
    </row>
    <row r="141" spans="1:13">
      <c r="A141" s="45"/>
      <c r="B141" s="43"/>
      <c r="C141" s="43"/>
      <c r="D141" s="47"/>
      <c r="E141" s="47"/>
      <c r="F141" s="46"/>
      <c r="G141" s="48"/>
      <c r="H141" s="43"/>
      <c r="I141" s="46"/>
      <c r="J141" s="49"/>
      <c r="K141" s="50"/>
      <c r="L141" s="50"/>
      <c r="M141" s="5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2"/>
  <sheetViews>
    <sheetView topLeftCell="A84" workbookViewId="0">
      <selection activeCell="G105" sqref="G105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>
      <c r="A2" s="44" t="s">
        <v>430</v>
      </c>
      <c r="B2" s="8" t="s">
        <v>292</v>
      </c>
      <c r="C2" s="11" t="s">
        <v>30</v>
      </c>
      <c r="D2" s="17">
        <f>23.85+19.35+106.53</f>
        <v>149.73000000000002</v>
      </c>
      <c r="E2" s="51" t="s">
        <v>207</v>
      </c>
      <c r="F2" s="28">
        <f>17</f>
        <v>17</v>
      </c>
      <c r="G2" s="23" t="s">
        <v>61</v>
      </c>
      <c r="H2" s="33">
        <v>952.18</v>
      </c>
      <c r="I2" s="5" t="s">
        <v>131</v>
      </c>
    </row>
    <row r="3" spans="1:9">
      <c r="A3" s="9"/>
      <c r="B3" s="9" t="s">
        <v>432</v>
      </c>
      <c r="C3" s="10"/>
      <c r="D3" s="17">
        <f>29.86</f>
        <v>29.86</v>
      </c>
      <c r="E3" s="18" t="s">
        <v>37</v>
      </c>
      <c r="F3" s="29">
        <f>12.9</f>
        <v>12.9</v>
      </c>
      <c r="G3" s="24" t="s">
        <v>107</v>
      </c>
      <c r="H3" s="34">
        <f>673.34+31</f>
        <v>704.34</v>
      </c>
      <c r="I3" s="6" t="s">
        <v>54</v>
      </c>
    </row>
    <row r="4" spans="1:9">
      <c r="A4" s="9"/>
      <c r="B4" s="9"/>
      <c r="C4" s="10"/>
      <c r="D4" s="17"/>
      <c r="E4" s="51"/>
      <c r="F4" s="29">
        <f>31.4</f>
        <v>31.4</v>
      </c>
      <c r="G4" s="24" t="s">
        <v>44</v>
      </c>
      <c r="H4" s="34">
        <f>308.88</f>
        <v>308.88</v>
      </c>
      <c r="I4" s="6" t="s">
        <v>64</v>
      </c>
    </row>
    <row r="5" spans="1:9">
      <c r="A5" s="9"/>
      <c r="B5" s="9"/>
      <c r="C5" s="10"/>
      <c r="D5" s="17"/>
      <c r="E5" s="51"/>
      <c r="F5" s="29"/>
      <c r="G5" s="24"/>
      <c r="H5" s="34"/>
      <c r="I5" s="6"/>
    </row>
    <row r="6" spans="1:9">
      <c r="A6" s="9"/>
      <c r="B6" s="9"/>
      <c r="C6" s="10" t="s">
        <v>405</v>
      </c>
      <c r="D6" s="17">
        <v>10</v>
      </c>
      <c r="E6" s="51" t="s">
        <v>37</v>
      </c>
      <c r="F6" s="29"/>
      <c r="G6" s="24"/>
      <c r="H6" s="34">
        <f>952.18</f>
        <v>952.18</v>
      </c>
      <c r="I6" s="6" t="s">
        <v>131</v>
      </c>
    </row>
    <row r="7" spans="1:9">
      <c r="A7" s="9"/>
      <c r="B7" s="9"/>
      <c r="C7" s="10"/>
      <c r="D7" s="17">
        <v>40.29</v>
      </c>
      <c r="E7" s="51" t="s">
        <v>203</v>
      </c>
      <c r="F7" s="29"/>
      <c r="G7" s="24"/>
      <c r="H7" s="34">
        <v>673.34</v>
      </c>
      <c r="I7" s="6" t="s">
        <v>54</v>
      </c>
    </row>
    <row r="8" spans="1:9">
      <c r="A8" s="9"/>
      <c r="B8" s="9"/>
      <c r="C8" s="10"/>
      <c r="D8" s="17"/>
      <c r="E8" s="51"/>
      <c r="F8" s="29"/>
      <c r="G8" s="24"/>
      <c r="H8" s="34"/>
      <c r="I8" s="6"/>
    </row>
    <row r="9" spans="1:9">
      <c r="A9" s="9"/>
      <c r="B9" s="9"/>
      <c r="C9" s="10" t="s">
        <v>11</v>
      </c>
      <c r="D9" s="17">
        <f>52.29</f>
        <v>52.29</v>
      </c>
      <c r="E9" s="51" t="s">
        <v>257</v>
      </c>
      <c r="F9" s="29">
        <f>6.21</f>
        <v>6.21</v>
      </c>
      <c r="G9" s="24" t="s">
        <v>61</v>
      </c>
      <c r="H9" s="34">
        <f>952.18</f>
        <v>952.18</v>
      </c>
      <c r="I9" s="6" t="s">
        <v>131</v>
      </c>
    </row>
    <row r="10" spans="1:9">
      <c r="A10" s="9"/>
      <c r="B10" s="9"/>
      <c r="C10" s="10"/>
      <c r="D10" s="17"/>
      <c r="E10" s="51"/>
      <c r="F10" s="29">
        <f>31.4</f>
        <v>31.4</v>
      </c>
      <c r="G10" s="24" t="s">
        <v>44</v>
      </c>
      <c r="H10" s="34">
        <f>673.34</f>
        <v>673.34</v>
      </c>
      <c r="I10" s="6" t="s">
        <v>54</v>
      </c>
    </row>
    <row r="11" spans="1:9">
      <c r="A11" s="9"/>
      <c r="B11" s="9"/>
      <c r="C11" s="10"/>
      <c r="D11" s="17"/>
      <c r="E11" s="6"/>
      <c r="F11" s="17"/>
      <c r="G11" s="6"/>
      <c r="H11" s="35"/>
      <c r="I11" s="2"/>
    </row>
    <row r="12" spans="1:9">
      <c r="A12" s="12" t="s">
        <v>4</v>
      </c>
      <c r="B12" s="10"/>
      <c r="C12" s="10"/>
      <c r="D12" s="20">
        <f>SUM(D2:D11)</f>
        <v>282.17</v>
      </c>
      <c r="E12" s="6"/>
      <c r="F12" s="31">
        <f>SUM(F2:F11)</f>
        <v>98.91</v>
      </c>
      <c r="G12" s="26"/>
      <c r="H12" s="36">
        <f>SUM(H2:H11)</f>
        <v>5216.4400000000005</v>
      </c>
      <c r="I12" s="2"/>
    </row>
    <row r="13" spans="1:9" ht="15.75" thickBot="1">
      <c r="A13" s="13" t="s">
        <v>5</v>
      </c>
      <c r="B13" s="39">
        <f>SUM(D12+F12+H12)</f>
        <v>5597.52</v>
      </c>
      <c r="C13" s="38"/>
      <c r="D13" s="21"/>
      <c r="E13" s="22"/>
      <c r="F13" s="32"/>
      <c r="G13" s="27"/>
      <c r="H13" s="37"/>
      <c r="I13" s="3"/>
    </row>
    <row r="14" spans="1:9">
      <c r="A14" s="44" t="s">
        <v>447</v>
      </c>
      <c r="B14" s="8" t="s">
        <v>237</v>
      </c>
      <c r="C14" s="11" t="s">
        <v>71</v>
      </c>
      <c r="D14" s="17">
        <f>83.89+22.21+26.64</f>
        <v>132.74</v>
      </c>
      <c r="E14" s="51" t="s">
        <v>207</v>
      </c>
      <c r="F14" s="28">
        <f>123.3</f>
        <v>123.3</v>
      </c>
      <c r="G14" s="23" t="s">
        <v>61</v>
      </c>
      <c r="H14" s="33">
        <f>217+606</f>
        <v>823</v>
      </c>
      <c r="I14" s="5" t="s">
        <v>131</v>
      </c>
    </row>
    <row r="15" spans="1:9">
      <c r="A15" s="9"/>
      <c r="B15" s="9" t="s">
        <v>448</v>
      </c>
      <c r="C15" s="10"/>
      <c r="D15" s="17">
        <f>14.53</f>
        <v>14.53</v>
      </c>
      <c r="E15" s="18" t="s">
        <v>37</v>
      </c>
      <c r="F15" s="29">
        <f>4.4</f>
        <v>4.4000000000000004</v>
      </c>
      <c r="G15" s="24" t="s">
        <v>107</v>
      </c>
      <c r="H15" s="34">
        <f>1084.26</f>
        <v>1084.26</v>
      </c>
      <c r="I15" s="6" t="s">
        <v>54</v>
      </c>
    </row>
    <row r="16" spans="1:9">
      <c r="A16" s="9"/>
      <c r="B16" s="9"/>
      <c r="C16" s="10"/>
      <c r="D16" s="17">
        <f>10.69+11.5</f>
        <v>22.189999999999998</v>
      </c>
      <c r="E16" s="51" t="s">
        <v>257</v>
      </c>
      <c r="F16" s="29">
        <f>43</f>
        <v>43</v>
      </c>
      <c r="G16" s="24" t="s">
        <v>44</v>
      </c>
      <c r="H16" s="34">
        <f>112.06</f>
        <v>112.06</v>
      </c>
      <c r="I16" s="6" t="s">
        <v>64</v>
      </c>
    </row>
    <row r="17" spans="1:9">
      <c r="A17" s="9"/>
      <c r="B17" s="9"/>
      <c r="C17" s="10"/>
      <c r="D17" s="17"/>
      <c r="E17" s="51"/>
      <c r="F17" s="29"/>
      <c r="G17" s="24"/>
      <c r="H17" s="34"/>
      <c r="I17" s="6"/>
    </row>
    <row r="18" spans="1:9">
      <c r="A18" s="9"/>
      <c r="B18" s="9"/>
      <c r="C18" s="10"/>
      <c r="D18" s="17"/>
      <c r="E18" s="51"/>
      <c r="F18" s="29"/>
      <c r="G18" s="24"/>
      <c r="H18" s="34"/>
      <c r="I18" s="6"/>
    </row>
    <row r="19" spans="1:9">
      <c r="A19" s="9"/>
      <c r="B19" s="9"/>
      <c r="C19" s="10"/>
      <c r="D19" s="17"/>
      <c r="E19" s="51"/>
      <c r="F19" s="29"/>
      <c r="G19" s="24"/>
      <c r="H19" s="34"/>
      <c r="I19" s="6"/>
    </row>
    <row r="20" spans="1:9">
      <c r="A20" s="9"/>
      <c r="B20" s="9"/>
      <c r="C20" s="10"/>
      <c r="D20" s="17"/>
      <c r="E20" s="6"/>
      <c r="F20" s="17"/>
      <c r="G20" s="6"/>
      <c r="H20" s="35"/>
      <c r="I20" s="2"/>
    </row>
    <row r="21" spans="1:9">
      <c r="A21" s="12" t="s">
        <v>4</v>
      </c>
      <c r="B21" s="10"/>
      <c r="C21" s="10"/>
      <c r="D21" s="20">
        <f>SUM(D14:D20)</f>
        <v>169.46</v>
      </c>
      <c r="E21" s="6"/>
      <c r="F21" s="31">
        <f>SUM(F14:F20)</f>
        <v>170.7</v>
      </c>
      <c r="G21" s="26"/>
      <c r="H21" s="36">
        <f>SUM(H14:H20)</f>
        <v>2019.32</v>
      </c>
      <c r="I21" s="2"/>
    </row>
    <row r="22" spans="1:9" ht="15.75" thickBot="1">
      <c r="A22" s="13" t="s">
        <v>5</v>
      </c>
      <c r="B22" s="39">
        <f>SUM(D21+F21+H21)</f>
        <v>2359.48</v>
      </c>
      <c r="C22" s="38"/>
      <c r="D22" s="21"/>
      <c r="E22" s="22"/>
      <c r="F22" s="32"/>
      <c r="G22" s="27"/>
      <c r="H22" s="37"/>
      <c r="I22" s="3"/>
    </row>
    <row r="23" spans="1:9">
      <c r="A23" s="44" t="s">
        <v>437</v>
      </c>
      <c r="B23" s="8" t="s">
        <v>438</v>
      </c>
      <c r="C23" s="11" t="s">
        <v>18</v>
      </c>
      <c r="D23" s="17">
        <f>47.2+19.54</f>
        <v>66.740000000000009</v>
      </c>
      <c r="E23" s="51" t="s">
        <v>207</v>
      </c>
      <c r="F23" s="28">
        <f>18.55</f>
        <v>18.55</v>
      </c>
      <c r="G23" s="23" t="s">
        <v>61</v>
      </c>
      <c r="H23" s="33">
        <f>51.59</f>
        <v>51.59</v>
      </c>
      <c r="I23" s="5" t="s">
        <v>64</v>
      </c>
    </row>
    <row r="24" spans="1:9">
      <c r="A24" s="9"/>
      <c r="B24" s="9" t="s">
        <v>439</v>
      </c>
      <c r="C24" s="10"/>
      <c r="D24" s="17"/>
      <c r="E24" s="18"/>
      <c r="F24" s="29">
        <f>4.9</f>
        <v>4.9000000000000004</v>
      </c>
      <c r="G24" s="24" t="s">
        <v>44</v>
      </c>
      <c r="H24" s="34">
        <f>510.12</f>
        <v>510.12</v>
      </c>
      <c r="I24" s="6" t="s">
        <v>131</v>
      </c>
    </row>
    <row r="25" spans="1:9">
      <c r="A25" s="9"/>
      <c r="B25" s="9"/>
      <c r="C25" s="10"/>
      <c r="D25" s="17"/>
      <c r="E25" s="51"/>
      <c r="F25" s="29"/>
      <c r="G25" s="24"/>
      <c r="H25" s="34"/>
      <c r="I25" s="6"/>
    </row>
    <row r="26" spans="1:9">
      <c r="A26" s="9"/>
      <c r="B26" s="9"/>
      <c r="C26" s="10"/>
      <c r="D26" s="17"/>
      <c r="E26" s="51"/>
      <c r="F26" s="29"/>
      <c r="G26" s="24"/>
      <c r="H26" s="34"/>
      <c r="I26" s="6"/>
    </row>
    <row r="27" spans="1:9">
      <c r="A27" s="9"/>
      <c r="B27" s="9"/>
      <c r="C27" s="10"/>
      <c r="D27" s="17"/>
      <c r="E27" s="51"/>
      <c r="F27" s="29"/>
      <c r="G27" s="24"/>
      <c r="H27" s="34"/>
      <c r="I27" s="6"/>
    </row>
    <row r="28" spans="1:9">
      <c r="A28" s="9"/>
      <c r="B28" s="9"/>
      <c r="C28" s="10"/>
      <c r="D28" s="17"/>
      <c r="E28" s="51"/>
      <c r="F28" s="29"/>
      <c r="G28" s="24"/>
      <c r="H28" s="34"/>
      <c r="I28" s="6"/>
    </row>
    <row r="29" spans="1:9">
      <c r="A29" s="9"/>
      <c r="B29" s="9"/>
      <c r="C29" s="10"/>
      <c r="D29" s="17"/>
      <c r="E29" s="6"/>
      <c r="F29" s="17"/>
      <c r="G29" s="6"/>
      <c r="H29" s="35"/>
      <c r="I29" s="2"/>
    </row>
    <row r="30" spans="1:9">
      <c r="A30" s="12" t="s">
        <v>4</v>
      </c>
      <c r="B30" s="10"/>
      <c r="C30" s="10"/>
      <c r="D30" s="20">
        <f>SUM(D23:D29)</f>
        <v>66.740000000000009</v>
      </c>
      <c r="E30" s="6"/>
      <c r="F30" s="31">
        <f>SUM(F23:F29)</f>
        <v>23.450000000000003</v>
      </c>
      <c r="G30" s="26"/>
      <c r="H30" s="36">
        <f>SUM(H23:H29)</f>
        <v>561.71</v>
      </c>
      <c r="I30" s="2"/>
    </row>
    <row r="31" spans="1:9" ht="15.75" thickBot="1">
      <c r="A31" s="13" t="s">
        <v>5</v>
      </c>
      <c r="B31" s="39">
        <f>SUM(D30+F30+H30)</f>
        <v>651.90000000000009</v>
      </c>
      <c r="C31" s="38"/>
      <c r="D31" s="21"/>
      <c r="E31" s="22"/>
      <c r="F31" s="32"/>
      <c r="G31" s="27"/>
      <c r="H31" s="37"/>
      <c r="I31" s="3"/>
    </row>
    <row r="32" spans="1:9">
      <c r="A32" s="44">
        <v>41591</v>
      </c>
      <c r="B32" s="8" t="s">
        <v>292</v>
      </c>
      <c r="C32" s="11" t="s">
        <v>13</v>
      </c>
      <c r="D32" s="17">
        <f>83.4+7</f>
        <v>90.4</v>
      </c>
      <c r="E32" s="51" t="s">
        <v>382</v>
      </c>
      <c r="F32" s="28"/>
      <c r="G32" s="23"/>
      <c r="H32" s="33">
        <f>123</f>
        <v>123</v>
      </c>
      <c r="I32" s="5" t="s">
        <v>159</v>
      </c>
    </row>
    <row r="33" spans="1:9">
      <c r="A33" s="9"/>
      <c r="B33" s="9" t="s">
        <v>404</v>
      </c>
      <c r="C33" s="10"/>
      <c r="D33" s="17">
        <f>29.26+31.8</f>
        <v>61.06</v>
      </c>
      <c r="E33" s="18" t="s">
        <v>37</v>
      </c>
      <c r="F33" s="29"/>
      <c r="G33" s="24"/>
      <c r="H33" s="34"/>
      <c r="I33" s="6"/>
    </row>
    <row r="34" spans="1:9">
      <c r="A34" s="9"/>
      <c r="B34" s="9"/>
      <c r="C34" s="10"/>
      <c r="D34" s="17"/>
      <c r="E34" s="51"/>
      <c r="F34" s="29"/>
      <c r="G34" s="24"/>
      <c r="H34" s="34"/>
      <c r="I34" s="6"/>
    </row>
    <row r="35" spans="1:9">
      <c r="A35" s="9"/>
      <c r="B35" s="9"/>
      <c r="C35" s="10" t="s">
        <v>11</v>
      </c>
      <c r="D35" s="17">
        <f>4.8</f>
        <v>4.8</v>
      </c>
      <c r="E35" s="51" t="s">
        <v>207</v>
      </c>
      <c r="F35" s="29">
        <f>10</f>
        <v>10</v>
      </c>
      <c r="G35" s="24" t="s">
        <v>159</v>
      </c>
      <c r="H35" s="34">
        <f>123</f>
        <v>123</v>
      </c>
      <c r="I35" s="6" t="s">
        <v>159</v>
      </c>
    </row>
    <row r="36" spans="1:9">
      <c r="A36" s="9"/>
      <c r="B36" s="9"/>
      <c r="C36" s="10"/>
      <c r="D36" s="17"/>
      <c r="E36" s="51"/>
      <c r="F36" s="29">
        <f>6.21</f>
        <v>6.21</v>
      </c>
      <c r="G36" s="24" t="s">
        <v>61</v>
      </c>
      <c r="H36" s="34"/>
      <c r="I36" s="6"/>
    </row>
    <row r="37" spans="1:9">
      <c r="A37" s="9"/>
      <c r="B37" s="9"/>
      <c r="C37" s="10"/>
      <c r="D37" s="17"/>
      <c r="E37" s="51"/>
      <c r="F37" s="29">
        <f>72</f>
        <v>72</v>
      </c>
      <c r="G37" s="24" t="s">
        <v>44</v>
      </c>
      <c r="H37" s="34"/>
      <c r="I37" s="6"/>
    </row>
    <row r="38" spans="1:9">
      <c r="A38" s="9"/>
      <c r="B38" s="9"/>
      <c r="C38" s="10"/>
      <c r="D38" s="17"/>
      <c r="E38" s="51"/>
      <c r="F38" s="29"/>
      <c r="G38" s="24"/>
      <c r="H38" s="34"/>
      <c r="I38" s="6"/>
    </row>
    <row r="39" spans="1:9">
      <c r="A39" s="9"/>
      <c r="B39" s="9"/>
      <c r="C39" s="10" t="s">
        <v>14</v>
      </c>
      <c r="D39" s="17"/>
      <c r="E39" s="51"/>
      <c r="F39" s="29"/>
      <c r="G39" s="24"/>
      <c r="H39" s="34">
        <f>123</f>
        <v>123</v>
      </c>
      <c r="I39" s="6" t="s">
        <v>159</v>
      </c>
    </row>
    <row r="40" spans="1:9">
      <c r="A40" s="9"/>
      <c r="B40" s="9"/>
      <c r="C40" s="10"/>
      <c r="D40" s="17"/>
      <c r="E40" s="6"/>
      <c r="F40" s="17"/>
      <c r="G40" s="6"/>
      <c r="H40" s="35"/>
      <c r="I40" s="2"/>
    </row>
    <row r="41" spans="1:9">
      <c r="A41" s="12" t="s">
        <v>4</v>
      </c>
      <c r="B41" s="10"/>
      <c r="C41" s="10"/>
      <c r="D41" s="20">
        <f>SUM(D32:D40)</f>
        <v>156.26000000000002</v>
      </c>
      <c r="E41" s="6"/>
      <c r="F41" s="31">
        <f>SUM(F32:F40)</f>
        <v>88.210000000000008</v>
      </c>
      <c r="G41" s="26"/>
      <c r="H41" s="36">
        <f>SUM(H32:H40)</f>
        <v>369</v>
      </c>
      <c r="I41" s="2"/>
    </row>
    <row r="42" spans="1:9" ht="15.75" thickBot="1">
      <c r="A42" s="13" t="s">
        <v>5</v>
      </c>
      <c r="B42" s="39">
        <f>SUM(D41+F41+H41)</f>
        <v>613.47</v>
      </c>
      <c r="C42" s="38"/>
      <c r="D42" s="21"/>
      <c r="E42" s="22"/>
      <c r="F42" s="32"/>
      <c r="G42" s="27"/>
      <c r="H42" s="37"/>
      <c r="I42" s="3"/>
    </row>
    <row r="43" spans="1:9">
      <c r="A43" s="44">
        <v>41593</v>
      </c>
      <c r="B43" s="8" t="s">
        <v>292</v>
      </c>
      <c r="C43" s="11" t="s">
        <v>11</v>
      </c>
      <c r="D43" s="17"/>
      <c r="E43" s="51"/>
      <c r="F43" s="28"/>
      <c r="G43" s="23"/>
      <c r="H43" s="33">
        <f>1522.95</f>
        <v>1522.95</v>
      </c>
      <c r="I43" s="5" t="s">
        <v>131</v>
      </c>
    </row>
    <row r="44" spans="1:9">
      <c r="A44" s="9"/>
      <c r="B44" s="9" t="s">
        <v>451</v>
      </c>
      <c r="C44" s="10"/>
      <c r="D44" s="17"/>
      <c r="E44" s="18"/>
      <c r="F44" s="29"/>
      <c r="G44" s="24"/>
      <c r="H44" s="34"/>
      <c r="I44" s="6"/>
    </row>
    <row r="45" spans="1:9">
      <c r="A45" s="9"/>
      <c r="B45" s="9"/>
      <c r="C45" s="10" t="s">
        <v>13</v>
      </c>
      <c r="D45" s="17"/>
      <c r="E45" s="51"/>
      <c r="F45" s="29"/>
      <c r="G45" s="24"/>
      <c r="H45" s="34">
        <f>1522.95</f>
        <v>1522.95</v>
      </c>
      <c r="I45" s="6" t="s">
        <v>131</v>
      </c>
    </row>
    <row r="46" spans="1:9">
      <c r="A46" s="9"/>
      <c r="B46" s="9"/>
      <c r="C46" s="10"/>
      <c r="D46" s="17"/>
      <c r="E46" s="51"/>
      <c r="F46" s="29"/>
      <c r="G46" s="24"/>
      <c r="H46" s="34"/>
      <c r="I46" s="6"/>
    </row>
    <row r="47" spans="1:9">
      <c r="A47" s="9"/>
      <c r="B47" s="9"/>
      <c r="C47" s="10" t="s">
        <v>14</v>
      </c>
      <c r="D47" s="17"/>
      <c r="E47" s="51"/>
      <c r="F47" s="29"/>
      <c r="G47" s="24"/>
      <c r="H47" s="34">
        <f>1522.95</f>
        <v>1522.95</v>
      </c>
      <c r="I47" s="6" t="s">
        <v>131</v>
      </c>
    </row>
    <row r="48" spans="1:9">
      <c r="A48" s="9"/>
      <c r="B48" s="9"/>
      <c r="C48" s="10"/>
      <c r="D48" s="17"/>
      <c r="E48" s="51"/>
      <c r="F48" s="29"/>
      <c r="G48" s="24"/>
      <c r="H48" s="34"/>
      <c r="I48" s="6"/>
    </row>
    <row r="49" spans="1:9">
      <c r="A49" s="9"/>
      <c r="B49" s="9"/>
      <c r="C49" s="10"/>
      <c r="D49" s="17"/>
      <c r="E49" s="6"/>
      <c r="F49" s="17"/>
      <c r="G49" s="6"/>
      <c r="H49" s="35"/>
      <c r="I49" s="2"/>
    </row>
    <row r="50" spans="1:9">
      <c r="A50" s="12" t="s">
        <v>4</v>
      </c>
      <c r="B50" s="10"/>
      <c r="C50" s="10"/>
      <c r="D50" s="20">
        <f>SUM(D43:D49)</f>
        <v>0</v>
      </c>
      <c r="E50" s="6"/>
      <c r="F50" s="31">
        <f>SUM(F43:F49)</f>
        <v>0</v>
      </c>
      <c r="G50" s="26"/>
      <c r="H50" s="36">
        <f>SUM(H43:H49)</f>
        <v>4568.8500000000004</v>
      </c>
      <c r="I50" s="2"/>
    </row>
    <row r="51" spans="1:9" ht="15.75" thickBot="1">
      <c r="A51" s="13" t="s">
        <v>5</v>
      </c>
      <c r="B51" s="39">
        <f>SUM(D50+F50+H50)</f>
        <v>4568.8500000000004</v>
      </c>
      <c r="C51" s="38"/>
      <c r="D51" s="21"/>
      <c r="E51" s="22"/>
      <c r="F51" s="32"/>
      <c r="G51" s="27"/>
      <c r="H51" s="37"/>
      <c r="I51" s="3"/>
    </row>
    <row r="52" spans="1:9">
      <c r="A52" s="44" t="s">
        <v>441</v>
      </c>
      <c r="B52" s="8" t="s">
        <v>292</v>
      </c>
      <c r="C52" s="11" t="s">
        <v>84</v>
      </c>
      <c r="D52" s="17">
        <f>164.44</f>
        <v>164.44</v>
      </c>
      <c r="E52" s="51" t="s">
        <v>207</v>
      </c>
      <c r="F52" s="28"/>
      <c r="G52" s="23"/>
      <c r="H52" s="33">
        <f>1061.7</f>
        <v>1061.7</v>
      </c>
      <c r="I52" s="5" t="s">
        <v>131</v>
      </c>
    </row>
    <row r="53" spans="1:9">
      <c r="A53" s="9"/>
      <c r="B53" s="9" t="s">
        <v>289</v>
      </c>
      <c r="C53" s="10"/>
      <c r="D53" s="17"/>
      <c r="E53" s="18"/>
      <c r="F53" s="29"/>
      <c r="G53" s="24"/>
      <c r="H53" s="34">
        <f>385.84</f>
        <v>385.84</v>
      </c>
      <c r="I53" s="6" t="s">
        <v>54</v>
      </c>
    </row>
    <row r="54" spans="1:9">
      <c r="A54" s="9"/>
      <c r="B54" s="9"/>
      <c r="C54" s="10"/>
      <c r="D54" s="17"/>
      <c r="E54" s="18"/>
      <c r="F54" s="29"/>
      <c r="G54" s="24"/>
      <c r="H54" s="34"/>
      <c r="I54" s="6"/>
    </row>
    <row r="55" spans="1:9">
      <c r="A55" s="9"/>
      <c r="B55" s="9"/>
      <c r="C55" s="10" t="s">
        <v>13</v>
      </c>
      <c r="D55" s="17">
        <f>108.96</f>
        <v>108.96</v>
      </c>
      <c r="E55" s="51" t="s">
        <v>207</v>
      </c>
      <c r="F55" s="29"/>
      <c r="G55" s="24"/>
      <c r="H55" s="34">
        <f>1061.7</f>
        <v>1061.7</v>
      </c>
      <c r="I55" s="6" t="s">
        <v>131</v>
      </c>
    </row>
    <row r="56" spans="1:9">
      <c r="A56" s="9"/>
      <c r="B56" s="9"/>
      <c r="C56" s="10"/>
      <c r="D56" s="17">
        <f>139.76</f>
        <v>139.76</v>
      </c>
      <c r="E56" s="51" t="s">
        <v>37</v>
      </c>
      <c r="F56" s="29"/>
      <c r="G56" s="24"/>
      <c r="H56" s="34">
        <f>385.84</f>
        <v>385.84</v>
      </c>
      <c r="I56" s="6" t="s">
        <v>54</v>
      </c>
    </row>
    <row r="57" spans="1:9">
      <c r="A57" s="9"/>
      <c r="B57" s="9"/>
      <c r="C57" s="10"/>
      <c r="D57" s="17"/>
      <c r="E57" s="51"/>
      <c r="F57" s="29"/>
      <c r="G57" s="24"/>
      <c r="H57" s="34">
        <f>57.64</f>
        <v>57.64</v>
      </c>
      <c r="I57" s="6" t="s">
        <v>64</v>
      </c>
    </row>
    <row r="58" spans="1:9">
      <c r="A58" s="9"/>
      <c r="B58" s="9"/>
      <c r="C58" s="10"/>
      <c r="D58" s="17"/>
      <c r="E58" s="51"/>
      <c r="F58" s="29"/>
      <c r="G58" s="24"/>
      <c r="H58" s="34"/>
      <c r="I58" s="6"/>
    </row>
    <row r="59" spans="1:9">
      <c r="A59" s="9"/>
      <c r="B59" s="9"/>
      <c r="C59" s="10" t="s">
        <v>11</v>
      </c>
      <c r="D59" s="17">
        <f>144.43</f>
        <v>144.43</v>
      </c>
      <c r="E59" s="51" t="s">
        <v>37</v>
      </c>
      <c r="F59" s="29">
        <f>3.11</f>
        <v>3.11</v>
      </c>
      <c r="G59" s="24" t="s">
        <v>61</v>
      </c>
      <c r="H59" s="34">
        <f>1061.7</f>
        <v>1061.7</v>
      </c>
      <c r="I59" s="6" t="s">
        <v>131</v>
      </c>
    </row>
    <row r="60" spans="1:9">
      <c r="A60" s="9"/>
      <c r="B60" s="9"/>
      <c r="C60" s="10"/>
      <c r="D60" s="17">
        <f>13.5</f>
        <v>13.5</v>
      </c>
      <c r="E60" s="51" t="s">
        <v>257</v>
      </c>
      <c r="F60" s="29">
        <f>21.5</f>
        <v>21.5</v>
      </c>
      <c r="G60" s="24" t="s">
        <v>44</v>
      </c>
      <c r="H60" s="34">
        <f>385.84</f>
        <v>385.84</v>
      </c>
      <c r="I60" s="6" t="s">
        <v>54</v>
      </c>
    </row>
    <row r="61" spans="1:9">
      <c r="A61" s="9"/>
      <c r="B61" s="9"/>
      <c r="C61" s="10"/>
      <c r="D61" s="17"/>
      <c r="E61" s="6"/>
      <c r="F61" s="17"/>
      <c r="G61" s="6"/>
      <c r="H61" s="35"/>
      <c r="I61" s="2"/>
    </row>
    <row r="62" spans="1:9">
      <c r="A62" s="12" t="s">
        <v>4</v>
      </c>
      <c r="B62" s="10"/>
      <c r="C62" s="10"/>
      <c r="D62" s="20">
        <f>SUM(D52:D61)</f>
        <v>571.08999999999992</v>
      </c>
      <c r="E62" s="6"/>
      <c r="F62" s="31">
        <f>SUM(F52:F61)</f>
        <v>24.61</v>
      </c>
      <c r="G62" s="26"/>
      <c r="H62" s="36">
        <f>SUM(H52:H61)</f>
        <v>4400.26</v>
      </c>
      <c r="I62" s="2"/>
    </row>
    <row r="63" spans="1:9" ht="15.75" thickBot="1">
      <c r="A63" s="13" t="s">
        <v>5</v>
      </c>
      <c r="B63" s="39">
        <f>SUM(D62+F62+H62)</f>
        <v>4995.96</v>
      </c>
      <c r="C63" s="38"/>
      <c r="D63" s="21"/>
      <c r="E63" s="22"/>
      <c r="F63" s="32"/>
      <c r="G63" s="27"/>
      <c r="H63" s="37"/>
      <c r="I63" s="3"/>
    </row>
    <row r="64" spans="1:9">
      <c r="A64" s="8" t="s">
        <v>431</v>
      </c>
      <c r="B64" s="8" t="s">
        <v>433</v>
      </c>
      <c r="C64" s="11" t="s">
        <v>30</v>
      </c>
      <c r="D64" s="17">
        <f>39.8+4.2</f>
        <v>44</v>
      </c>
      <c r="E64" s="51" t="s">
        <v>207</v>
      </c>
      <c r="F64" s="28">
        <f>10.82</f>
        <v>10.82</v>
      </c>
      <c r="G64" s="23" t="s">
        <v>61</v>
      </c>
      <c r="H64" s="33">
        <v>130.11000000000001</v>
      </c>
      <c r="I64" s="5" t="s">
        <v>131</v>
      </c>
    </row>
    <row r="65" spans="1:9">
      <c r="A65" s="9"/>
      <c r="B65" s="9" t="s">
        <v>434</v>
      </c>
      <c r="C65" s="10"/>
      <c r="D65" s="17">
        <f>225.8</f>
        <v>225.8</v>
      </c>
      <c r="E65" s="18" t="s">
        <v>37</v>
      </c>
      <c r="F65" s="29">
        <v>56.1</v>
      </c>
      <c r="G65" s="24" t="s">
        <v>107</v>
      </c>
      <c r="H65" s="34">
        <v>1042</v>
      </c>
      <c r="I65" s="6" t="s">
        <v>54</v>
      </c>
    </row>
    <row r="66" spans="1:9">
      <c r="A66" s="9"/>
      <c r="B66" s="9"/>
      <c r="C66" s="10"/>
      <c r="D66" s="17"/>
      <c r="E66" s="51"/>
      <c r="F66" s="29">
        <v>89.4</v>
      </c>
      <c r="G66" s="24" t="s">
        <v>45</v>
      </c>
      <c r="H66" s="34"/>
      <c r="I66" s="6"/>
    </row>
    <row r="67" spans="1:9">
      <c r="A67" s="9"/>
      <c r="B67" s="9"/>
      <c r="C67" s="10"/>
      <c r="D67" s="17"/>
      <c r="E67" s="51"/>
      <c r="F67" s="29"/>
      <c r="G67" s="24"/>
      <c r="H67" s="34"/>
      <c r="I67" s="6"/>
    </row>
    <row r="68" spans="1:9">
      <c r="A68" s="9"/>
      <c r="B68" s="9"/>
      <c r="C68" s="10" t="s">
        <v>405</v>
      </c>
      <c r="D68" s="17">
        <f>413.7</f>
        <v>413.7</v>
      </c>
      <c r="E68" s="6" t="s">
        <v>207</v>
      </c>
      <c r="F68" s="17">
        <f>85.35</f>
        <v>85.35</v>
      </c>
      <c r="G68" s="6" t="s">
        <v>45</v>
      </c>
      <c r="H68" s="35">
        <f>150.11</f>
        <v>150.11000000000001</v>
      </c>
      <c r="I68" s="2" t="s">
        <v>131</v>
      </c>
    </row>
    <row r="69" spans="1:9">
      <c r="A69" s="10"/>
      <c r="B69" s="14"/>
      <c r="C69" s="10"/>
      <c r="D69" s="19">
        <v>65</v>
      </c>
      <c r="E69" s="6" t="s">
        <v>37</v>
      </c>
      <c r="F69" s="30"/>
      <c r="G69" s="25"/>
      <c r="H69" s="35">
        <f>1195</f>
        <v>1195</v>
      </c>
      <c r="I69" s="2" t="s">
        <v>54</v>
      </c>
    </row>
    <row r="70" spans="1:9">
      <c r="A70" s="10"/>
      <c r="B70" s="14"/>
      <c r="C70" s="10"/>
      <c r="D70" s="19"/>
      <c r="E70" s="6"/>
      <c r="F70" s="30"/>
      <c r="G70" s="25"/>
      <c r="H70" s="35">
        <v>147.1</v>
      </c>
      <c r="I70" s="2" t="s">
        <v>64</v>
      </c>
    </row>
    <row r="71" spans="1:9">
      <c r="A71" s="10"/>
      <c r="B71" s="14"/>
      <c r="C71" s="10"/>
      <c r="D71" s="19"/>
      <c r="E71" s="6"/>
      <c r="F71" s="30"/>
      <c r="G71" s="25"/>
      <c r="H71" s="35"/>
      <c r="I71" s="2"/>
    </row>
    <row r="72" spans="1:9">
      <c r="A72" s="10"/>
      <c r="B72" s="14"/>
      <c r="C72" s="10" t="s">
        <v>89</v>
      </c>
      <c r="D72" s="19">
        <f>678.55</f>
        <v>678.55</v>
      </c>
      <c r="E72" s="6" t="s">
        <v>207</v>
      </c>
      <c r="F72" s="30">
        <v>67.599999999999994</v>
      </c>
      <c r="G72" s="25" t="s">
        <v>45</v>
      </c>
      <c r="H72" s="35">
        <f>15+195.68</f>
        <v>210.68</v>
      </c>
      <c r="I72" s="2" t="s">
        <v>131</v>
      </c>
    </row>
    <row r="73" spans="1:9">
      <c r="A73" s="10"/>
      <c r="B73" s="14"/>
      <c r="C73" s="10"/>
      <c r="D73" s="19">
        <f>342.3</f>
        <v>342.3</v>
      </c>
      <c r="E73" s="6" t="s">
        <v>37</v>
      </c>
      <c r="F73" s="30"/>
      <c r="G73" s="25"/>
      <c r="H73" s="35">
        <f>1042</f>
        <v>1042</v>
      </c>
      <c r="I73" s="2" t="s">
        <v>54</v>
      </c>
    </row>
    <row r="74" spans="1:9">
      <c r="A74" s="10"/>
      <c r="B74" s="14"/>
      <c r="C74" s="10"/>
      <c r="D74" s="19">
        <v>30</v>
      </c>
      <c r="E74" s="6" t="s">
        <v>257</v>
      </c>
      <c r="F74" s="30"/>
      <c r="G74" s="25"/>
      <c r="H74" s="35"/>
      <c r="I74" s="2"/>
    </row>
    <row r="75" spans="1:9">
      <c r="A75" s="10"/>
      <c r="B75" s="14"/>
      <c r="C75" s="10"/>
      <c r="D75" s="19"/>
      <c r="E75" s="6"/>
      <c r="F75" s="30"/>
      <c r="G75" s="25"/>
      <c r="H75" s="35"/>
      <c r="I75" s="2"/>
    </row>
    <row r="76" spans="1:9">
      <c r="A76" s="10"/>
      <c r="B76" s="14"/>
      <c r="C76" s="10" t="s">
        <v>84</v>
      </c>
      <c r="D76" s="19">
        <f>211</f>
        <v>211</v>
      </c>
      <c r="E76" s="6" t="s">
        <v>207</v>
      </c>
      <c r="F76" s="30">
        <f>24.5</f>
        <v>24.5</v>
      </c>
      <c r="G76" s="25" t="s">
        <v>44</v>
      </c>
      <c r="H76" s="35">
        <f>241.11+190.11</f>
        <v>431.22</v>
      </c>
      <c r="I76" s="2" t="s">
        <v>131</v>
      </c>
    </row>
    <row r="77" spans="1:9">
      <c r="A77" s="10"/>
      <c r="B77" s="14"/>
      <c r="C77" s="10"/>
      <c r="D77" s="19">
        <f>202.3</f>
        <v>202.3</v>
      </c>
      <c r="E77" s="6" t="s">
        <v>37</v>
      </c>
      <c r="F77" s="30"/>
      <c r="G77" s="25"/>
      <c r="H77" s="35">
        <f>627</f>
        <v>627</v>
      </c>
      <c r="I77" s="2" t="s">
        <v>54</v>
      </c>
    </row>
    <row r="78" spans="1:9">
      <c r="A78" s="10"/>
      <c r="B78" s="14"/>
      <c r="C78" s="10"/>
      <c r="D78" s="19"/>
      <c r="E78" s="6"/>
      <c r="F78" s="30"/>
      <c r="G78" s="25"/>
      <c r="H78" s="35"/>
      <c r="I78" s="2"/>
    </row>
    <row r="79" spans="1:9">
      <c r="A79" s="10"/>
      <c r="B79" s="14"/>
      <c r="C79" s="10" t="s">
        <v>13</v>
      </c>
      <c r="D79" s="19">
        <f>13.8+364.5+270</f>
        <v>648.29999999999995</v>
      </c>
      <c r="E79" s="6" t="s">
        <v>382</v>
      </c>
      <c r="F79" s="30">
        <f>4.1+32.8</f>
        <v>36.9</v>
      </c>
      <c r="G79" s="25" t="s">
        <v>45</v>
      </c>
      <c r="H79" s="35">
        <f>128.98</f>
        <v>128.97999999999999</v>
      </c>
      <c r="I79" s="2" t="s">
        <v>131</v>
      </c>
    </row>
    <row r="80" spans="1:9">
      <c r="A80" s="10"/>
      <c r="B80" s="14"/>
      <c r="C80" s="10"/>
      <c r="D80" s="19">
        <f>9.6+100.18+112.7</f>
        <v>222.48000000000002</v>
      </c>
      <c r="E80" s="6" t="s">
        <v>37</v>
      </c>
      <c r="F80" s="30"/>
      <c r="G80" s="25"/>
      <c r="H80" s="35">
        <f>627</f>
        <v>627</v>
      </c>
      <c r="I80" s="2" t="s">
        <v>54</v>
      </c>
    </row>
    <row r="81" spans="1:9">
      <c r="A81" s="10"/>
      <c r="B81" s="14"/>
      <c r="C81" s="10"/>
      <c r="D81" s="19"/>
      <c r="E81" s="6"/>
      <c r="F81" s="30"/>
      <c r="G81" s="25"/>
      <c r="H81" s="35">
        <f>96</f>
        <v>96</v>
      </c>
      <c r="I81" s="2" t="s">
        <v>64</v>
      </c>
    </row>
    <row r="82" spans="1:9">
      <c r="A82" s="10"/>
      <c r="B82" s="14"/>
      <c r="C82" s="10"/>
      <c r="D82" s="19"/>
      <c r="E82" s="6"/>
      <c r="F82" s="30"/>
      <c r="G82" s="25"/>
      <c r="H82" s="35"/>
      <c r="I82" s="2"/>
    </row>
    <row r="83" spans="1:9">
      <c r="A83" s="10"/>
      <c r="B83" s="14"/>
      <c r="C83" s="10" t="s">
        <v>443</v>
      </c>
      <c r="D83" s="19">
        <v>24.5</v>
      </c>
      <c r="E83" s="6" t="s">
        <v>207</v>
      </c>
      <c r="F83" s="30"/>
      <c r="G83" s="25"/>
      <c r="H83" s="35">
        <f>306.99</f>
        <v>306.99</v>
      </c>
      <c r="I83" s="2" t="s">
        <v>131</v>
      </c>
    </row>
    <row r="84" spans="1:9">
      <c r="A84" s="10"/>
      <c r="B84" s="14"/>
      <c r="C84" s="10"/>
      <c r="D84" s="19">
        <v>48.5</v>
      </c>
      <c r="E84" s="6" t="s">
        <v>37</v>
      </c>
      <c r="F84" s="30"/>
      <c r="G84" s="25"/>
      <c r="H84" s="35">
        <f>328+778.5</f>
        <v>1106.5</v>
      </c>
      <c r="I84" s="2" t="s">
        <v>54</v>
      </c>
    </row>
    <row r="85" spans="1:9">
      <c r="A85" s="10"/>
      <c r="B85" s="14"/>
      <c r="C85" s="10"/>
      <c r="D85" s="19"/>
      <c r="E85" s="6"/>
      <c r="F85" s="30"/>
      <c r="G85" s="25"/>
      <c r="H85" s="35"/>
      <c r="I85" s="2"/>
    </row>
    <row r="86" spans="1:9">
      <c r="A86" s="10"/>
      <c r="B86" s="14"/>
      <c r="C86" s="10" t="s">
        <v>11</v>
      </c>
      <c r="D86" s="19">
        <f>93.8</f>
        <v>93.8</v>
      </c>
      <c r="E86" s="6" t="s">
        <v>207</v>
      </c>
      <c r="F86" s="30">
        <v>3.11</v>
      </c>
      <c r="G86" s="25" t="s">
        <v>61</v>
      </c>
      <c r="H86" s="35">
        <f>172.98</f>
        <v>172.98</v>
      </c>
      <c r="I86" s="2" t="s">
        <v>131</v>
      </c>
    </row>
    <row r="87" spans="1:9">
      <c r="A87" s="10"/>
      <c r="B87" s="14"/>
      <c r="C87" s="10"/>
      <c r="D87" s="19">
        <f>29.4</f>
        <v>29.4</v>
      </c>
      <c r="E87" s="6" t="s">
        <v>37</v>
      </c>
      <c r="F87" s="30">
        <f>21.5</f>
        <v>21.5</v>
      </c>
      <c r="G87" s="25" t="s">
        <v>44</v>
      </c>
      <c r="H87" s="35">
        <f>627</f>
        <v>627</v>
      </c>
      <c r="I87" s="2" t="s">
        <v>54</v>
      </c>
    </row>
    <row r="88" spans="1:9">
      <c r="A88" s="10"/>
      <c r="B88" s="14"/>
      <c r="C88" s="10"/>
      <c r="D88" s="19"/>
      <c r="E88" s="6"/>
      <c r="F88" s="30"/>
      <c r="G88" s="25"/>
      <c r="H88" s="35"/>
      <c r="I88" s="2"/>
    </row>
    <row r="89" spans="1:9">
      <c r="A89" s="10"/>
      <c r="B89" s="14"/>
      <c r="C89" s="10" t="s">
        <v>18</v>
      </c>
      <c r="D89" s="19"/>
      <c r="E89" s="6"/>
      <c r="F89" s="30"/>
      <c r="G89" s="25"/>
      <c r="H89" s="35">
        <v>130.11000000000001</v>
      </c>
      <c r="I89" s="2" t="s">
        <v>446</v>
      </c>
    </row>
    <row r="90" spans="1:9">
      <c r="A90" s="10"/>
      <c r="B90" s="14"/>
      <c r="C90" s="9"/>
      <c r="D90" s="19"/>
      <c r="E90" s="6"/>
      <c r="F90" s="30"/>
      <c r="G90" s="25"/>
      <c r="H90" s="34"/>
      <c r="I90" s="2"/>
    </row>
    <row r="91" spans="1:9">
      <c r="A91" s="12" t="s">
        <v>4</v>
      </c>
      <c r="B91" s="10"/>
      <c r="C91" s="10"/>
      <c r="D91" s="20">
        <f>SUM(D64:D90)</f>
        <v>3279.63</v>
      </c>
      <c r="E91" s="6"/>
      <c r="F91" s="31">
        <f>SUM(F64:F90)</f>
        <v>395.28</v>
      </c>
      <c r="G91" s="26"/>
      <c r="H91" s="36">
        <f>SUM(H64:H90)</f>
        <v>8170.7799999999988</v>
      </c>
      <c r="I91" s="2"/>
    </row>
    <row r="92" spans="1:9" ht="15.75" thickBot="1">
      <c r="A92" s="13" t="s">
        <v>5</v>
      </c>
      <c r="B92" s="39">
        <f>SUM(D91+F91+H91)</f>
        <v>11845.689999999999</v>
      </c>
      <c r="C92" s="38"/>
      <c r="D92" s="21"/>
      <c r="E92" s="22"/>
      <c r="F92" s="32"/>
      <c r="G92" s="27"/>
      <c r="H92" s="37"/>
      <c r="I92" s="3"/>
    </row>
    <row r="93" spans="1:9">
      <c r="A93" s="8" t="s">
        <v>442</v>
      </c>
      <c r="B93" s="8" t="s">
        <v>252</v>
      </c>
      <c r="C93" s="11" t="s">
        <v>27</v>
      </c>
      <c r="D93" s="17">
        <f>70.35</f>
        <v>70.349999999999994</v>
      </c>
      <c r="E93" s="51" t="s">
        <v>207</v>
      </c>
      <c r="F93" s="28"/>
      <c r="G93" s="23"/>
      <c r="H93" s="33">
        <v>270.48</v>
      </c>
      <c r="I93" s="5" t="s">
        <v>131</v>
      </c>
    </row>
    <row r="94" spans="1:9">
      <c r="A94" s="9"/>
      <c r="B94" s="9" t="s">
        <v>299</v>
      </c>
      <c r="C94" s="10"/>
      <c r="D94" s="17">
        <f>74.17</f>
        <v>74.17</v>
      </c>
      <c r="E94" s="18" t="s">
        <v>37</v>
      </c>
      <c r="F94" s="29"/>
      <c r="G94" s="24"/>
      <c r="H94" s="34">
        <v>369.13</v>
      </c>
      <c r="I94" s="6" t="s">
        <v>54</v>
      </c>
    </row>
    <row r="95" spans="1:9">
      <c r="A95" s="9"/>
      <c r="B95" s="9"/>
      <c r="C95" s="10"/>
      <c r="D95" s="17"/>
      <c r="E95" s="51"/>
      <c r="F95" s="29"/>
      <c r="G95" s="24"/>
      <c r="H95" s="34">
        <f>51.08+137.45</f>
        <v>188.52999999999997</v>
      </c>
      <c r="I95" s="6" t="s">
        <v>64</v>
      </c>
    </row>
    <row r="96" spans="1:9">
      <c r="A96" s="9"/>
      <c r="B96" s="9"/>
      <c r="C96" s="10"/>
      <c r="D96" s="17"/>
      <c r="E96" s="51"/>
      <c r="F96" s="29"/>
      <c r="G96" s="24"/>
      <c r="H96" s="34"/>
      <c r="I96" s="6"/>
    </row>
    <row r="97" spans="1:13">
      <c r="A97" s="9"/>
      <c r="B97" s="9"/>
      <c r="C97" s="10"/>
      <c r="D97" s="17"/>
      <c r="E97" s="6"/>
      <c r="F97" s="17"/>
      <c r="G97" s="6"/>
      <c r="H97" s="35"/>
      <c r="I97" s="2"/>
    </row>
    <row r="98" spans="1:13">
      <c r="A98" s="10"/>
      <c r="B98" s="14"/>
      <c r="C98" s="10"/>
      <c r="D98" s="19"/>
      <c r="E98" s="6"/>
      <c r="F98" s="30"/>
      <c r="G98" s="25"/>
      <c r="H98" s="35"/>
      <c r="I98" s="2"/>
    </row>
    <row r="99" spans="1:13">
      <c r="A99" s="12" t="s">
        <v>4</v>
      </c>
      <c r="B99" s="10"/>
      <c r="C99" s="10"/>
      <c r="D99" s="20">
        <f>SUM(D93:D98)</f>
        <v>144.51999999999998</v>
      </c>
      <c r="E99" s="6"/>
      <c r="F99" s="31">
        <f>SUM(F93:F98)</f>
        <v>0</v>
      </c>
      <c r="G99" s="26"/>
      <c r="H99" s="36">
        <f>SUM(H93:H98)</f>
        <v>828.14</v>
      </c>
      <c r="I99" s="2"/>
    </row>
    <row r="100" spans="1:13" ht="15.75" thickBot="1">
      <c r="A100" s="13" t="s">
        <v>5</v>
      </c>
      <c r="B100" s="39">
        <f>SUM(D99+F99+H99)</f>
        <v>972.66</v>
      </c>
      <c r="C100" s="38"/>
      <c r="D100" s="21"/>
      <c r="E100" s="22"/>
      <c r="F100" s="32"/>
      <c r="G100" s="27"/>
      <c r="H100" s="37"/>
      <c r="I100" s="3"/>
    </row>
    <row r="101" spans="1:13">
      <c r="A101" s="8" t="s">
        <v>440</v>
      </c>
      <c r="B101" s="8" t="s">
        <v>252</v>
      </c>
      <c r="C101" s="11" t="s">
        <v>18</v>
      </c>
      <c r="D101" s="17">
        <f>73.88+19.86</f>
        <v>93.74</v>
      </c>
      <c r="E101" s="51" t="s">
        <v>207</v>
      </c>
      <c r="F101" s="28"/>
      <c r="G101" s="23"/>
      <c r="H101" s="33">
        <f>493.91</f>
        <v>493.91</v>
      </c>
      <c r="I101" s="5" t="s">
        <v>131</v>
      </c>
    </row>
    <row r="102" spans="1:13">
      <c r="A102" s="9"/>
      <c r="B102" s="9" t="s">
        <v>289</v>
      </c>
      <c r="C102" s="10"/>
      <c r="D102" s="17">
        <f>67+68.04</f>
        <v>135.04000000000002</v>
      </c>
      <c r="E102" s="18" t="s">
        <v>37</v>
      </c>
      <c r="F102" s="29"/>
      <c r="G102" s="24"/>
      <c r="H102" s="34">
        <f>190.98</f>
        <v>190.98</v>
      </c>
      <c r="I102" s="6" t="s">
        <v>54</v>
      </c>
    </row>
    <row r="103" spans="1:13">
      <c r="A103" s="9"/>
      <c r="B103" s="9"/>
      <c r="C103" s="10"/>
      <c r="D103" s="17"/>
      <c r="E103" s="51"/>
      <c r="F103" s="29"/>
      <c r="G103" s="24"/>
      <c r="H103" s="34"/>
      <c r="I103" s="6"/>
    </row>
    <row r="104" spans="1:13">
      <c r="A104" s="9"/>
      <c r="B104" s="9"/>
      <c r="C104" s="10" t="s">
        <v>84</v>
      </c>
      <c r="D104" s="17">
        <f>30</f>
        <v>30</v>
      </c>
      <c r="E104" s="51" t="s">
        <v>207</v>
      </c>
      <c r="F104" s="29">
        <v>38</v>
      </c>
      <c r="G104" s="24" t="s">
        <v>44</v>
      </c>
      <c r="H104" s="34">
        <f>493.91</f>
        <v>493.91</v>
      </c>
      <c r="I104" s="6" t="s">
        <v>131</v>
      </c>
    </row>
    <row r="105" spans="1:13">
      <c r="A105" s="9"/>
      <c r="B105" s="9"/>
      <c r="C105" s="10"/>
      <c r="D105" s="17">
        <f>69.64</f>
        <v>69.64</v>
      </c>
      <c r="E105" s="6" t="s">
        <v>37</v>
      </c>
      <c r="F105" s="17"/>
      <c r="G105" s="6"/>
      <c r="H105" s="35">
        <f>190.98</f>
        <v>190.98</v>
      </c>
      <c r="I105" s="2" t="s">
        <v>54</v>
      </c>
    </row>
    <row r="106" spans="1:13">
      <c r="A106" s="10"/>
      <c r="B106" s="14"/>
      <c r="C106" s="10"/>
      <c r="D106" s="19"/>
      <c r="E106" s="6"/>
      <c r="F106" s="30"/>
      <c r="G106" s="25"/>
      <c r="H106" s="35"/>
      <c r="I106" s="2"/>
    </row>
    <row r="107" spans="1:13">
      <c r="A107" s="12" t="s">
        <v>4</v>
      </c>
      <c r="B107" s="10"/>
      <c r="C107" s="10"/>
      <c r="D107" s="20">
        <f>SUM(D101:D106)</f>
        <v>328.42</v>
      </c>
      <c r="E107" s="6"/>
      <c r="F107" s="31">
        <f>SUM(F101:F106)</f>
        <v>38</v>
      </c>
      <c r="G107" s="26"/>
      <c r="H107" s="36">
        <f>SUM(H101:H106)</f>
        <v>1369.78</v>
      </c>
      <c r="I107" s="2"/>
    </row>
    <row r="108" spans="1:13" ht="15.75" thickBot="1">
      <c r="A108" s="13" t="s">
        <v>5</v>
      </c>
      <c r="B108" s="39">
        <f>SUM(D107+F107+H107)</f>
        <v>1736.2</v>
      </c>
      <c r="C108" s="38"/>
      <c r="D108" s="21"/>
      <c r="E108" s="22"/>
      <c r="F108" s="32"/>
      <c r="G108" s="27"/>
      <c r="H108" s="37"/>
      <c r="I108" s="3"/>
    </row>
    <row r="109" spans="1:13" ht="15.75" thickBot="1"/>
    <row r="110" spans="1:13" ht="20.25" thickBot="1">
      <c r="A110" s="41" t="s">
        <v>10</v>
      </c>
      <c r="B110" s="42">
        <f>SUM(B13,B22,B31,B42,B51,B63,B92,B100,B108)</f>
        <v>33341.729999999996</v>
      </c>
    </row>
    <row r="112" spans="1:13">
      <c r="A112" s="45"/>
      <c r="B112" s="43"/>
      <c r="C112" s="43"/>
      <c r="D112" s="47"/>
      <c r="E112" s="47"/>
      <c r="F112" s="46"/>
      <c r="G112" s="48"/>
      <c r="H112" s="43"/>
      <c r="I112" s="46"/>
      <c r="J112" s="49"/>
      <c r="K112" s="50"/>
      <c r="L112" s="50"/>
      <c r="M112" s="5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6"/>
  <sheetViews>
    <sheetView topLeftCell="A19" workbookViewId="0">
      <selection activeCell="I45" sqref="I45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>
      <c r="A2" s="44" t="s">
        <v>435</v>
      </c>
      <c r="B2" s="8" t="s">
        <v>436</v>
      </c>
      <c r="C2" s="11" t="s">
        <v>31</v>
      </c>
      <c r="D2" s="17">
        <f>16.5+102.41</f>
        <v>118.91</v>
      </c>
      <c r="E2" s="51" t="s">
        <v>207</v>
      </c>
      <c r="F2" s="28">
        <f>22</f>
        <v>22</v>
      </c>
      <c r="G2" s="23" t="s">
        <v>159</v>
      </c>
      <c r="H2" s="33">
        <f>625.78</f>
        <v>625.78</v>
      </c>
      <c r="I2" s="5" t="s">
        <v>131</v>
      </c>
    </row>
    <row r="3" spans="1:9">
      <c r="A3" s="9"/>
      <c r="B3" s="9" t="s">
        <v>416</v>
      </c>
      <c r="C3" s="10"/>
      <c r="D3" s="17">
        <f>33.7</f>
        <v>33.700000000000003</v>
      </c>
      <c r="E3" s="18" t="s">
        <v>37</v>
      </c>
      <c r="F3" s="29"/>
      <c r="G3" s="24"/>
      <c r="H3" s="34">
        <v>1377</v>
      </c>
      <c r="I3" s="6" t="s">
        <v>54</v>
      </c>
    </row>
    <row r="4" spans="1:9">
      <c r="A4" s="9"/>
      <c r="B4" s="9"/>
      <c r="C4" s="10"/>
      <c r="D4" s="17"/>
      <c r="E4" s="51"/>
      <c r="F4" s="29"/>
      <c r="G4" s="24"/>
      <c r="H4" s="34">
        <f>372.96</f>
        <v>372.96</v>
      </c>
      <c r="I4" s="6" t="s">
        <v>64</v>
      </c>
    </row>
    <row r="5" spans="1:9">
      <c r="A5" s="9"/>
      <c r="B5" s="9"/>
      <c r="C5" s="10"/>
      <c r="D5" s="17"/>
      <c r="E5" s="51"/>
      <c r="F5" s="29"/>
      <c r="G5" s="24"/>
      <c r="H5" s="34"/>
      <c r="I5" s="6"/>
    </row>
    <row r="6" spans="1:9">
      <c r="A6" s="9"/>
      <c r="B6" s="9"/>
      <c r="C6" s="10" t="s">
        <v>27</v>
      </c>
      <c r="D6" s="17">
        <f>59.17</f>
        <v>59.17</v>
      </c>
      <c r="E6" s="51" t="s">
        <v>37</v>
      </c>
      <c r="F6" s="29">
        <f>15.73</f>
        <v>15.73</v>
      </c>
      <c r="G6" s="24" t="s">
        <v>159</v>
      </c>
      <c r="H6" s="34">
        <f>152.23</f>
        <v>152.22999999999999</v>
      </c>
      <c r="I6" s="6" t="s">
        <v>131</v>
      </c>
    </row>
    <row r="7" spans="1:9">
      <c r="A7" s="9"/>
      <c r="B7" s="9"/>
      <c r="C7" s="10"/>
      <c r="D7" s="17"/>
      <c r="E7" s="51"/>
      <c r="F7" s="29"/>
      <c r="G7" s="24"/>
      <c r="H7" s="34">
        <v>1377</v>
      </c>
      <c r="I7" s="6" t="s">
        <v>54</v>
      </c>
    </row>
    <row r="8" spans="1:9">
      <c r="A8" s="9"/>
      <c r="B8" s="9"/>
      <c r="C8" s="10"/>
      <c r="D8" s="17"/>
      <c r="E8" s="51"/>
      <c r="F8" s="29"/>
      <c r="G8" s="24"/>
      <c r="H8" s="34">
        <f>116.62+64.17</f>
        <v>180.79000000000002</v>
      </c>
      <c r="I8" s="6" t="s">
        <v>64</v>
      </c>
    </row>
    <row r="9" spans="1:9">
      <c r="A9" s="9"/>
      <c r="B9" s="9"/>
      <c r="C9" s="10"/>
      <c r="D9" s="17"/>
      <c r="E9" s="51"/>
      <c r="F9" s="29"/>
      <c r="G9" s="24"/>
      <c r="H9" s="34"/>
      <c r="I9" s="6"/>
    </row>
    <row r="10" spans="1:9">
      <c r="A10" s="9"/>
      <c r="B10" s="9"/>
      <c r="C10" s="10" t="s">
        <v>47</v>
      </c>
      <c r="D10" s="17"/>
      <c r="E10" s="51"/>
      <c r="F10" s="29">
        <f>27.87</f>
        <v>27.87</v>
      </c>
      <c r="G10" s="24" t="s">
        <v>61</v>
      </c>
      <c r="H10" s="34">
        <f>625.78</f>
        <v>625.78</v>
      </c>
      <c r="I10" s="6" t="s">
        <v>131</v>
      </c>
    </row>
    <row r="11" spans="1:9">
      <c r="A11" s="9"/>
      <c r="B11" s="9"/>
      <c r="C11" s="10"/>
      <c r="D11" s="17"/>
      <c r="E11" s="51"/>
      <c r="F11" s="29">
        <f>3.8+4</f>
        <v>7.8</v>
      </c>
      <c r="G11" s="24" t="s">
        <v>107</v>
      </c>
      <c r="H11" s="34">
        <v>1867</v>
      </c>
      <c r="I11" s="6" t="s">
        <v>54</v>
      </c>
    </row>
    <row r="12" spans="1:9">
      <c r="A12" s="9"/>
      <c r="B12" s="9"/>
      <c r="C12" s="10"/>
      <c r="D12" s="17"/>
      <c r="E12" s="51"/>
      <c r="F12" s="29">
        <v>27</v>
      </c>
      <c r="G12" s="24" t="s">
        <v>44</v>
      </c>
      <c r="H12" s="34"/>
      <c r="I12" s="6"/>
    </row>
    <row r="13" spans="1:9">
      <c r="A13" s="9"/>
      <c r="B13" s="9"/>
      <c r="C13" s="10"/>
      <c r="D13" s="17"/>
      <c r="E13" s="51"/>
      <c r="F13" s="29"/>
      <c r="G13" s="24"/>
      <c r="H13" s="34"/>
      <c r="I13" s="6"/>
    </row>
    <row r="14" spans="1:9">
      <c r="A14" s="9"/>
      <c r="B14" s="9"/>
      <c r="C14" s="10" t="s">
        <v>13</v>
      </c>
      <c r="D14" s="17">
        <f>593.14</f>
        <v>593.14</v>
      </c>
      <c r="E14" s="51" t="s">
        <v>207</v>
      </c>
      <c r="F14" s="29">
        <f>16.02+11</f>
        <v>27.02</v>
      </c>
      <c r="G14" s="24" t="s">
        <v>159</v>
      </c>
      <c r="H14" s="34">
        <f>2608.02</f>
        <v>2608.02</v>
      </c>
      <c r="I14" s="6" t="s">
        <v>131</v>
      </c>
    </row>
    <row r="15" spans="1:9">
      <c r="A15" s="9"/>
      <c r="B15" s="9"/>
      <c r="C15" s="10"/>
      <c r="D15" s="17">
        <f>90</f>
        <v>90</v>
      </c>
      <c r="E15" s="51" t="s">
        <v>37</v>
      </c>
      <c r="F15" s="29"/>
      <c r="G15" s="24"/>
      <c r="H15" s="34">
        <v>1180</v>
      </c>
      <c r="I15" s="6" t="s">
        <v>54</v>
      </c>
    </row>
    <row r="16" spans="1:9">
      <c r="A16" s="9"/>
      <c r="B16" s="9"/>
      <c r="C16" s="10"/>
      <c r="D16" s="17"/>
      <c r="E16" s="51"/>
      <c r="F16" s="29"/>
      <c r="G16" s="24"/>
      <c r="H16" s="34">
        <v>202.2</v>
      </c>
      <c r="I16" s="6" t="s">
        <v>64</v>
      </c>
    </row>
    <row r="17" spans="1:9">
      <c r="A17" s="9"/>
      <c r="B17" s="9"/>
      <c r="C17" s="10"/>
      <c r="D17" s="17"/>
      <c r="E17" s="51"/>
      <c r="F17" s="29"/>
      <c r="G17" s="24"/>
      <c r="H17" s="34"/>
      <c r="I17" s="6"/>
    </row>
    <row r="18" spans="1:9">
      <c r="A18" s="9"/>
      <c r="B18" s="9"/>
      <c r="C18" s="10"/>
      <c r="D18" s="17"/>
      <c r="E18" s="51"/>
      <c r="F18" s="29"/>
      <c r="G18" s="24"/>
      <c r="H18" s="34"/>
      <c r="I18" s="6"/>
    </row>
    <row r="19" spans="1:9">
      <c r="A19" s="9"/>
      <c r="B19" s="9"/>
      <c r="C19" s="10" t="s">
        <v>405</v>
      </c>
      <c r="D19" s="17">
        <f>5.27</f>
        <v>5.27</v>
      </c>
      <c r="E19" s="51" t="s">
        <v>207</v>
      </c>
      <c r="F19" s="29">
        <f>20</f>
        <v>20</v>
      </c>
      <c r="G19" s="24" t="s">
        <v>159</v>
      </c>
      <c r="H19" s="34">
        <f>989.93</f>
        <v>989.93</v>
      </c>
      <c r="I19" s="6" t="s">
        <v>131</v>
      </c>
    </row>
    <row r="20" spans="1:9">
      <c r="A20" s="9"/>
      <c r="B20" s="9"/>
      <c r="C20" s="10"/>
      <c r="D20" s="17">
        <f>7.7</f>
        <v>7.7</v>
      </c>
      <c r="E20" s="6" t="s">
        <v>37</v>
      </c>
      <c r="F20" s="17"/>
      <c r="G20" s="6"/>
      <c r="H20" s="35">
        <v>1180</v>
      </c>
      <c r="I20" s="2" t="s">
        <v>54</v>
      </c>
    </row>
    <row r="21" spans="1:9">
      <c r="A21" s="9"/>
      <c r="B21" s="9"/>
      <c r="C21" s="10"/>
      <c r="D21" s="17"/>
      <c r="E21" s="6"/>
      <c r="F21" s="17"/>
      <c r="G21" s="6"/>
      <c r="H21" s="35">
        <f>288.08</f>
        <v>288.08</v>
      </c>
      <c r="I21" s="2" t="s">
        <v>64</v>
      </c>
    </row>
    <row r="22" spans="1:9">
      <c r="A22" s="9"/>
      <c r="B22" s="9"/>
      <c r="C22" s="10"/>
      <c r="D22" s="17"/>
      <c r="E22" s="6"/>
      <c r="F22" s="17"/>
      <c r="G22" s="6"/>
      <c r="H22" s="35"/>
      <c r="I22" s="2"/>
    </row>
    <row r="23" spans="1:9">
      <c r="A23" s="9"/>
      <c r="B23" s="9"/>
      <c r="C23" s="10" t="s">
        <v>26</v>
      </c>
      <c r="D23" s="17">
        <f>2.38+2.48</f>
        <v>4.8599999999999994</v>
      </c>
      <c r="E23" s="6" t="s">
        <v>207</v>
      </c>
      <c r="F23" s="17">
        <f>16.3</f>
        <v>16.3</v>
      </c>
      <c r="G23" s="6" t="s">
        <v>159</v>
      </c>
      <c r="H23" s="35">
        <f>152.23</f>
        <v>152.22999999999999</v>
      </c>
      <c r="I23" s="2" t="s">
        <v>131</v>
      </c>
    </row>
    <row r="24" spans="1:9">
      <c r="A24" s="9"/>
      <c r="B24" s="9"/>
      <c r="C24" s="10"/>
      <c r="D24" s="17">
        <f>45.83+16.47</f>
        <v>62.3</v>
      </c>
      <c r="E24" s="6" t="s">
        <v>37</v>
      </c>
      <c r="F24" s="17"/>
      <c r="G24" s="6"/>
      <c r="H24" s="35">
        <v>1180</v>
      </c>
      <c r="I24" s="2" t="s">
        <v>54</v>
      </c>
    </row>
    <row r="25" spans="1:9">
      <c r="A25" s="9"/>
      <c r="B25" s="9"/>
      <c r="C25" s="10"/>
      <c r="D25" s="17"/>
      <c r="E25" s="6"/>
      <c r="F25" s="17"/>
      <c r="G25" s="6"/>
      <c r="H25" s="35">
        <f>27.07</f>
        <v>27.07</v>
      </c>
      <c r="I25" s="2" t="s">
        <v>64</v>
      </c>
    </row>
    <row r="26" spans="1:9">
      <c r="A26" s="9"/>
      <c r="B26" s="9"/>
      <c r="C26" s="10"/>
      <c r="D26" s="17"/>
      <c r="E26" s="6"/>
      <c r="F26" s="17"/>
      <c r="G26" s="6"/>
      <c r="H26" s="35"/>
      <c r="I26" s="2"/>
    </row>
    <row r="27" spans="1:9">
      <c r="A27" s="9"/>
      <c r="B27" s="9"/>
      <c r="C27" s="10" t="s">
        <v>30</v>
      </c>
      <c r="D27" s="17">
        <f>15.4+287.2</f>
        <v>302.59999999999997</v>
      </c>
      <c r="E27" s="6" t="s">
        <v>207</v>
      </c>
      <c r="F27" s="17">
        <f>17</f>
        <v>17</v>
      </c>
      <c r="G27" s="6" t="s">
        <v>61</v>
      </c>
      <c r="H27" s="35">
        <v>625.78</v>
      </c>
      <c r="I27" s="2" t="s">
        <v>131</v>
      </c>
    </row>
    <row r="28" spans="1:9">
      <c r="A28" s="9"/>
      <c r="B28" s="9"/>
      <c r="C28" s="10"/>
      <c r="D28" s="17">
        <f>27.15</f>
        <v>27.15</v>
      </c>
      <c r="E28" s="6" t="s">
        <v>37</v>
      </c>
      <c r="F28" s="17">
        <f>6.2</f>
        <v>6.2</v>
      </c>
      <c r="G28" s="6" t="s">
        <v>107</v>
      </c>
      <c r="H28" s="35">
        <v>2995</v>
      </c>
      <c r="I28" s="2" t="s">
        <v>54</v>
      </c>
    </row>
    <row r="29" spans="1:9">
      <c r="A29" s="9"/>
      <c r="B29" s="9"/>
      <c r="C29" s="10"/>
      <c r="D29" s="17">
        <f>10</f>
        <v>10</v>
      </c>
      <c r="E29" s="6" t="s">
        <v>257</v>
      </c>
      <c r="F29" s="17">
        <f>39</f>
        <v>39</v>
      </c>
      <c r="G29" s="6" t="s">
        <v>44</v>
      </c>
      <c r="H29" s="35">
        <f>139.86</f>
        <v>139.86000000000001</v>
      </c>
      <c r="I29" s="2" t="s">
        <v>64</v>
      </c>
    </row>
    <row r="30" spans="1:9">
      <c r="A30" s="9"/>
      <c r="B30" s="9"/>
      <c r="C30" s="10"/>
      <c r="D30" s="17"/>
      <c r="E30" s="6"/>
      <c r="F30" s="17">
        <f>64.05</f>
        <v>64.05</v>
      </c>
      <c r="G30" s="6" t="s">
        <v>159</v>
      </c>
      <c r="H30" s="35"/>
      <c r="I30" s="2"/>
    </row>
    <row r="31" spans="1:9">
      <c r="A31" s="9"/>
      <c r="B31" s="9"/>
      <c r="C31" s="10"/>
      <c r="D31" s="17"/>
      <c r="E31" s="6"/>
      <c r="F31" s="17"/>
      <c r="G31" s="6"/>
      <c r="H31" s="35"/>
      <c r="I31" s="2"/>
    </row>
    <row r="32" spans="1:9">
      <c r="A32" s="9"/>
      <c r="B32" s="9"/>
      <c r="C32" s="10" t="s">
        <v>14</v>
      </c>
      <c r="D32" s="17"/>
      <c r="E32" s="6"/>
      <c r="F32" s="17"/>
      <c r="G32" s="6"/>
      <c r="H32" s="35">
        <v>393.59</v>
      </c>
      <c r="I32" s="2" t="s">
        <v>493</v>
      </c>
    </row>
    <row r="33" spans="1:9">
      <c r="A33" s="9"/>
      <c r="B33" s="9"/>
      <c r="C33" s="10"/>
      <c r="D33" s="17"/>
      <c r="E33" s="6"/>
      <c r="F33" s="17"/>
      <c r="G33" s="6"/>
      <c r="H33" s="35"/>
      <c r="I33" s="2"/>
    </row>
    <row r="34" spans="1:9">
      <c r="A34" s="12" t="s">
        <v>4</v>
      </c>
      <c r="B34" s="10"/>
      <c r="C34" s="10"/>
      <c r="D34" s="20">
        <f>SUM(D2:D33)</f>
        <v>1314.8000000000002</v>
      </c>
      <c r="E34" s="6"/>
      <c r="F34" s="31">
        <f>SUM(F2:F33)</f>
        <v>289.97000000000003</v>
      </c>
      <c r="G34" s="26"/>
      <c r="H34" s="36">
        <f>SUM(H2:H33)</f>
        <v>18540.3</v>
      </c>
      <c r="I34" s="2"/>
    </row>
    <row r="35" spans="1:9" ht="15.75" thickBot="1">
      <c r="A35" s="13" t="s">
        <v>5</v>
      </c>
      <c r="B35" s="39">
        <f>SUM(D34+F34+H34)</f>
        <v>20145.07</v>
      </c>
      <c r="C35" s="38"/>
      <c r="D35" s="21"/>
      <c r="E35" s="22"/>
      <c r="F35" s="32"/>
      <c r="G35" s="27"/>
      <c r="H35" s="37"/>
      <c r="I35" s="3"/>
    </row>
    <row r="36" spans="1:9">
      <c r="A36" s="44" t="s">
        <v>449</v>
      </c>
      <c r="B36" s="8" t="s">
        <v>237</v>
      </c>
      <c r="C36" s="11" t="s">
        <v>161</v>
      </c>
      <c r="D36" s="17">
        <f>59.2+257.85</f>
        <v>317.05</v>
      </c>
      <c r="E36" s="51" t="s">
        <v>207</v>
      </c>
      <c r="F36" s="28">
        <f>5.41</f>
        <v>5.41</v>
      </c>
      <c r="G36" s="23" t="s">
        <v>61</v>
      </c>
      <c r="H36" s="33">
        <f>989.4+279.08+1823.6</f>
        <v>3092.08</v>
      </c>
      <c r="I36" s="5" t="s">
        <v>131</v>
      </c>
    </row>
    <row r="37" spans="1:9">
      <c r="A37" s="9"/>
      <c r="B37" s="9" t="s">
        <v>450</v>
      </c>
      <c r="C37" s="10"/>
      <c r="D37" s="17">
        <f>112.5+181.62</f>
        <v>294.12</v>
      </c>
      <c r="E37" s="18" t="s">
        <v>37</v>
      </c>
      <c r="F37" s="29">
        <f>1.8</f>
        <v>1.8</v>
      </c>
      <c r="G37" s="24" t="s">
        <v>107</v>
      </c>
      <c r="H37" s="34">
        <f>1105.12+417.69+176.09+104+600.71</f>
        <v>2403.6099999999997</v>
      </c>
      <c r="I37" s="6" t="s">
        <v>54</v>
      </c>
    </row>
    <row r="38" spans="1:9">
      <c r="A38" s="9"/>
      <c r="B38" s="9"/>
      <c r="C38" s="10"/>
      <c r="D38" s="17">
        <f>64</f>
        <v>64</v>
      </c>
      <c r="E38" s="51" t="s">
        <v>257</v>
      </c>
      <c r="F38" s="29"/>
      <c r="G38" s="24"/>
      <c r="H38" s="34">
        <f>870.76</f>
        <v>870.76</v>
      </c>
      <c r="I38" s="6" t="s">
        <v>64</v>
      </c>
    </row>
    <row r="39" spans="1:9">
      <c r="A39" s="9"/>
      <c r="B39" s="9"/>
      <c r="C39" s="10"/>
      <c r="D39" s="17"/>
      <c r="E39" s="51"/>
      <c r="F39" s="29"/>
      <c r="G39" s="24"/>
      <c r="H39" s="34"/>
      <c r="I39" s="6"/>
    </row>
    <row r="40" spans="1:9">
      <c r="A40" s="9"/>
      <c r="B40" s="9"/>
      <c r="C40" s="10" t="s">
        <v>21</v>
      </c>
      <c r="D40" s="17">
        <f>42.44+485.9</f>
        <v>528.33999999999992</v>
      </c>
      <c r="E40" s="51" t="s">
        <v>207</v>
      </c>
      <c r="F40" s="29"/>
      <c r="G40" s="24"/>
      <c r="H40" s="34">
        <f>634.18+180+408.76</f>
        <v>1222.94</v>
      </c>
      <c r="I40" s="6" t="s">
        <v>131</v>
      </c>
    </row>
    <row r="41" spans="1:9">
      <c r="A41" s="9"/>
      <c r="B41" s="9"/>
      <c r="C41" s="10"/>
      <c r="D41" s="17">
        <f>341.26+201.71</f>
        <v>542.97</v>
      </c>
      <c r="E41" s="51" t="s">
        <v>37</v>
      </c>
      <c r="F41" s="29"/>
      <c r="G41" s="24"/>
      <c r="H41" s="34">
        <f>1274.79+600.71+176.09</f>
        <v>2051.59</v>
      </c>
      <c r="I41" s="6" t="s">
        <v>54</v>
      </c>
    </row>
    <row r="42" spans="1:9">
      <c r="A42" s="9"/>
      <c r="B42" s="9"/>
      <c r="C42" s="10"/>
      <c r="D42" s="17"/>
      <c r="E42" s="51"/>
      <c r="F42" s="29"/>
      <c r="G42" s="24"/>
      <c r="H42" s="34">
        <f>301.37</f>
        <v>301.37</v>
      </c>
      <c r="I42" s="6" t="s">
        <v>64</v>
      </c>
    </row>
    <row r="43" spans="1:9">
      <c r="A43" s="9"/>
      <c r="B43" s="9"/>
      <c r="C43" s="10"/>
      <c r="D43" s="17"/>
      <c r="E43" s="51"/>
      <c r="F43" s="29"/>
      <c r="G43" s="24"/>
      <c r="H43" s="34"/>
      <c r="I43" s="6"/>
    </row>
    <row r="44" spans="1:9">
      <c r="A44" s="9"/>
      <c r="B44" s="9" t="s">
        <v>488</v>
      </c>
      <c r="C44" s="10" t="s">
        <v>466</v>
      </c>
      <c r="D44" s="17">
        <f>103+50.97</f>
        <v>153.97</v>
      </c>
      <c r="E44" s="51" t="s">
        <v>207</v>
      </c>
      <c r="F44" s="29">
        <f>5</f>
        <v>5</v>
      </c>
      <c r="G44" s="24" t="s">
        <v>262</v>
      </c>
      <c r="H44" s="34">
        <f>1164.27+175.51+821.87</f>
        <v>2161.65</v>
      </c>
      <c r="I44" s="6" t="s">
        <v>131</v>
      </c>
    </row>
    <row r="45" spans="1:9">
      <c r="A45" s="9"/>
      <c r="B45" s="9"/>
      <c r="C45" s="10"/>
      <c r="D45" s="17">
        <f>90+99.22</f>
        <v>189.22</v>
      </c>
      <c r="E45" s="51" t="s">
        <v>37</v>
      </c>
      <c r="F45" s="29"/>
      <c r="G45" s="24"/>
      <c r="H45" s="34">
        <f>237.5+176.09+118.75-237.5+104+765.79+653.06</f>
        <v>1817.69</v>
      </c>
      <c r="I45" s="6" t="s">
        <v>54</v>
      </c>
    </row>
    <row r="46" spans="1:9">
      <c r="A46" s="9"/>
      <c r="B46" s="9"/>
      <c r="C46" s="10"/>
      <c r="D46" s="17">
        <f>39.51+2.62</f>
        <v>42.129999999999995</v>
      </c>
      <c r="E46" s="51" t="s">
        <v>257</v>
      </c>
      <c r="F46" s="29"/>
      <c r="G46" s="24"/>
      <c r="H46" s="34">
        <f>39+570.49</f>
        <v>609.49</v>
      </c>
      <c r="I46" s="6" t="s">
        <v>64</v>
      </c>
    </row>
    <row r="47" spans="1:9">
      <c r="A47" s="9"/>
      <c r="B47" s="9"/>
      <c r="C47" s="10"/>
      <c r="D47" s="17"/>
      <c r="E47" s="6"/>
      <c r="F47" s="17"/>
      <c r="G47" s="6"/>
      <c r="H47" s="35"/>
      <c r="I47" s="2"/>
    </row>
    <row r="48" spans="1:9">
      <c r="A48" s="12" t="s">
        <v>4</v>
      </c>
      <c r="B48" s="10"/>
      <c r="C48" s="10"/>
      <c r="D48" s="20">
        <f>SUM(D36:D47)</f>
        <v>2131.8000000000002</v>
      </c>
      <c r="E48" s="6"/>
      <c r="F48" s="31">
        <f>SUM(F36:F47)</f>
        <v>12.21</v>
      </c>
      <c r="G48" s="26"/>
      <c r="H48" s="36">
        <f>SUM(H36:H47)</f>
        <v>14531.18</v>
      </c>
      <c r="I48" s="2"/>
    </row>
    <row r="49" spans="1:9" ht="15.75" thickBot="1">
      <c r="A49" s="13" t="s">
        <v>5</v>
      </c>
      <c r="B49" s="39">
        <f>SUM(D48+F48+H48)</f>
        <v>16675.190000000002</v>
      </c>
      <c r="C49" s="38"/>
      <c r="D49" s="21"/>
      <c r="E49" s="22"/>
      <c r="F49" s="32"/>
      <c r="G49" s="27"/>
      <c r="H49" s="37"/>
      <c r="I49" s="3"/>
    </row>
    <row r="50" spans="1:9">
      <c r="A50" s="44" t="s">
        <v>459</v>
      </c>
      <c r="B50" s="8" t="s">
        <v>237</v>
      </c>
      <c r="C50" s="11" t="s">
        <v>460</v>
      </c>
      <c r="D50" s="17">
        <f>173.5</f>
        <v>173.5</v>
      </c>
      <c r="E50" s="51" t="s">
        <v>207</v>
      </c>
      <c r="F50" s="28">
        <f>1.5</f>
        <v>1.5</v>
      </c>
      <c r="G50" s="23" t="s">
        <v>45</v>
      </c>
      <c r="H50" s="34">
        <f>70</f>
        <v>70</v>
      </c>
      <c r="I50" s="6" t="s">
        <v>54</v>
      </c>
    </row>
    <row r="51" spans="1:9">
      <c r="A51" s="9"/>
      <c r="B51" s="9" t="s">
        <v>423</v>
      </c>
      <c r="C51" s="10"/>
      <c r="D51" s="17">
        <f>42.3+43.9</f>
        <v>86.199999999999989</v>
      </c>
      <c r="E51" s="18" t="s">
        <v>37</v>
      </c>
      <c r="F51" s="29">
        <f>117+88</f>
        <v>205</v>
      </c>
      <c r="G51" s="24" t="s">
        <v>159</v>
      </c>
      <c r="H51" s="34">
        <f>3</f>
        <v>3</v>
      </c>
      <c r="I51" s="6" t="s">
        <v>64</v>
      </c>
    </row>
    <row r="52" spans="1:9">
      <c r="A52" s="9"/>
      <c r="B52" s="9"/>
      <c r="C52" s="10"/>
      <c r="D52" s="17">
        <f>19.99</f>
        <v>19.989999999999998</v>
      </c>
      <c r="E52" s="51" t="s">
        <v>257</v>
      </c>
      <c r="F52" s="29"/>
      <c r="G52" s="24"/>
      <c r="H52" s="34"/>
      <c r="I52" s="6"/>
    </row>
    <row r="53" spans="1:9">
      <c r="A53" s="9"/>
      <c r="B53" s="9"/>
      <c r="C53" s="10"/>
      <c r="D53" s="17"/>
      <c r="E53" s="51"/>
      <c r="F53" s="29"/>
      <c r="G53" s="24"/>
      <c r="H53" s="34"/>
      <c r="I53" s="6"/>
    </row>
    <row r="54" spans="1:9">
      <c r="A54" s="9"/>
      <c r="B54" s="9"/>
      <c r="C54" s="10" t="s">
        <v>71</v>
      </c>
      <c r="D54" s="17">
        <f>56.4</f>
        <v>56.4</v>
      </c>
      <c r="E54" s="51" t="s">
        <v>207</v>
      </c>
      <c r="F54" s="29">
        <f>117+88</f>
        <v>205</v>
      </c>
      <c r="G54" s="24" t="s">
        <v>159</v>
      </c>
      <c r="H54" s="34">
        <f>70</f>
        <v>70</v>
      </c>
      <c r="I54" s="6" t="s">
        <v>54</v>
      </c>
    </row>
    <row r="55" spans="1:9">
      <c r="A55" s="9"/>
      <c r="B55" s="9"/>
      <c r="C55" s="10"/>
      <c r="D55" s="17">
        <f>106.7</f>
        <v>106.7</v>
      </c>
      <c r="E55" s="51" t="s">
        <v>37</v>
      </c>
      <c r="F55" s="29"/>
      <c r="G55" s="24"/>
      <c r="H55" s="34"/>
      <c r="I55" s="6"/>
    </row>
    <row r="56" spans="1:9">
      <c r="A56" s="9"/>
      <c r="B56" s="9"/>
      <c r="C56" s="10"/>
      <c r="D56" s="17">
        <v>59</v>
      </c>
      <c r="E56" s="51" t="s">
        <v>257</v>
      </c>
      <c r="F56" s="29"/>
      <c r="G56" s="24"/>
      <c r="H56" s="34"/>
      <c r="I56" s="6"/>
    </row>
    <row r="57" spans="1:9">
      <c r="A57" s="9"/>
      <c r="B57" s="9"/>
      <c r="C57" s="10"/>
      <c r="D57" s="17"/>
      <c r="E57" s="6"/>
      <c r="F57" s="17"/>
      <c r="G57" s="6"/>
      <c r="H57" s="35"/>
      <c r="I57" s="2"/>
    </row>
    <row r="58" spans="1:9">
      <c r="A58" s="12" t="s">
        <v>4</v>
      </c>
      <c r="B58" s="10"/>
      <c r="C58" s="10"/>
      <c r="D58" s="20">
        <f>SUM(D50:D57)</f>
        <v>501.78999999999996</v>
      </c>
      <c r="E58" s="6"/>
      <c r="F58" s="31">
        <f>SUM(F50:F57)</f>
        <v>411.5</v>
      </c>
      <c r="G58" s="26"/>
      <c r="H58" s="36">
        <f>SUM(H50:H57)</f>
        <v>143</v>
      </c>
      <c r="I58" s="2"/>
    </row>
    <row r="59" spans="1:9" ht="15.75" thickBot="1">
      <c r="A59" s="13" t="s">
        <v>5</v>
      </c>
      <c r="B59" s="39">
        <f>SUM(D58+F58+H58)</f>
        <v>1056.29</v>
      </c>
      <c r="C59" s="38"/>
      <c r="D59" s="21"/>
      <c r="E59" s="22"/>
      <c r="F59" s="32"/>
      <c r="G59" s="27"/>
      <c r="H59" s="37"/>
      <c r="I59" s="3"/>
    </row>
    <row r="60" spans="1:9">
      <c r="A60" s="8" t="s">
        <v>444</v>
      </c>
      <c r="B60" s="8" t="s">
        <v>237</v>
      </c>
      <c r="C60" s="11" t="s">
        <v>89</v>
      </c>
      <c r="D60" s="17">
        <f>117.43+5</f>
        <v>122.43</v>
      </c>
      <c r="E60" s="51" t="s">
        <v>207</v>
      </c>
      <c r="F60" s="28"/>
      <c r="G60" s="23"/>
      <c r="H60" s="33">
        <f>2651</f>
        <v>2651</v>
      </c>
      <c r="I60" s="5" t="s">
        <v>54</v>
      </c>
    </row>
    <row r="61" spans="1:9">
      <c r="A61" s="9"/>
      <c r="B61" s="9" t="s">
        <v>445</v>
      </c>
      <c r="C61" s="10"/>
      <c r="D61" s="17">
        <f>188.33+87.5</f>
        <v>275.83000000000004</v>
      </c>
      <c r="E61" s="18" t="s">
        <v>37</v>
      </c>
      <c r="F61" s="29"/>
      <c r="G61" s="24"/>
      <c r="H61" s="34">
        <f>889.72+222+914.82+337.05-914.82+1005</f>
        <v>2453.77</v>
      </c>
      <c r="I61" s="6" t="s">
        <v>131</v>
      </c>
    </row>
    <row r="62" spans="1:9">
      <c r="A62" s="9"/>
      <c r="B62" s="9"/>
      <c r="C62" s="10"/>
      <c r="D62" s="17"/>
      <c r="E62" s="51"/>
      <c r="F62" s="29"/>
      <c r="G62" s="24"/>
      <c r="H62" s="34"/>
      <c r="I62" s="6"/>
    </row>
    <row r="63" spans="1:9">
      <c r="A63" s="9"/>
      <c r="B63" s="9"/>
      <c r="C63" s="10" t="s">
        <v>18</v>
      </c>
      <c r="D63" s="17">
        <f>23.6+588.23</f>
        <v>611.83000000000004</v>
      </c>
      <c r="E63" s="51" t="s">
        <v>207</v>
      </c>
      <c r="F63" s="29">
        <f>9.27</f>
        <v>9.27</v>
      </c>
      <c r="G63" s="24" t="s">
        <v>61</v>
      </c>
      <c r="H63" s="34">
        <f>262.98+33.94</f>
        <v>296.92</v>
      </c>
      <c r="I63" s="6" t="s">
        <v>476</v>
      </c>
    </row>
    <row r="64" spans="1:9">
      <c r="A64" s="9"/>
      <c r="B64" s="9"/>
      <c r="C64" s="10"/>
      <c r="D64" s="17">
        <f>113+77.74</f>
        <v>190.74</v>
      </c>
      <c r="E64" s="6" t="s">
        <v>37</v>
      </c>
      <c r="F64" s="17">
        <f>3.1</f>
        <v>3.1</v>
      </c>
      <c r="G64" s="6" t="s">
        <v>107</v>
      </c>
      <c r="H64" s="35">
        <f>1936.93</f>
        <v>1936.93</v>
      </c>
      <c r="I64" s="2" t="s">
        <v>131</v>
      </c>
    </row>
    <row r="65" spans="1:9">
      <c r="A65" s="10"/>
      <c r="B65" s="14"/>
      <c r="C65" s="10"/>
      <c r="D65" s="19"/>
      <c r="E65" s="6"/>
      <c r="F65" s="30"/>
      <c r="G65" s="25"/>
      <c r="H65" s="35">
        <f>858</f>
        <v>858</v>
      </c>
      <c r="I65" s="2" t="s">
        <v>483</v>
      </c>
    </row>
    <row r="66" spans="1:9">
      <c r="A66" s="10"/>
      <c r="B66" s="14"/>
      <c r="C66" s="10"/>
      <c r="D66" s="19"/>
      <c r="E66" s="6"/>
      <c r="F66" s="30"/>
      <c r="G66" s="25"/>
      <c r="H66" s="35"/>
      <c r="I66" s="2"/>
    </row>
    <row r="67" spans="1:9">
      <c r="A67" s="10" t="s">
        <v>485</v>
      </c>
      <c r="B67" s="14"/>
      <c r="C67" s="10" t="s">
        <v>72</v>
      </c>
      <c r="D67" s="19"/>
      <c r="E67" s="6"/>
      <c r="F67" s="30"/>
      <c r="G67" s="25"/>
      <c r="H67" s="35">
        <f>876.93</f>
        <v>876.93</v>
      </c>
      <c r="I67" s="2" t="s">
        <v>131</v>
      </c>
    </row>
    <row r="68" spans="1:9">
      <c r="A68" s="10"/>
      <c r="B68" s="14"/>
      <c r="C68" s="10"/>
      <c r="D68" s="19"/>
      <c r="E68" s="6"/>
      <c r="F68" s="30"/>
      <c r="G68" s="25"/>
      <c r="H68" s="35">
        <v>858</v>
      </c>
      <c r="I68" s="2" t="s">
        <v>54</v>
      </c>
    </row>
    <row r="69" spans="1:9">
      <c r="A69" s="10"/>
      <c r="B69" s="14"/>
      <c r="C69" s="10"/>
      <c r="D69" s="19"/>
      <c r="E69" s="6"/>
      <c r="F69" s="30"/>
      <c r="G69" s="25"/>
      <c r="H69" s="35"/>
      <c r="I69" s="2"/>
    </row>
    <row r="70" spans="1:9">
      <c r="A70" s="10"/>
      <c r="B70" s="10" t="s">
        <v>487</v>
      </c>
      <c r="C70" s="10" t="s">
        <v>11</v>
      </c>
      <c r="D70" s="19"/>
      <c r="E70" s="6"/>
      <c r="F70" s="30"/>
      <c r="G70" s="25"/>
      <c r="H70" s="35">
        <f>222+914.82+337.05-828.82</f>
        <v>645.05000000000007</v>
      </c>
      <c r="I70" s="2"/>
    </row>
    <row r="71" spans="1:9">
      <c r="A71" s="10"/>
      <c r="B71" s="14"/>
      <c r="C71" s="9"/>
      <c r="D71" s="19"/>
      <c r="E71" s="6"/>
      <c r="F71" s="30"/>
      <c r="G71" s="25"/>
      <c r="H71" s="34"/>
      <c r="I71" s="2"/>
    </row>
    <row r="72" spans="1:9">
      <c r="A72" s="12" t="s">
        <v>4</v>
      </c>
      <c r="B72" s="10"/>
      <c r="C72" s="10"/>
      <c r="D72" s="20">
        <f>SUM(D60:D71)</f>
        <v>1200.8300000000002</v>
      </c>
      <c r="E72" s="6"/>
      <c r="F72" s="31">
        <f>SUM(F60:F71)</f>
        <v>12.37</v>
      </c>
      <c r="G72" s="26"/>
      <c r="H72" s="36">
        <f>SUM(H60:H71)</f>
        <v>10576.6</v>
      </c>
      <c r="I72" s="2"/>
    </row>
    <row r="73" spans="1:9" ht="15.75" thickBot="1">
      <c r="A73" s="13" t="s">
        <v>5</v>
      </c>
      <c r="B73" s="39">
        <f>SUM(D72+F72+H72)</f>
        <v>11789.800000000001</v>
      </c>
      <c r="C73" s="38"/>
      <c r="D73" s="21"/>
      <c r="E73" s="22"/>
      <c r="F73" s="32"/>
      <c r="G73" s="27"/>
      <c r="H73" s="37"/>
      <c r="I73" s="3"/>
    </row>
    <row r="74" spans="1:9">
      <c r="A74" s="8" t="s">
        <v>453</v>
      </c>
      <c r="B74" s="8" t="s">
        <v>454</v>
      </c>
      <c r="C74" s="11" t="s">
        <v>86</v>
      </c>
      <c r="D74" s="17">
        <f>22+29.86+4.6+41.07</f>
        <v>97.53</v>
      </c>
      <c r="E74" s="51" t="s">
        <v>207</v>
      </c>
      <c r="F74" s="28">
        <f>111.95</f>
        <v>111.95</v>
      </c>
      <c r="G74" s="23" t="s">
        <v>61</v>
      </c>
      <c r="H74" s="33">
        <f>841.58</f>
        <v>841.58</v>
      </c>
      <c r="I74" s="5" t="s">
        <v>131</v>
      </c>
    </row>
    <row r="75" spans="1:9">
      <c r="A75" s="9"/>
      <c r="B75" s="9" t="s">
        <v>432</v>
      </c>
      <c r="C75" s="10"/>
      <c r="D75" s="17">
        <f>83.56</f>
        <v>83.56</v>
      </c>
      <c r="E75" s="18" t="s">
        <v>37</v>
      </c>
      <c r="F75" s="29">
        <f>7.6</f>
        <v>7.6</v>
      </c>
      <c r="G75" s="24" t="s">
        <v>107</v>
      </c>
      <c r="H75" s="34">
        <f>245.95</f>
        <v>245.95</v>
      </c>
      <c r="I75" s="6" t="s">
        <v>484</v>
      </c>
    </row>
    <row r="76" spans="1:9">
      <c r="A76" s="9"/>
      <c r="B76" s="9"/>
      <c r="C76" s="10"/>
      <c r="D76" s="17"/>
      <c r="E76" s="18"/>
      <c r="F76" s="29"/>
      <c r="G76" s="24"/>
      <c r="H76" s="34">
        <v>221.43</v>
      </c>
      <c r="I76" s="6" t="s">
        <v>490</v>
      </c>
    </row>
    <row r="77" spans="1:9">
      <c r="A77" s="9"/>
      <c r="B77" s="9"/>
      <c r="C77" s="10"/>
      <c r="D77" s="17"/>
      <c r="E77" s="51"/>
      <c r="F77" s="29">
        <f>68.4</f>
        <v>68.400000000000006</v>
      </c>
      <c r="G77" s="24" t="s">
        <v>44</v>
      </c>
      <c r="H77" s="34">
        <f>104.95</f>
        <v>104.95</v>
      </c>
      <c r="I77" s="6" t="s">
        <v>64</v>
      </c>
    </row>
    <row r="78" spans="1:9">
      <c r="A78" s="9"/>
      <c r="B78" s="9" t="s">
        <v>455</v>
      </c>
      <c r="C78" s="10"/>
      <c r="D78" s="17"/>
      <c r="E78" s="51"/>
      <c r="F78" s="29"/>
      <c r="G78" s="24"/>
      <c r="H78" s="34"/>
      <c r="I78" s="6"/>
    </row>
    <row r="79" spans="1:9">
      <c r="A79" s="9"/>
      <c r="B79" s="9"/>
      <c r="C79" s="10" t="s">
        <v>426</v>
      </c>
      <c r="D79" s="17"/>
      <c r="E79" s="6"/>
      <c r="F79" s="17"/>
      <c r="G79" s="6"/>
      <c r="H79" s="35">
        <v>841.58</v>
      </c>
      <c r="I79" s="2" t="s">
        <v>131</v>
      </c>
    </row>
    <row r="80" spans="1:9">
      <c r="A80" s="10"/>
      <c r="B80" s="14"/>
      <c r="C80" s="10"/>
      <c r="D80" s="19"/>
      <c r="E80" s="6"/>
      <c r="F80" s="30"/>
      <c r="G80" s="25"/>
      <c r="H80" s="35">
        <f>245.95</f>
        <v>245.95</v>
      </c>
      <c r="I80" s="2" t="s">
        <v>484</v>
      </c>
    </row>
    <row r="81" spans="1:9">
      <c r="A81" s="10"/>
      <c r="B81" s="14"/>
      <c r="C81" s="10"/>
      <c r="D81" s="19"/>
      <c r="E81" s="6"/>
      <c r="F81" s="30"/>
      <c r="G81" s="25"/>
      <c r="H81" s="35">
        <v>221.43</v>
      </c>
      <c r="I81" s="2" t="s">
        <v>490</v>
      </c>
    </row>
    <row r="82" spans="1:9">
      <c r="A82" s="10"/>
      <c r="B82" s="14"/>
      <c r="C82" s="10"/>
      <c r="D82" s="19"/>
      <c r="E82" s="6"/>
      <c r="F82" s="30"/>
      <c r="G82" s="25"/>
      <c r="H82" s="35"/>
      <c r="I82" s="2"/>
    </row>
    <row r="83" spans="1:9">
      <c r="A83" s="10"/>
      <c r="B83" s="14"/>
      <c r="C83" s="10"/>
      <c r="D83" s="19"/>
      <c r="E83" s="6"/>
      <c r="F83" s="30"/>
      <c r="G83" s="25"/>
      <c r="H83" s="35"/>
      <c r="I83" s="2"/>
    </row>
    <row r="84" spans="1:9">
      <c r="A84" s="10"/>
      <c r="B84" s="14"/>
      <c r="C84" s="9"/>
      <c r="D84" s="19"/>
      <c r="E84" s="6"/>
      <c r="F84" s="30"/>
      <c r="G84" s="25"/>
      <c r="H84" s="34"/>
      <c r="I84" s="2"/>
    </row>
    <row r="85" spans="1:9">
      <c r="A85" s="12" t="s">
        <v>4</v>
      </c>
      <c r="B85" s="10"/>
      <c r="C85" s="10"/>
      <c r="D85" s="20">
        <f>SUM(D74:D84)</f>
        <v>181.09</v>
      </c>
      <c r="E85" s="6"/>
      <c r="F85" s="31">
        <f>SUM(F74:F84)</f>
        <v>187.95</v>
      </c>
      <c r="G85" s="26"/>
      <c r="H85" s="36">
        <f>SUM(H74:H84)</f>
        <v>2722.87</v>
      </c>
      <c r="I85" s="2"/>
    </row>
    <row r="86" spans="1:9" ht="15.75" thickBot="1">
      <c r="A86" s="13" t="s">
        <v>5</v>
      </c>
      <c r="B86" s="39">
        <f>SUM(D85+F85+H85)</f>
        <v>3091.91</v>
      </c>
      <c r="C86" s="38"/>
      <c r="D86" s="21"/>
      <c r="E86" s="22"/>
      <c r="F86" s="32"/>
      <c r="G86" s="27"/>
      <c r="H86" s="37"/>
      <c r="I86" s="3"/>
    </row>
    <row r="87" spans="1:9">
      <c r="A87" s="44" t="s">
        <v>461</v>
      </c>
      <c r="B87" s="8" t="s">
        <v>237</v>
      </c>
      <c r="C87" s="11" t="s">
        <v>460</v>
      </c>
      <c r="D87" s="17">
        <f>19.4+80+15.6+5.6+30+66.5+72.7</f>
        <v>289.8</v>
      </c>
      <c r="E87" s="51" t="s">
        <v>207</v>
      </c>
      <c r="F87" s="28">
        <f>117+814+117</f>
        <v>1048</v>
      </c>
      <c r="G87" s="23" t="s">
        <v>159</v>
      </c>
      <c r="H87" s="33">
        <f>222</f>
        <v>222</v>
      </c>
      <c r="I87" s="5" t="s">
        <v>54</v>
      </c>
    </row>
    <row r="88" spans="1:9">
      <c r="A88" s="9"/>
      <c r="B88" s="9" t="s">
        <v>423</v>
      </c>
      <c r="C88" s="10"/>
      <c r="D88" s="17">
        <f>53.7+27+30+65.7+15+23+27.5</f>
        <v>241.9</v>
      </c>
      <c r="E88" s="18" t="s">
        <v>37</v>
      </c>
      <c r="F88" s="29"/>
      <c r="G88" s="24"/>
      <c r="H88" s="34"/>
      <c r="I88" s="6"/>
    </row>
    <row r="89" spans="1:9">
      <c r="A89" s="9"/>
      <c r="B89" s="9"/>
      <c r="C89" s="10"/>
      <c r="D89" s="17"/>
      <c r="E89" s="51"/>
      <c r="F89" s="29"/>
      <c r="G89" s="24"/>
      <c r="H89" s="34">
        <f>6</f>
        <v>6</v>
      </c>
      <c r="I89" s="6" t="s">
        <v>64</v>
      </c>
    </row>
    <row r="90" spans="1:9">
      <c r="A90" s="9"/>
      <c r="B90" s="9"/>
      <c r="C90" s="10"/>
      <c r="D90" s="17"/>
      <c r="E90" s="51"/>
      <c r="F90" s="29"/>
      <c r="G90" s="24"/>
      <c r="H90" s="34"/>
      <c r="I90" s="6"/>
    </row>
    <row r="91" spans="1:9">
      <c r="A91" s="9"/>
      <c r="B91" s="9"/>
      <c r="C91" s="10" t="s">
        <v>71</v>
      </c>
      <c r="D91" s="17">
        <f>108.4</f>
        <v>108.4</v>
      </c>
      <c r="E91" s="51" t="s">
        <v>207</v>
      </c>
      <c r="F91" s="29">
        <f>117+81+117</f>
        <v>315</v>
      </c>
      <c r="G91" s="24" t="s">
        <v>159</v>
      </c>
      <c r="H91" s="34">
        <f>222</f>
        <v>222</v>
      </c>
      <c r="I91" s="6" t="s">
        <v>54</v>
      </c>
    </row>
    <row r="92" spans="1:9">
      <c r="A92" s="9"/>
      <c r="B92" s="9"/>
      <c r="C92" s="10"/>
      <c r="D92" s="17">
        <f>131.4</f>
        <v>131.4</v>
      </c>
      <c r="E92" s="51" t="s">
        <v>37</v>
      </c>
      <c r="F92" s="29"/>
      <c r="G92" s="24"/>
      <c r="H92" s="34"/>
      <c r="I92" s="6"/>
    </row>
    <row r="93" spans="1:9">
      <c r="A93" s="9"/>
      <c r="B93" s="9"/>
      <c r="C93" s="10"/>
      <c r="D93" s="17"/>
      <c r="E93" s="51"/>
      <c r="F93" s="29"/>
      <c r="G93" s="24"/>
      <c r="H93" s="34"/>
      <c r="I93" s="6"/>
    </row>
    <row r="94" spans="1:9">
      <c r="A94" s="9"/>
      <c r="B94" s="9"/>
      <c r="C94" s="10"/>
      <c r="D94" s="17"/>
      <c r="E94" s="6"/>
      <c r="F94" s="17"/>
      <c r="G94" s="6"/>
      <c r="H94" s="35"/>
      <c r="I94" s="2"/>
    </row>
    <row r="95" spans="1:9">
      <c r="A95" s="12" t="s">
        <v>4</v>
      </c>
      <c r="B95" s="10"/>
      <c r="C95" s="10"/>
      <c r="D95" s="20">
        <f>SUM(D87:D94)</f>
        <v>771.5</v>
      </c>
      <c r="E95" s="6"/>
      <c r="F95" s="31">
        <f>SUM(F87:F94)</f>
        <v>1363</v>
      </c>
      <c r="G95" s="26"/>
      <c r="H95" s="36">
        <f>SUM(H87:H94)</f>
        <v>450</v>
      </c>
      <c r="I95" s="2"/>
    </row>
    <row r="96" spans="1:9" ht="15.75" thickBot="1">
      <c r="A96" s="13" t="s">
        <v>5</v>
      </c>
      <c r="B96" s="39">
        <f>SUM(D95+F95+H95)</f>
        <v>2584.5</v>
      </c>
      <c r="C96" s="38"/>
      <c r="D96" s="21"/>
      <c r="E96" s="22"/>
      <c r="F96" s="32"/>
      <c r="G96" s="27"/>
      <c r="H96" s="37"/>
      <c r="I96" s="3"/>
    </row>
    <row r="97" spans="1:9">
      <c r="A97" s="8" t="s">
        <v>457</v>
      </c>
      <c r="B97" s="8" t="s">
        <v>310</v>
      </c>
      <c r="C97" s="11" t="s">
        <v>86</v>
      </c>
      <c r="D97" s="17">
        <f>12.7</f>
        <v>12.7</v>
      </c>
      <c r="E97" s="51" t="s">
        <v>207</v>
      </c>
      <c r="F97" s="28">
        <f>19.7</f>
        <v>19.7</v>
      </c>
      <c r="G97" s="23" t="s">
        <v>44</v>
      </c>
      <c r="H97" s="33">
        <v>280.77</v>
      </c>
      <c r="I97" s="5" t="s">
        <v>54</v>
      </c>
    </row>
    <row r="98" spans="1:9">
      <c r="A98" s="9"/>
      <c r="B98" s="9" t="s">
        <v>458</v>
      </c>
      <c r="C98" s="10"/>
      <c r="D98" s="17"/>
      <c r="E98" s="18"/>
      <c r="F98" s="29">
        <v>222</v>
      </c>
      <c r="G98" s="24" t="s">
        <v>159</v>
      </c>
      <c r="H98" s="34"/>
      <c r="I98" s="6"/>
    </row>
    <row r="99" spans="1:9">
      <c r="A99" s="9"/>
      <c r="B99" s="9"/>
      <c r="C99" s="10"/>
      <c r="D99" s="17"/>
      <c r="E99" s="18"/>
      <c r="F99" s="29"/>
      <c r="G99" s="24"/>
      <c r="H99" s="34"/>
      <c r="I99" s="6"/>
    </row>
    <row r="100" spans="1:9">
      <c r="A100" s="9"/>
      <c r="B100" s="9"/>
      <c r="C100" s="10" t="s">
        <v>405</v>
      </c>
      <c r="D100" s="17">
        <f>261.87</f>
        <v>261.87</v>
      </c>
      <c r="E100" s="51" t="s">
        <v>207</v>
      </c>
      <c r="F100" s="29">
        <f>222</f>
        <v>222</v>
      </c>
      <c r="G100" s="24" t="s">
        <v>159</v>
      </c>
      <c r="H100" s="34">
        <v>317.69</v>
      </c>
      <c r="I100" s="6" t="s">
        <v>54</v>
      </c>
    </row>
    <row r="101" spans="1:9">
      <c r="A101" s="9"/>
      <c r="B101" s="9"/>
      <c r="C101" s="10"/>
      <c r="D101" s="17">
        <f>28.1</f>
        <v>28.1</v>
      </c>
      <c r="E101" s="51" t="s">
        <v>37</v>
      </c>
      <c r="F101" s="29"/>
      <c r="G101" s="24"/>
      <c r="H101" s="34"/>
      <c r="I101" s="6"/>
    </row>
    <row r="102" spans="1:9">
      <c r="A102" s="9"/>
      <c r="B102" s="9"/>
      <c r="C102" s="10"/>
      <c r="D102" s="17">
        <f>15.9</f>
        <v>15.9</v>
      </c>
      <c r="E102" s="6" t="s">
        <v>257</v>
      </c>
      <c r="F102" s="17"/>
      <c r="G102" s="6"/>
      <c r="H102" s="35">
        <f>12.04</f>
        <v>12.04</v>
      </c>
      <c r="I102" s="2" t="s">
        <v>64</v>
      </c>
    </row>
    <row r="103" spans="1:9">
      <c r="A103" s="10"/>
      <c r="B103" s="14"/>
      <c r="C103" s="10"/>
      <c r="D103" s="19"/>
      <c r="E103" s="6"/>
      <c r="F103" s="30"/>
      <c r="G103" s="25"/>
      <c r="H103" s="35"/>
      <c r="I103" s="2"/>
    </row>
    <row r="104" spans="1:9">
      <c r="A104" s="10"/>
      <c r="B104" s="14"/>
      <c r="C104" s="10" t="s">
        <v>84</v>
      </c>
      <c r="D104" s="19">
        <f>219.31</f>
        <v>219.31</v>
      </c>
      <c r="E104" s="6" t="s">
        <v>207</v>
      </c>
      <c r="F104" s="30">
        <f>111+111</f>
        <v>222</v>
      </c>
      <c r="G104" s="25" t="s">
        <v>159</v>
      </c>
      <c r="H104" s="35">
        <f>96.71</f>
        <v>96.71</v>
      </c>
      <c r="I104" s="2" t="s">
        <v>64</v>
      </c>
    </row>
    <row r="105" spans="1:9">
      <c r="A105" s="10"/>
      <c r="B105" s="14"/>
      <c r="C105" s="10"/>
      <c r="D105" s="19">
        <f>96.06</f>
        <v>96.06</v>
      </c>
      <c r="E105" s="6" t="s">
        <v>37</v>
      </c>
      <c r="F105" s="30"/>
      <c r="G105" s="25"/>
      <c r="H105" s="35">
        <f>317.69</f>
        <v>317.69</v>
      </c>
      <c r="I105" s="2" t="s">
        <v>54</v>
      </c>
    </row>
    <row r="106" spans="1:9">
      <c r="A106" s="10"/>
      <c r="B106" s="14"/>
      <c r="C106" s="10"/>
      <c r="D106" s="19"/>
      <c r="E106" s="6"/>
      <c r="F106" s="30"/>
      <c r="G106" s="25"/>
      <c r="H106" s="35"/>
      <c r="I106" s="2"/>
    </row>
    <row r="107" spans="1:9">
      <c r="A107" s="10"/>
      <c r="B107" s="14"/>
      <c r="C107" s="9"/>
      <c r="D107" s="19"/>
      <c r="E107" s="6"/>
      <c r="F107" s="30"/>
      <c r="G107" s="25"/>
      <c r="H107" s="34"/>
      <c r="I107" s="2"/>
    </row>
    <row r="108" spans="1:9">
      <c r="A108" s="12" t="s">
        <v>4</v>
      </c>
      <c r="B108" s="10"/>
      <c r="C108" s="10"/>
      <c r="D108" s="20">
        <f>SUM(D97:D107)</f>
        <v>633.94000000000005</v>
      </c>
      <c r="E108" s="6"/>
      <c r="F108" s="31">
        <f>SUM(F97:F107)</f>
        <v>685.7</v>
      </c>
      <c r="G108" s="26"/>
      <c r="H108" s="36">
        <f>SUM(H97:H107)</f>
        <v>1024.9000000000001</v>
      </c>
      <c r="I108" s="2"/>
    </row>
    <row r="109" spans="1:9" ht="15.75" thickBot="1">
      <c r="A109" s="13" t="s">
        <v>5</v>
      </c>
      <c r="B109" s="39">
        <f>SUM(D108+F108+H108)</f>
        <v>2344.54</v>
      </c>
      <c r="C109" s="38"/>
      <c r="D109" s="21"/>
      <c r="E109" s="22"/>
      <c r="F109" s="32"/>
      <c r="G109" s="27"/>
      <c r="H109" s="37"/>
      <c r="I109" s="3"/>
    </row>
    <row r="110" spans="1:9">
      <c r="A110" s="44" t="s">
        <v>464</v>
      </c>
      <c r="B110" s="8" t="s">
        <v>292</v>
      </c>
      <c r="C110" s="11" t="s">
        <v>30</v>
      </c>
      <c r="D110" s="17"/>
      <c r="E110" s="51"/>
      <c r="F110" s="28">
        <f>17</f>
        <v>17</v>
      </c>
      <c r="G110" s="23" t="s">
        <v>61</v>
      </c>
      <c r="H110" s="33">
        <f>406.91</f>
        <v>406.91</v>
      </c>
      <c r="I110" s="5" t="s">
        <v>131</v>
      </c>
    </row>
    <row r="111" spans="1:9">
      <c r="A111" s="9"/>
      <c r="B111" s="9" t="s">
        <v>465</v>
      </c>
      <c r="C111" s="10"/>
      <c r="D111" s="17"/>
      <c r="E111" s="18"/>
      <c r="F111" s="29">
        <f>6.2</f>
        <v>6.2</v>
      </c>
      <c r="G111" s="24" t="s">
        <v>107</v>
      </c>
      <c r="H111" s="34">
        <f>186</f>
        <v>186</v>
      </c>
      <c r="I111" s="6" t="s">
        <v>54</v>
      </c>
    </row>
    <row r="112" spans="1:9">
      <c r="A112" s="9"/>
      <c r="B112" s="9"/>
      <c r="C112" s="10"/>
      <c r="D112" s="17"/>
      <c r="E112" s="51"/>
      <c r="F112" s="29"/>
      <c r="G112" s="24"/>
      <c r="H112" s="34">
        <f>61.77</f>
        <v>61.77</v>
      </c>
      <c r="I112" s="6" t="s">
        <v>64</v>
      </c>
    </row>
    <row r="113" spans="1:9">
      <c r="A113" s="9"/>
      <c r="B113" s="9"/>
      <c r="C113" s="10"/>
      <c r="D113" s="17"/>
      <c r="E113" s="51"/>
      <c r="F113" s="29"/>
      <c r="G113" s="24"/>
      <c r="H113" s="34"/>
      <c r="I113" s="6"/>
    </row>
    <row r="114" spans="1:9">
      <c r="A114" s="9"/>
      <c r="B114" s="9"/>
      <c r="C114" s="10" t="s">
        <v>71</v>
      </c>
      <c r="D114" s="17">
        <f>27+3.58</f>
        <v>30.58</v>
      </c>
      <c r="E114" s="51" t="s">
        <v>207</v>
      </c>
      <c r="F114" s="29">
        <f>19.2</f>
        <v>19.2</v>
      </c>
      <c r="G114" s="24" t="s">
        <v>61</v>
      </c>
      <c r="H114" s="34">
        <f>576.91</f>
        <v>576.91</v>
      </c>
      <c r="I114" s="6" t="s">
        <v>131</v>
      </c>
    </row>
    <row r="115" spans="1:9">
      <c r="A115" s="9"/>
      <c r="B115" s="9"/>
      <c r="C115" s="10"/>
      <c r="D115" s="17">
        <f>50</f>
        <v>50</v>
      </c>
      <c r="E115" s="51" t="s">
        <v>37</v>
      </c>
      <c r="F115" s="29">
        <f>1.6</f>
        <v>1.6</v>
      </c>
      <c r="G115" s="24" t="s">
        <v>107</v>
      </c>
      <c r="H115" s="34">
        <f>186</f>
        <v>186</v>
      </c>
      <c r="I115" s="6" t="s">
        <v>54</v>
      </c>
    </row>
    <row r="116" spans="1:9">
      <c r="A116" s="9"/>
      <c r="B116" s="9"/>
      <c r="C116" s="10"/>
      <c r="D116" s="17">
        <f>32.05</f>
        <v>32.049999999999997</v>
      </c>
      <c r="E116" s="51" t="s">
        <v>257</v>
      </c>
      <c r="F116" s="29">
        <f>71</f>
        <v>71</v>
      </c>
      <c r="G116" s="24" t="s">
        <v>44</v>
      </c>
      <c r="H116" s="34">
        <f>5.34</f>
        <v>5.34</v>
      </c>
      <c r="I116" s="6" t="s">
        <v>64</v>
      </c>
    </row>
    <row r="117" spans="1:9">
      <c r="A117" s="9"/>
      <c r="B117" s="9"/>
      <c r="C117" s="10"/>
      <c r="D117" s="17"/>
      <c r="E117" s="6"/>
      <c r="F117" s="17"/>
      <c r="G117" s="6"/>
      <c r="H117" s="35"/>
      <c r="I117" s="2"/>
    </row>
    <row r="118" spans="1:9">
      <c r="A118" s="12" t="s">
        <v>4</v>
      </c>
      <c r="B118" s="10"/>
      <c r="C118" s="10"/>
      <c r="D118" s="20">
        <f>SUM(D110:D117)</f>
        <v>112.63</v>
      </c>
      <c r="E118" s="6"/>
      <c r="F118" s="31">
        <f>SUM(F110:F117)</f>
        <v>115</v>
      </c>
      <c r="G118" s="26"/>
      <c r="H118" s="36">
        <f>SUM(H110:H117)</f>
        <v>1422.93</v>
      </c>
      <c r="I118" s="2"/>
    </row>
    <row r="119" spans="1:9" ht="15.75" thickBot="1">
      <c r="A119" s="13" t="s">
        <v>5</v>
      </c>
      <c r="B119" s="39">
        <f>SUM(D118+F118+H118)</f>
        <v>1650.56</v>
      </c>
      <c r="C119" s="38"/>
      <c r="D119" s="21"/>
      <c r="E119" s="22"/>
      <c r="F119" s="32"/>
      <c r="G119" s="27"/>
      <c r="H119" s="37"/>
      <c r="I119" s="3"/>
    </row>
    <row r="120" spans="1:9">
      <c r="A120" s="44" t="s">
        <v>463</v>
      </c>
      <c r="B120" s="8" t="s">
        <v>462</v>
      </c>
      <c r="C120" s="11" t="s">
        <v>460</v>
      </c>
      <c r="D120" s="17">
        <f>28.5+20+10+8</f>
        <v>66.5</v>
      </c>
      <c r="E120" s="51" t="s">
        <v>207</v>
      </c>
      <c r="F120" s="28">
        <f>117+117</f>
        <v>234</v>
      </c>
      <c r="G120" s="23" t="s">
        <v>159</v>
      </c>
      <c r="H120" s="33">
        <f>140</f>
        <v>140</v>
      </c>
      <c r="I120" s="5" t="s">
        <v>54</v>
      </c>
    </row>
    <row r="121" spans="1:9">
      <c r="A121" s="9"/>
      <c r="B121" s="9" t="s">
        <v>423</v>
      </c>
      <c r="C121" s="10"/>
      <c r="D121" s="17">
        <f>58.2+25+26.2+18+23</f>
        <v>150.4</v>
      </c>
      <c r="E121" s="18" t="s">
        <v>37</v>
      </c>
      <c r="F121" s="29"/>
      <c r="G121" s="24"/>
      <c r="H121" s="34">
        <f>9</f>
        <v>9</v>
      </c>
      <c r="I121" s="6" t="s">
        <v>64</v>
      </c>
    </row>
    <row r="122" spans="1:9">
      <c r="A122" s="9"/>
      <c r="B122" s="9"/>
      <c r="C122" s="10"/>
      <c r="D122" s="17"/>
      <c r="E122" s="51"/>
      <c r="F122" s="29"/>
      <c r="G122" s="24"/>
      <c r="H122" s="34"/>
      <c r="I122" s="6"/>
    </row>
    <row r="123" spans="1:9">
      <c r="A123" s="9"/>
      <c r="B123" s="9"/>
      <c r="C123" s="10"/>
      <c r="D123" s="17"/>
      <c r="E123" s="51"/>
      <c r="F123" s="29"/>
      <c r="G123" s="24"/>
      <c r="H123" s="34"/>
      <c r="I123" s="6"/>
    </row>
    <row r="124" spans="1:9">
      <c r="A124" s="9"/>
      <c r="B124" s="9"/>
      <c r="C124" s="10"/>
      <c r="D124" s="17"/>
      <c r="E124" s="51"/>
      <c r="F124" s="29"/>
      <c r="G124" s="24"/>
      <c r="H124" s="34"/>
      <c r="I124" s="6"/>
    </row>
    <row r="125" spans="1:9">
      <c r="A125" s="9"/>
      <c r="B125" s="9"/>
      <c r="C125" s="10"/>
      <c r="D125" s="17"/>
      <c r="E125" s="51"/>
      <c r="F125" s="29"/>
      <c r="G125" s="24"/>
      <c r="H125" s="34"/>
      <c r="I125" s="6"/>
    </row>
    <row r="126" spans="1:9">
      <c r="A126" s="9"/>
      <c r="B126" s="9"/>
      <c r="C126" s="10"/>
      <c r="D126" s="17"/>
      <c r="E126" s="6"/>
      <c r="F126" s="17"/>
      <c r="G126" s="6"/>
      <c r="H126" s="35"/>
      <c r="I126" s="2"/>
    </row>
    <row r="127" spans="1:9">
      <c r="A127" s="12" t="s">
        <v>4</v>
      </c>
      <c r="B127" s="10"/>
      <c r="C127" s="10"/>
      <c r="D127" s="20">
        <f>SUM(D120:D126)</f>
        <v>216.9</v>
      </c>
      <c r="E127" s="6"/>
      <c r="F127" s="31">
        <f>SUM(F120:F126)</f>
        <v>234</v>
      </c>
      <c r="G127" s="26"/>
      <c r="H127" s="36">
        <f>SUM(H120:H126)</f>
        <v>149</v>
      </c>
      <c r="I127" s="2"/>
    </row>
    <row r="128" spans="1:9" ht="15.75" thickBot="1">
      <c r="A128" s="13" t="s">
        <v>5</v>
      </c>
      <c r="B128" s="39">
        <f>SUM(D127+F127+H127)</f>
        <v>599.9</v>
      </c>
      <c r="C128" s="38"/>
      <c r="D128" s="21"/>
      <c r="E128" s="22"/>
      <c r="F128" s="32"/>
      <c r="G128" s="27"/>
      <c r="H128" s="37"/>
      <c r="I128" s="3"/>
    </row>
    <row r="129" spans="1:9">
      <c r="A129" s="8" t="s">
        <v>456</v>
      </c>
      <c r="B129" s="8" t="s">
        <v>454</v>
      </c>
      <c r="C129" s="11" t="s">
        <v>86</v>
      </c>
      <c r="D129" s="17">
        <f>6.8+5.69+99.56</f>
        <v>112.05</v>
      </c>
      <c r="E129" s="51" t="s">
        <v>207</v>
      </c>
      <c r="F129" s="28">
        <f>111.95</f>
        <v>111.95</v>
      </c>
      <c r="G129" s="23" t="s">
        <v>61</v>
      </c>
      <c r="H129" s="33">
        <f>896.44</f>
        <v>896.44</v>
      </c>
      <c r="I129" s="5" t="s">
        <v>131</v>
      </c>
    </row>
    <row r="130" spans="1:9">
      <c r="A130" s="9"/>
      <c r="B130" s="9" t="s">
        <v>432</v>
      </c>
      <c r="C130" s="10"/>
      <c r="D130" s="17">
        <f>23.91</f>
        <v>23.91</v>
      </c>
      <c r="E130" s="18" t="s">
        <v>37</v>
      </c>
      <c r="F130" s="29">
        <f>10</f>
        <v>10</v>
      </c>
      <c r="G130" s="24" t="s">
        <v>107</v>
      </c>
      <c r="H130" s="34">
        <f>539.56</f>
        <v>539.55999999999995</v>
      </c>
      <c r="I130" s="6" t="s">
        <v>54</v>
      </c>
    </row>
    <row r="131" spans="1:9">
      <c r="A131" s="9"/>
      <c r="B131" s="9"/>
      <c r="C131" s="10"/>
      <c r="D131" s="17"/>
      <c r="E131" s="51"/>
      <c r="F131" s="29">
        <f>68.4</f>
        <v>68.400000000000006</v>
      </c>
      <c r="G131" s="24" t="s">
        <v>44</v>
      </c>
      <c r="H131" s="34">
        <f>60.73</f>
        <v>60.73</v>
      </c>
      <c r="I131" s="6" t="s">
        <v>64</v>
      </c>
    </row>
    <row r="132" spans="1:9">
      <c r="A132" s="9"/>
      <c r="B132" s="9"/>
      <c r="C132" s="10"/>
      <c r="D132" s="17"/>
      <c r="E132" s="51"/>
      <c r="F132" s="29"/>
      <c r="G132" s="24"/>
      <c r="H132" s="34"/>
      <c r="I132" s="6"/>
    </row>
    <row r="133" spans="1:9">
      <c r="A133" s="9"/>
      <c r="B133" s="9"/>
      <c r="C133" s="10"/>
      <c r="D133" s="17"/>
      <c r="E133" s="6"/>
      <c r="F133" s="17"/>
      <c r="G133" s="6"/>
      <c r="H133" s="35"/>
      <c r="I133" s="2"/>
    </row>
    <row r="134" spans="1:9">
      <c r="A134" s="10"/>
      <c r="B134" s="14"/>
      <c r="C134" s="10"/>
      <c r="D134" s="19"/>
      <c r="E134" s="6"/>
      <c r="F134" s="30"/>
      <c r="G134" s="25"/>
      <c r="H134" s="35"/>
      <c r="I134" s="2"/>
    </row>
    <row r="135" spans="1:9">
      <c r="A135" s="10"/>
      <c r="B135" s="14"/>
      <c r="C135" s="10"/>
      <c r="D135" s="19"/>
      <c r="E135" s="6"/>
      <c r="F135" s="30"/>
      <c r="G135" s="25"/>
      <c r="H135" s="35"/>
      <c r="I135" s="2"/>
    </row>
    <row r="136" spans="1:9">
      <c r="A136" s="10"/>
      <c r="B136" s="14"/>
      <c r="C136" s="10"/>
      <c r="D136" s="19"/>
      <c r="E136" s="6"/>
      <c r="F136" s="30"/>
      <c r="G136" s="25"/>
      <c r="H136" s="35"/>
      <c r="I136" s="2"/>
    </row>
    <row r="137" spans="1:9">
      <c r="A137" s="10"/>
      <c r="B137" s="14"/>
      <c r="C137" s="10"/>
      <c r="D137" s="19"/>
      <c r="E137" s="6"/>
      <c r="F137" s="30"/>
      <c r="G137" s="25"/>
      <c r="H137" s="35"/>
      <c r="I137" s="2"/>
    </row>
    <row r="138" spans="1:9">
      <c r="A138" s="10"/>
      <c r="B138" s="14"/>
      <c r="C138" s="9"/>
      <c r="D138" s="19"/>
      <c r="E138" s="6"/>
      <c r="F138" s="30"/>
      <c r="G138" s="25"/>
      <c r="H138" s="34"/>
      <c r="I138" s="2"/>
    </row>
    <row r="139" spans="1:9">
      <c r="A139" s="12" t="s">
        <v>4</v>
      </c>
      <c r="B139" s="10"/>
      <c r="C139" s="10"/>
      <c r="D139" s="20">
        <f>SUM(D129:D138)</f>
        <v>135.96</v>
      </c>
      <c r="E139" s="6"/>
      <c r="F139" s="31">
        <f>SUM(F129:F138)</f>
        <v>190.35000000000002</v>
      </c>
      <c r="G139" s="26"/>
      <c r="H139" s="36">
        <f>SUM(H129:H138)</f>
        <v>1496.73</v>
      </c>
      <c r="I139" s="2"/>
    </row>
    <row r="140" spans="1:9" ht="15.75" thickBot="1">
      <c r="A140" s="13" t="s">
        <v>5</v>
      </c>
      <c r="B140" s="39">
        <f>SUM(D139+F139+H139)</f>
        <v>1823.04</v>
      </c>
      <c r="C140" s="38"/>
      <c r="D140" s="21"/>
      <c r="E140" s="22"/>
      <c r="F140" s="32"/>
      <c r="G140" s="27"/>
      <c r="H140" s="37"/>
      <c r="I140" s="3"/>
    </row>
    <row r="141" spans="1:9">
      <c r="A141" s="8" t="s">
        <v>467</v>
      </c>
      <c r="B141" s="8" t="s">
        <v>237</v>
      </c>
      <c r="C141" s="11" t="s">
        <v>89</v>
      </c>
      <c r="D141" s="17">
        <f>139.65</f>
        <v>139.65</v>
      </c>
      <c r="E141" s="51" t="s">
        <v>207</v>
      </c>
      <c r="F141" s="28">
        <f>122.01</f>
        <v>122.01</v>
      </c>
      <c r="G141" s="23" t="s">
        <v>61</v>
      </c>
      <c r="H141" s="33">
        <f>634.15</f>
        <v>634.15</v>
      </c>
      <c r="I141" s="5" t="s">
        <v>54</v>
      </c>
    </row>
    <row r="142" spans="1:9">
      <c r="A142" s="9"/>
      <c r="B142" s="9" t="s">
        <v>445</v>
      </c>
      <c r="C142" s="10"/>
      <c r="D142" s="17">
        <f>81.52</f>
        <v>81.52</v>
      </c>
      <c r="E142" s="18" t="s">
        <v>37</v>
      </c>
      <c r="F142" s="29">
        <f>42</f>
        <v>42</v>
      </c>
      <c r="G142" s="24" t="s">
        <v>44</v>
      </c>
      <c r="H142" s="34">
        <f>440.74+334.7</f>
        <v>775.44</v>
      </c>
      <c r="I142" s="6" t="s">
        <v>131</v>
      </c>
    </row>
    <row r="143" spans="1:9">
      <c r="A143" s="9"/>
      <c r="B143" s="9"/>
      <c r="C143" s="10"/>
      <c r="D143" s="17"/>
      <c r="E143" s="51"/>
      <c r="F143" s="29"/>
      <c r="G143" s="24"/>
      <c r="H143" s="34"/>
      <c r="I143" s="6"/>
    </row>
    <row r="144" spans="1:9">
      <c r="A144" s="9"/>
      <c r="B144" s="9"/>
      <c r="C144" s="10" t="s">
        <v>18</v>
      </c>
      <c r="D144" s="17">
        <f>9.5+3.88</f>
        <v>13.379999999999999</v>
      </c>
      <c r="E144" s="51" t="s">
        <v>207</v>
      </c>
      <c r="F144" s="29"/>
      <c r="G144" s="24"/>
      <c r="H144" s="34">
        <f>465.15</f>
        <v>465.15</v>
      </c>
      <c r="I144" s="6" t="s">
        <v>54</v>
      </c>
    </row>
    <row r="145" spans="1:13">
      <c r="A145" s="9"/>
      <c r="B145" s="9"/>
      <c r="C145" s="10"/>
      <c r="D145" s="17">
        <f>190</f>
        <v>190</v>
      </c>
      <c r="E145" s="6" t="s">
        <v>37</v>
      </c>
      <c r="F145" s="17"/>
      <c r="G145" s="6"/>
      <c r="H145" s="35">
        <f>334.7+440.74</f>
        <v>775.44</v>
      </c>
      <c r="I145" s="2" t="s">
        <v>131</v>
      </c>
    </row>
    <row r="146" spans="1:13">
      <c r="A146" s="10"/>
      <c r="B146" s="14"/>
      <c r="C146" s="10"/>
      <c r="D146" s="19"/>
      <c r="E146" s="6"/>
      <c r="F146" s="30"/>
      <c r="G146" s="25"/>
      <c r="H146" s="35"/>
      <c r="I146" s="2"/>
    </row>
    <row r="147" spans="1:13">
      <c r="A147" s="10"/>
      <c r="B147" s="14"/>
      <c r="C147" s="10"/>
      <c r="D147" s="19"/>
      <c r="E147" s="6"/>
      <c r="F147" s="30"/>
      <c r="G147" s="25"/>
      <c r="H147" s="35"/>
      <c r="I147" s="2"/>
    </row>
    <row r="148" spans="1:13">
      <c r="A148" s="10"/>
      <c r="B148" s="14"/>
      <c r="C148" s="10"/>
      <c r="D148" s="19"/>
      <c r="E148" s="6"/>
      <c r="F148" s="30"/>
      <c r="G148" s="25"/>
      <c r="H148" s="35"/>
      <c r="I148" s="2"/>
    </row>
    <row r="149" spans="1:13">
      <c r="A149" s="10"/>
      <c r="B149" s="14"/>
      <c r="C149" s="10"/>
      <c r="D149" s="19"/>
      <c r="E149" s="6"/>
      <c r="F149" s="30"/>
      <c r="G149" s="25"/>
      <c r="H149" s="35"/>
      <c r="I149" s="2"/>
    </row>
    <row r="150" spans="1:13">
      <c r="A150" s="10"/>
      <c r="B150" s="14"/>
      <c r="C150" s="9"/>
      <c r="D150" s="19"/>
      <c r="E150" s="6"/>
      <c r="F150" s="30"/>
      <c r="G150" s="25"/>
      <c r="H150" s="34"/>
      <c r="I150" s="2"/>
    </row>
    <row r="151" spans="1:13">
      <c r="A151" s="12" t="s">
        <v>4</v>
      </c>
      <c r="B151" s="10"/>
      <c r="C151" s="10"/>
      <c r="D151" s="20">
        <f>SUM(D141:D150)</f>
        <v>424.55</v>
      </c>
      <c r="E151" s="6"/>
      <c r="F151" s="31">
        <f>SUM(F141:F150)</f>
        <v>164.01</v>
      </c>
      <c r="G151" s="26"/>
      <c r="H151" s="36">
        <f>SUM(H141:H150)</f>
        <v>2650.1800000000003</v>
      </c>
      <c r="I151" s="2"/>
    </row>
    <row r="152" spans="1:13" ht="15.75" thickBot="1">
      <c r="A152" s="13" t="s">
        <v>5</v>
      </c>
      <c r="B152" s="39">
        <f>SUM(D151+F151+H151)</f>
        <v>3238.7400000000002</v>
      </c>
      <c r="C152" s="38"/>
      <c r="D152" s="21"/>
      <c r="E152" s="22"/>
      <c r="F152" s="32"/>
      <c r="G152" s="27"/>
      <c r="H152" s="37"/>
      <c r="I152" s="3"/>
    </row>
    <row r="153" spans="1:13" ht="15.75" thickBot="1"/>
    <row r="154" spans="1:13" ht="20.25" thickBot="1">
      <c r="A154" s="41" t="s">
        <v>10</v>
      </c>
      <c r="B154" s="42">
        <f>SUM(B35,B49,B59,B73,B86,B96,B109,B119,B128,B140,B152)</f>
        <v>64999.540000000008</v>
      </c>
    </row>
    <row r="156" spans="1:13">
      <c r="A156" s="45"/>
      <c r="B156" s="43"/>
      <c r="C156" s="43"/>
      <c r="D156" s="47"/>
      <c r="E156" s="47"/>
      <c r="F156" s="46"/>
      <c r="G156" s="48"/>
      <c r="H156" s="43"/>
      <c r="I156" s="46"/>
      <c r="J156" s="49"/>
      <c r="K156" s="50"/>
      <c r="L156" s="50"/>
      <c r="M156" s="50"/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G33" sqref="G33"/>
    </sheetView>
  </sheetViews>
  <sheetFormatPr defaultRowHeight="15"/>
  <sheetData>
    <row r="1" spans="1:4">
      <c r="A1" t="s">
        <v>27</v>
      </c>
      <c r="C1">
        <v>565.65</v>
      </c>
      <c r="D1" t="s">
        <v>420</v>
      </c>
    </row>
    <row r="2" spans="1:4">
      <c r="C2">
        <v>51.51</v>
      </c>
      <c r="D2" t="s">
        <v>468</v>
      </c>
    </row>
    <row r="3" spans="1:4">
      <c r="C3">
        <f>20+161.8</f>
        <v>181.8</v>
      </c>
      <c r="D3" t="s">
        <v>469</v>
      </c>
    </row>
    <row r="4" spans="1:4">
      <c r="C4">
        <f>3.93</f>
        <v>3.93</v>
      </c>
      <c r="D4" t="s">
        <v>470</v>
      </c>
    </row>
    <row r="5" spans="1:4">
      <c r="C5">
        <v>990.21</v>
      </c>
      <c r="D5" t="s">
        <v>471</v>
      </c>
    </row>
    <row r="6" spans="1:4">
      <c r="C6">
        <v>11</v>
      </c>
      <c r="D6" t="s">
        <v>472</v>
      </c>
    </row>
    <row r="7" spans="1:4">
      <c r="C7">
        <f>49</f>
        <v>49</v>
      </c>
      <c r="D7" t="s">
        <v>473</v>
      </c>
    </row>
    <row r="8" spans="1:4">
      <c r="C8">
        <f>151.65</f>
        <v>151.65</v>
      </c>
      <c r="D8" t="s">
        <v>474</v>
      </c>
    </row>
    <row r="9" spans="1:4">
      <c r="C9">
        <v>32</v>
      </c>
      <c r="D9" t="s">
        <v>475</v>
      </c>
    </row>
    <row r="10" spans="1:4">
      <c r="C10">
        <v>291</v>
      </c>
      <c r="D10" t="s">
        <v>486</v>
      </c>
    </row>
    <row r="12" spans="1:4">
      <c r="A12" t="s">
        <v>273</v>
      </c>
      <c r="C12">
        <v>130.38999999999999</v>
      </c>
      <c r="D12" t="s">
        <v>477</v>
      </c>
    </row>
    <row r="13" spans="1:4">
      <c r="C13">
        <f>90+41.41</f>
        <v>131.41</v>
      </c>
      <c r="D13" t="s">
        <v>478</v>
      </c>
    </row>
    <row r="14" spans="1:4">
      <c r="C14">
        <v>5.6</v>
      </c>
      <c r="D14" t="s">
        <v>479</v>
      </c>
    </row>
    <row r="15" spans="1:4">
      <c r="C15">
        <v>13.5</v>
      </c>
      <c r="D15" t="s">
        <v>480</v>
      </c>
    </row>
    <row r="17" spans="1:4">
      <c r="A17" t="s">
        <v>13</v>
      </c>
      <c r="C17">
        <v>36.31</v>
      </c>
      <c r="D17" t="s">
        <v>481</v>
      </c>
    </row>
    <row r="18" spans="1:4">
      <c r="C18">
        <v>107</v>
      </c>
      <c r="D18" t="s">
        <v>482</v>
      </c>
    </row>
    <row r="19" spans="1:4">
      <c r="C19">
        <v>246</v>
      </c>
      <c r="D19" t="s">
        <v>489</v>
      </c>
    </row>
    <row r="21" spans="1:4">
      <c r="A21" t="s">
        <v>466</v>
      </c>
      <c r="C21">
        <v>325.45</v>
      </c>
      <c r="D21" t="s">
        <v>486</v>
      </c>
    </row>
    <row r="23" spans="1:4">
      <c r="A23" t="s">
        <v>14</v>
      </c>
      <c r="C23">
        <v>246</v>
      </c>
      <c r="D23" t="s">
        <v>491</v>
      </c>
    </row>
    <row r="25" spans="1:4">
      <c r="A25" t="s">
        <v>26</v>
      </c>
      <c r="C25">
        <v>1581.13</v>
      </c>
      <c r="D25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topLeftCell="B49" zoomScaleNormal="100" workbookViewId="0">
      <selection activeCell="E74" sqref="E74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570312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>
      <c r="A2" s="8" t="s">
        <v>73</v>
      </c>
      <c r="B2" s="8" t="s">
        <v>75</v>
      </c>
      <c r="C2" s="8" t="s">
        <v>71</v>
      </c>
      <c r="D2" s="15">
        <f>111+10.61+8.23+18.3+83.78+93.34</f>
        <v>325.26</v>
      </c>
      <c r="E2" s="16" t="s">
        <v>52</v>
      </c>
      <c r="F2" s="28">
        <f>19.35+10.7+53.1</f>
        <v>83.15</v>
      </c>
      <c r="G2" s="23" t="s">
        <v>114</v>
      </c>
      <c r="H2" s="33">
        <f>466.37+71.31</f>
        <v>537.68000000000006</v>
      </c>
      <c r="I2" s="5" t="s">
        <v>54</v>
      </c>
    </row>
    <row r="3" spans="1:11" s="1" customFormat="1">
      <c r="A3" s="10"/>
      <c r="B3" s="43"/>
      <c r="C3" s="9"/>
      <c r="D3" s="17">
        <f>16.32+61.1</f>
        <v>77.42</v>
      </c>
      <c r="E3" s="18" t="s">
        <v>122</v>
      </c>
      <c r="F3" s="29">
        <f>11+25+10</f>
        <v>46</v>
      </c>
      <c r="G3" s="24" t="s">
        <v>37</v>
      </c>
      <c r="H3" s="34">
        <f>42.26+19.46</f>
        <v>61.72</v>
      </c>
      <c r="I3" s="6" t="s">
        <v>36</v>
      </c>
      <c r="J3" s="1" t="s">
        <v>371</v>
      </c>
      <c r="K3" s="85">
        <f>SUM(D4,D7,F3,F7)</f>
        <v>221.71</v>
      </c>
    </row>
    <row r="4" spans="1:11" s="1" customFormat="1">
      <c r="A4" s="9"/>
      <c r="B4" s="9"/>
      <c r="C4" s="10"/>
      <c r="D4" s="17">
        <f>13.7+17.51</f>
        <v>31.21</v>
      </c>
      <c r="E4" s="18" t="s">
        <v>37</v>
      </c>
      <c r="F4" s="29">
        <v>10</v>
      </c>
      <c r="G4" s="24" t="s">
        <v>123</v>
      </c>
      <c r="H4" s="34"/>
      <c r="I4" s="6"/>
      <c r="J4" s="1" t="s">
        <v>372</v>
      </c>
      <c r="K4" s="85">
        <f>SUM(D2,D6,F2)</f>
        <v>788.41</v>
      </c>
    </row>
    <row r="5" spans="1:11" s="1" customFormat="1">
      <c r="A5" s="10"/>
      <c r="B5" s="14"/>
      <c r="C5" s="10" t="s">
        <v>72</v>
      </c>
      <c r="D5" s="17"/>
      <c r="E5" s="18"/>
      <c r="F5" s="29"/>
      <c r="G5" s="24"/>
      <c r="H5" s="34"/>
      <c r="I5" s="6"/>
      <c r="J5" s="1" t="s">
        <v>376</v>
      </c>
      <c r="K5" s="85">
        <f>SUM(D3,F4)</f>
        <v>87.42</v>
      </c>
    </row>
    <row r="6" spans="1:11" s="1" customFormat="1">
      <c r="A6" s="10" t="s">
        <v>74</v>
      </c>
      <c r="B6" s="14"/>
      <c r="C6" s="9" t="s">
        <v>21</v>
      </c>
      <c r="D6" s="17">
        <f>380</f>
        <v>380</v>
      </c>
      <c r="E6" s="18" t="s">
        <v>52</v>
      </c>
      <c r="F6" s="29">
        <v>684</v>
      </c>
      <c r="G6" s="24" t="s">
        <v>131</v>
      </c>
      <c r="H6" s="34">
        <v>390</v>
      </c>
      <c r="I6" s="6" t="s">
        <v>36</v>
      </c>
      <c r="J6" s="1" t="s">
        <v>373</v>
      </c>
    </row>
    <row r="7" spans="1:11" s="1" customFormat="1">
      <c r="A7" s="9"/>
      <c r="B7" s="9"/>
      <c r="C7" s="10"/>
      <c r="D7" s="17">
        <v>28.5</v>
      </c>
      <c r="E7" s="18" t="s">
        <v>134</v>
      </c>
      <c r="F7" s="29">
        <v>116</v>
      </c>
      <c r="G7" s="24" t="s">
        <v>37</v>
      </c>
      <c r="H7" s="34"/>
      <c r="I7" s="6"/>
      <c r="J7" s="1" t="s">
        <v>374</v>
      </c>
    </row>
    <row r="8" spans="1:11" s="1" customFormat="1">
      <c r="A8" s="9"/>
      <c r="B8" s="9"/>
      <c r="C8" s="10" t="s">
        <v>8</v>
      </c>
      <c r="D8" s="17"/>
      <c r="E8" s="18"/>
      <c r="F8" s="29"/>
      <c r="G8" s="24"/>
      <c r="H8" s="34">
        <v>1815</v>
      </c>
      <c r="I8" s="6" t="s">
        <v>63</v>
      </c>
      <c r="J8" s="1" t="s">
        <v>375</v>
      </c>
      <c r="K8" s="86">
        <f>SUM(H3,H6)</f>
        <v>451.72</v>
      </c>
    </row>
    <row r="9" spans="1:11" s="1" customFormat="1">
      <c r="A9" s="9"/>
      <c r="B9" s="9"/>
      <c r="C9" s="9" t="s">
        <v>9</v>
      </c>
      <c r="D9" s="17"/>
      <c r="E9" s="18"/>
      <c r="F9" s="29"/>
      <c r="G9" s="24"/>
      <c r="H9" s="34">
        <f>1502.74*2</f>
        <v>3005.48</v>
      </c>
      <c r="I9" s="2" t="s">
        <v>128</v>
      </c>
      <c r="K9" s="4"/>
    </row>
    <row r="10" spans="1:11" s="1" customFormat="1">
      <c r="A10" s="12" t="s">
        <v>4</v>
      </c>
      <c r="B10" s="10"/>
      <c r="C10" s="10"/>
      <c r="D10" s="20">
        <f>SUM(D2:D9)</f>
        <v>842.39</v>
      </c>
      <c r="E10" s="6"/>
      <c r="F10" s="31">
        <f>SUM(F2:F9)</f>
        <v>939.15</v>
      </c>
      <c r="G10" s="26"/>
      <c r="H10" s="36">
        <f>SUM(H2:H9)</f>
        <v>5809.88</v>
      </c>
      <c r="I10" s="2"/>
    </row>
    <row r="11" spans="1:11" s="1" customFormat="1" ht="15.75" thickBot="1">
      <c r="A11" s="13" t="s">
        <v>5</v>
      </c>
      <c r="B11" s="39">
        <f>SUM(D10+F10+H10)</f>
        <v>7591.42</v>
      </c>
      <c r="C11" s="38"/>
      <c r="D11" s="21"/>
      <c r="E11" s="22"/>
      <c r="F11" s="32"/>
      <c r="G11" s="27"/>
      <c r="H11" s="37"/>
      <c r="I11" s="3"/>
      <c r="J11" s="1" t="s">
        <v>371</v>
      </c>
    </row>
    <row r="12" spans="1:11" s="1" customFormat="1">
      <c r="A12" s="8" t="s">
        <v>109</v>
      </c>
      <c r="B12" s="8" t="s">
        <v>110</v>
      </c>
      <c r="C12" s="8" t="s">
        <v>111</v>
      </c>
      <c r="D12" s="15">
        <f>12+3.9+16.5+2.5</f>
        <v>34.9</v>
      </c>
      <c r="E12" s="16" t="s">
        <v>112</v>
      </c>
      <c r="F12" s="28">
        <v>36</v>
      </c>
      <c r="G12" s="23" t="s">
        <v>44</v>
      </c>
      <c r="H12" s="33">
        <v>214.05</v>
      </c>
      <c r="I12" s="5" t="s">
        <v>113</v>
      </c>
      <c r="J12" s="1" t="s">
        <v>372</v>
      </c>
      <c r="K12" s="85">
        <f>D13</f>
        <v>91</v>
      </c>
    </row>
    <row r="13" spans="1:11" s="1" customFormat="1">
      <c r="A13" s="10"/>
      <c r="B13" s="43"/>
      <c r="C13" s="9"/>
      <c r="D13" s="17">
        <f>30+35+26</f>
        <v>91</v>
      </c>
      <c r="E13" s="18" t="s">
        <v>58</v>
      </c>
      <c r="F13" s="29">
        <v>23.04</v>
      </c>
      <c r="G13" s="24" t="s">
        <v>41</v>
      </c>
      <c r="H13" s="34"/>
      <c r="I13" s="6"/>
      <c r="J13" s="1" t="s">
        <v>376</v>
      </c>
    </row>
    <row r="14" spans="1:11" s="1" customFormat="1">
      <c r="A14" s="9"/>
      <c r="B14" s="9"/>
      <c r="C14" s="9" t="s">
        <v>9</v>
      </c>
      <c r="D14" s="17"/>
      <c r="E14" s="18"/>
      <c r="F14" s="29"/>
      <c r="G14" s="24"/>
      <c r="H14" s="34">
        <v>186.18</v>
      </c>
      <c r="I14" s="2" t="s">
        <v>131</v>
      </c>
      <c r="J14" s="1" t="s">
        <v>373</v>
      </c>
      <c r="K14" s="4">
        <f>SUM(F12:F13)</f>
        <v>59.04</v>
      </c>
    </row>
    <row r="15" spans="1:11" s="1" customFormat="1">
      <c r="A15" s="12" t="s">
        <v>4</v>
      </c>
      <c r="B15" s="10"/>
      <c r="C15" s="10"/>
      <c r="D15" s="20">
        <f>SUM(D12:D14)</f>
        <v>125.9</v>
      </c>
      <c r="E15" s="6"/>
      <c r="F15" s="31">
        <f>SUM(F12:F14)</f>
        <v>59.04</v>
      </c>
      <c r="G15" s="26"/>
      <c r="H15" s="36">
        <f>SUM(H12:H14)</f>
        <v>400.23</v>
      </c>
      <c r="I15" s="2"/>
      <c r="J15" s="1" t="s">
        <v>374</v>
      </c>
      <c r="K15" s="85">
        <f>D12</f>
        <v>34.9</v>
      </c>
    </row>
    <row r="16" spans="1:11" s="1" customFormat="1" ht="15.75" thickBot="1">
      <c r="A16" s="13" t="s">
        <v>5</v>
      </c>
      <c r="B16" s="39">
        <f>SUM(D15+F15+H15)</f>
        <v>585.17000000000007</v>
      </c>
      <c r="C16" s="38"/>
      <c r="D16" s="21"/>
      <c r="E16" s="22"/>
      <c r="F16" s="32"/>
      <c r="G16" s="27"/>
      <c r="H16" s="37"/>
      <c r="I16" s="3"/>
      <c r="J16" s="1" t="s">
        <v>375</v>
      </c>
    </row>
    <row r="17" spans="1:11">
      <c r="A17" s="8" t="s">
        <v>77</v>
      </c>
      <c r="B17" s="8" t="s">
        <v>76</v>
      </c>
      <c r="C17" s="11" t="s">
        <v>27</v>
      </c>
      <c r="D17" s="15">
        <v>51.74</v>
      </c>
      <c r="E17" s="40" t="s">
        <v>117</v>
      </c>
      <c r="F17" s="28">
        <f>12.35+15.92</f>
        <v>28.27</v>
      </c>
      <c r="G17" s="23" t="s">
        <v>37</v>
      </c>
      <c r="H17" s="33">
        <v>209.25</v>
      </c>
      <c r="I17" s="5" t="s">
        <v>36</v>
      </c>
    </row>
    <row r="18" spans="1:11">
      <c r="A18" s="9"/>
      <c r="B18" s="9"/>
      <c r="C18" s="10"/>
      <c r="D18" s="17"/>
      <c r="E18" s="18"/>
      <c r="F18" s="29">
        <v>8.2100000000000009</v>
      </c>
      <c r="G18" s="24" t="s">
        <v>116</v>
      </c>
      <c r="H18" s="34"/>
      <c r="I18" s="6"/>
      <c r="J18" s="1" t="s">
        <v>371</v>
      </c>
      <c r="K18" s="87">
        <f>SUM(D20,F17,F19)</f>
        <v>62.26</v>
      </c>
    </row>
    <row r="19" spans="1:11">
      <c r="A19" s="9" t="s">
        <v>78</v>
      </c>
      <c r="B19" s="9"/>
      <c r="C19" s="10" t="s">
        <v>26</v>
      </c>
      <c r="D19" s="17">
        <v>6.6</v>
      </c>
      <c r="E19" s="18" t="s">
        <v>53</v>
      </c>
      <c r="F19" s="29">
        <f>14.72+11.27</f>
        <v>25.990000000000002</v>
      </c>
      <c r="G19" s="24" t="s">
        <v>37</v>
      </c>
      <c r="H19" s="34">
        <v>219.09</v>
      </c>
      <c r="I19" s="6" t="s">
        <v>36</v>
      </c>
      <c r="J19" s="1" t="s">
        <v>372</v>
      </c>
      <c r="K19" s="87">
        <f>SUM(D19,F18)</f>
        <v>14.81</v>
      </c>
    </row>
    <row r="20" spans="1:11">
      <c r="A20" s="10"/>
      <c r="B20" s="14"/>
      <c r="C20" s="10"/>
      <c r="D20" s="19">
        <v>8</v>
      </c>
      <c r="E20" s="6" t="s">
        <v>37</v>
      </c>
      <c r="F20" s="30"/>
      <c r="G20" s="25"/>
      <c r="H20" s="34"/>
      <c r="I20" s="6"/>
      <c r="J20" s="1" t="s">
        <v>376</v>
      </c>
      <c r="K20" s="87">
        <f>D17</f>
        <v>51.74</v>
      </c>
    </row>
    <row r="21" spans="1:11">
      <c r="A21" s="10"/>
      <c r="B21" s="14"/>
      <c r="C21" s="9" t="s">
        <v>8</v>
      </c>
      <c r="D21" s="19"/>
      <c r="E21" s="6"/>
      <c r="F21" s="30"/>
      <c r="G21" s="25"/>
      <c r="H21" s="35">
        <v>1034.8800000000001</v>
      </c>
      <c r="I21" s="6" t="s">
        <v>79</v>
      </c>
      <c r="J21" s="1" t="s">
        <v>373</v>
      </c>
    </row>
    <row r="22" spans="1:11">
      <c r="A22" s="10"/>
      <c r="B22" s="14"/>
      <c r="C22" s="9" t="s">
        <v>9</v>
      </c>
      <c r="D22" s="19"/>
      <c r="E22" s="6"/>
      <c r="F22" s="30"/>
      <c r="G22" s="25"/>
      <c r="H22" s="35">
        <f>132.42+219.69</f>
        <v>352.11</v>
      </c>
      <c r="I22" s="2" t="s">
        <v>130</v>
      </c>
      <c r="J22" s="1" t="s">
        <v>374</v>
      </c>
    </row>
    <row r="23" spans="1:11">
      <c r="A23" s="12" t="s">
        <v>4</v>
      </c>
      <c r="B23" s="10"/>
      <c r="C23" s="10"/>
      <c r="D23" s="20">
        <f>SUM(D17:D22)</f>
        <v>66.34</v>
      </c>
      <c r="E23" s="6"/>
      <c r="F23" s="31">
        <f>SUM(F17:F22)</f>
        <v>62.470000000000006</v>
      </c>
      <c r="G23" s="26"/>
      <c r="H23" s="36">
        <f>SUM(H17:H22)</f>
        <v>1815.3300000000004</v>
      </c>
      <c r="I23" s="2"/>
      <c r="J23" s="1" t="s">
        <v>375</v>
      </c>
      <c r="K23" s="88">
        <f>SUM(H17,H19)</f>
        <v>428.34000000000003</v>
      </c>
    </row>
    <row r="24" spans="1:11" ht="15.75" thickBot="1">
      <c r="A24" s="13" t="s">
        <v>5</v>
      </c>
      <c r="B24" s="39">
        <f>SUM(D23+F23+H23)</f>
        <v>1944.1400000000003</v>
      </c>
      <c r="C24" s="38"/>
      <c r="D24" s="21"/>
      <c r="E24" s="22"/>
      <c r="F24" s="32"/>
      <c r="G24" s="27"/>
      <c r="H24" s="37"/>
      <c r="I24" s="3"/>
    </row>
    <row r="25" spans="1:11">
      <c r="A25" s="8" t="s">
        <v>82</v>
      </c>
      <c r="B25" s="8" t="s">
        <v>81</v>
      </c>
      <c r="C25" s="11" t="s">
        <v>80</v>
      </c>
      <c r="D25" s="15">
        <f>14.61+8.51</f>
        <v>23.119999999999997</v>
      </c>
      <c r="E25" s="40" t="s">
        <v>58</v>
      </c>
      <c r="F25" s="28">
        <f>90+11+1.5+1.5</f>
        <v>104</v>
      </c>
      <c r="G25" s="23" t="s">
        <v>102</v>
      </c>
      <c r="H25" s="33">
        <v>142</v>
      </c>
      <c r="I25" s="5" t="s">
        <v>36</v>
      </c>
      <c r="J25" s="1" t="s">
        <v>371</v>
      </c>
      <c r="K25" s="87">
        <f>SUM(D26,F25)</f>
        <v>108.87</v>
      </c>
    </row>
    <row r="26" spans="1:11">
      <c r="A26" s="9"/>
      <c r="B26" s="9"/>
      <c r="C26" s="10"/>
      <c r="D26" s="17">
        <v>4.87</v>
      </c>
      <c r="E26" s="18" t="s">
        <v>37</v>
      </c>
      <c r="F26" s="29">
        <v>40.29</v>
      </c>
      <c r="G26" s="24" t="s">
        <v>103</v>
      </c>
      <c r="H26" s="34"/>
      <c r="I26" s="6"/>
      <c r="J26" s="1" t="s">
        <v>372</v>
      </c>
      <c r="K26" s="87">
        <f>D25</f>
        <v>23.119999999999997</v>
      </c>
    </row>
    <row r="27" spans="1:11" ht="45">
      <c r="A27" s="10"/>
      <c r="B27" s="14"/>
      <c r="C27" s="9" t="s">
        <v>8</v>
      </c>
      <c r="D27" s="19"/>
      <c r="E27" s="6"/>
      <c r="F27" s="30"/>
      <c r="G27" s="25"/>
      <c r="H27" s="35"/>
      <c r="I27" s="6" t="s">
        <v>92</v>
      </c>
      <c r="J27" s="1" t="s">
        <v>376</v>
      </c>
    </row>
    <row r="28" spans="1:11">
      <c r="A28" s="10"/>
      <c r="B28" s="14"/>
      <c r="C28" s="9" t="s">
        <v>9</v>
      </c>
      <c r="D28" s="19"/>
      <c r="E28" s="6"/>
      <c r="F28" s="30"/>
      <c r="G28" s="25"/>
      <c r="H28" s="35">
        <v>813.68</v>
      </c>
      <c r="I28" s="2" t="s">
        <v>131</v>
      </c>
      <c r="J28" s="1" t="s">
        <v>373</v>
      </c>
    </row>
    <row r="29" spans="1:11">
      <c r="A29" s="12" t="s">
        <v>4</v>
      </c>
      <c r="B29" s="10"/>
      <c r="C29" s="10"/>
      <c r="D29" s="20">
        <f>SUM(D25:D28)</f>
        <v>27.99</v>
      </c>
      <c r="E29" s="6"/>
      <c r="F29" s="31">
        <f>SUM(F25:F28)</f>
        <v>144.29</v>
      </c>
      <c r="G29" s="26"/>
      <c r="H29" s="36">
        <f>SUM(H25:H28)</f>
        <v>955.68</v>
      </c>
      <c r="I29" s="2"/>
      <c r="J29" s="1" t="s">
        <v>374</v>
      </c>
    </row>
    <row r="30" spans="1:11" ht="15.75" thickBot="1">
      <c r="A30" s="13" t="s">
        <v>5</v>
      </c>
      <c r="B30" s="39">
        <f>SUM(D29+F29+H29)</f>
        <v>1127.96</v>
      </c>
      <c r="C30" s="38"/>
      <c r="D30" s="21"/>
      <c r="E30" s="22"/>
      <c r="F30" s="32"/>
      <c r="G30" s="27"/>
      <c r="H30" s="37"/>
      <c r="I30" s="3"/>
      <c r="J30" s="1" t="s">
        <v>375</v>
      </c>
      <c r="K30" s="88">
        <f>H25</f>
        <v>142</v>
      </c>
    </row>
    <row r="31" spans="1:11">
      <c r="A31" s="8" t="s">
        <v>85</v>
      </c>
      <c r="B31" s="8" t="s">
        <v>83</v>
      </c>
      <c r="C31" s="11" t="s">
        <v>84</v>
      </c>
      <c r="D31" s="15">
        <f>26.06+8.69+7.24+7.24+20.26+14.47</f>
        <v>83.960000000000008</v>
      </c>
      <c r="E31" s="40" t="s">
        <v>37</v>
      </c>
      <c r="F31" s="28">
        <f>5.76+5.76</f>
        <v>11.52</v>
      </c>
      <c r="G31" s="23" t="s">
        <v>41</v>
      </c>
      <c r="H31" s="33">
        <f>37.37+5.21</f>
        <v>42.58</v>
      </c>
      <c r="I31" s="5" t="s">
        <v>36</v>
      </c>
    </row>
    <row r="32" spans="1:11" ht="13.5" customHeight="1">
      <c r="A32" s="9"/>
      <c r="B32" s="9"/>
      <c r="C32" s="10"/>
      <c r="D32" s="17">
        <f>35.62+7.06+8.11+5.79+7.53+60.65+1.59</f>
        <v>126.35</v>
      </c>
      <c r="E32" s="18" t="s">
        <v>114</v>
      </c>
      <c r="F32" s="29">
        <f>24+1.6</f>
        <v>25.6</v>
      </c>
      <c r="G32" s="24" t="s">
        <v>120</v>
      </c>
      <c r="H32" s="34"/>
      <c r="I32" s="6"/>
      <c r="J32" s="1" t="s">
        <v>371</v>
      </c>
      <c r="K32" s="87">
        <f>D31+F34</f>
        <v>152.96</v>
      </c>
    </row>
    <row r="33" spans="1:11">
      <c r="A33" s="9"/>
      <c r="B33" s="9"/>
      <c r="C33" s="10"/>
      <c r="D33" s="17"/>
      <c r="E33" s="18"/>
      <c r="F33" s="29">
        <v>7.1</v>
      </c>
      <c r="G33" s="24" t="s">
        <v>116</v>
      </c>
      <c r="H33" s="34"/>
      <c r="I33" s="6"/>
      <c r="J33" s="1" t="s">
        <v>372</v>
      </c>
      <c r="K33" s="87">
        <f>D32+F33+F35</f>
        <v>157.94999999999999</v>
      </c>
    </row>
    <row r="34" spans="1:11">
      <c r="A34" s="10"/>
      <c r="B34" s="14"/>
      <c r="C34" s="10" t="s">
        <v>18</v>
      </c>
      <c r="D34" s="19"/>
      <c r="E34" s="6"/>
      <c r="F34" s="30">
        <f>39+30</f>
        <v>69</v>
      </c>
      <c r="G34" s="25" t="s">
        <v>37</v>
      </c>
      <c r="H34" s="35"/>
      <c r="I34" s="2"/>
      <c r="J34" s="1" t="s">
        <v>376</v>
      </c>
    </row>
    <row r="35" spans="1:11">
      <c r="A35" s="10"/>
      <c r="B35" s="14"/>
      <c r="C35" s="10"/>
      <c r="D35" s="19"/>
      <c r="E35" s="6"/>
      <c r="F35" s="30">
        <v>24.5</v>
      </c>
      <c r="G35" s="25" t="s">
        <v>116</v>
      </c>
      <c r="H35" s="35"/>
      <c r="I35" s="2"/>
      <c r="J35" s="1" t="s">
        <v>373</v>
      </c>
      <c r="K35" s="88">
        <f>F32+F31</f>
        <v>37.120000000000005</v>
      </c>
    </row>
    <row r="36" spans="1:11">
      <c r="A36" s="10"/>
      <c r="B36" s="14"/>
      <c r="C36" s="9" t="s">
        <v>8</v>
      </c>
      <c r="D36" s="19"/>
      <c r="E36" s="6"/>
      <c r="F36" s="30"/>
      <c r="G36" s="25"/>
      <c r="H36" s="35">
        <v>387</v>
      </c>
      <c r="I36" s="6" t="s">
        <v>63</v>
      </c>
      <c r="J36" s="1" t="s">
        <v>374</v>
      </c>
    </row>
    <row r="37" spans="1:11">
      <c r="A37" s="10"/>
      <c r="B37" s="14"/>
      <c r="C37" s="9" t="s">
        <v>9</v>
      </c>
      <c r="D37" s="19"/>
      <c r="E37" s="6"/>
      <c r="F37" s="30"/>
      <c r="G37" s="25"/>
      <c r="H37" s="35">
        <f>819.32</f>
        <v>819.32</v>
      </c>
      <c r="I37" s="2" t="s">
        <v>130</v>
      </c>
      <c r="J37" s="1" t="s">
        <v>375</v>
      </c>
      <c r="K37" s="88">
        <f>H31</f>
        <v>42.58</v>
      </c>
    </row>
    <row r="38" spans="1:11">
      <c r="A38" s="12" t="s">
        <v>4</v>
      </c>
      <c r="B38" s="10"/>
      <c r="C38" s="10"/>
      <c r="D38" s="20">
        <f>SUM(D31:D37)</f>
        <v>210.31</v>
      </c>
      <c r="E38" s="6"/>
      <c r="F38" s="31">
        <f>SUM(F31:F37)</f>
        <v>137.72</v>
      </c>
      <c r="G38" s="26"/>
      <c r="H38" s="36">
        <f>SUM(H31:H37)</f>
        <v>1248.9000000000001</v>
      </c>
      <c r="I38" s="2"/>
    </row>
    <row r="39" spans="1:11" ht="15.75" thickBot="1">
      <c r="A39" s="13" t="s">
        <v>5</v>
      </c>
      <c r="B39" s="39">
        <f>SUM(D38+F38+H38)</f>
        <v>1596.93</v>
      </c>
      <c r="C39" s="38"/>
      <c r="D39" s="21"/>
      <c r="E39" s="22"/>
      <c r="F39" s="32"/>
      <c r="G39" s="27"/>
      <c r="H39" s="37"/>
      <c r="I39" s="3"/>
    </row>
    <row r="40" spans="1:11">
      <c r="A40" s="8" t="s">
        <v>85</v>
      </c>
      <c r="B40" s="8" t="s">
        <v>87</v>
      </c>
      <c r="C40" s="11" t="s">
        <v>30</v>
      </c>
      <c r="D40" s="15"/>
      <c r="E40" s="40"/>
      <c r="F40" s="28">
        <f>5.55*2</f>
        <v>11.1</v>
      </c>
      <c r="G40" s="23" t="s">
        <v>41</v>
      </c>
      <c r="H40" s="33"/>
      <c r="I40" s="5"/>
    </row>
    <row r="41" spans="1:11" ht="13.5" customHeight="1">
      <c r="A41" s="9"/>
      <c r="B41" s="9"/>
      <c r="C41" s="10"/>
      <c r="D41" s="17"/>
      <c r="E41" s="18"/>
      <c r="F41" s="29">
        <v>70</v>
      </c>
      <c r="G41" s="24" t="s">
        <v>107</v>
      </c>
      <c r="H41" s="34"/>
      <c r="I41" s="6"/>
      <c r="J41" s="1" t="s">
        <v>371</v>
      </c>
    </row>
    <row r="42" spans="1:11" ht="13.5" customHeight="1">
      <c r="A42" s="9"/>
      <c r="B42" s="9"/>
      <c r="C42" s="10"/>
      <c r="D42" s="17"/>
      <c r="E42" s="18"/>
      <c r="F42" s="29">
        <f>8.4+15</f>
        <v>23.4</v>
      </c>
      <c r="G42" s="24" t="s">
        <v>114</v>
      </c>
      <c r="H42" s="34"/>
      <c r="I42" s="6"/>
      <c r="J42" s="1" t="s">
        <v>372</v>
      </c>
      <c r="K42" s="87">
        <f>D43+F42</f>
        <v>53.05</v>
      </c>
    </row>
    <row r="43" spans="1:11">
      <c r="A43" s="9"/>
      <c r="B43" s="9"/>
      <c r="C43" s="10" t="s">
        <v>86</v>
      </c>
      <c r="D43" s="17">
        <f>24.31+5.34</f>
        <v>29.65</v>
      </c>
      <c r="E43" s="6" t="s">
        <v>58</v>
      </c>
      <c r="F43" s="29">
        <f>23.58+23.58</f>
        <v>47.16</v>
      </c>
      <c r="G43" s="24" t="s">
        <v>41</v>
      </c>
      <c r="H43" s="35"/>
      <c r="I43" s="2"/>
      <c r="J43" s="1" t="s">
        <v>376</v>
      </c>
    </row>
    <row r="44" spans="1:11">
      <c r="A44" s="10"/>
      <c r="B44" s="14"/>
      <c r="C44" s="10"/>
      <c r="D44" s="19"/>
      <c r="E44" s="6"/>
      <c r="F44" s="30">
        <f>2.1+2.1</f>
        <v>4.2</v>
      </c>
      <c r="G44" s="25" t="s">
        <v>107</v>
      </c>
      <c r="H44" s="35"/>
      <c r="I44" s="2"/>
      <c r="J44" s="1" t="s">
        <v>373</v>
      </c>
      <c r="K44" s="88">
        <f>F40+F41+F43+F44+F45</f>
        <v>202.45999999999998</v>
      </c>
    </row>
    <row r="45" spans="1:11">
      <c r="A45" s="10"/>
      <c r="B45" s="14"/>
      <c r="C45" s="10"/>
      <c r="D45" s="19"/>
      <c r="E45" s="6"/>
      <c r="F45" s="30">
        <v>70</v>
      </c>
      <c r="G45" s="25" t="s">
        <v>44</v>
      </c>
      <c r="H45" s="35"/>
      <c r="I45" s="2" t="s">
        <v>88</v>
      </c>
      <c r="J45" s="1" t="s">
        <v>374</v>
      </c>
    </row>
    <row r="46" spans="1:11">
      <c r="A46" s="10"/>
      <c r="B46" s="14"/>
      <c r="C46" s="9" t="s">
        <v>9</v>
      </c>
      <c r="D46" s="19"/>
      <c r="E46" s="6"/>
      <c r="F46" s="30"/>
      <c r="G46" s="25"/>
      <c r="H46" s="35">
        <f>2086.96</f>
        <v>2086.96</v>
      </c>
      <c r="I46" s="2" t="s">
        <v>130</v>
      </c>
      <c r="J46" s="1" t="s">
        <v>375</v>
      </c>
    </row>
    <row r="47" spans="1:11">
      <c r="A47" s="12" t="s">
        <v>4</v>
      </c>
      <c r="B47" s="10"/>
      <c r="C47" s="10"/>
      <c r="D47" s="20">
        <f>SUM(D40:D46)</f>
        <v>29.65</v>
      </c>
      <c r="E47" s="6"/>
      <c r="F47" s="31">
        <f>SUM(F40:F46)</f>
        <v>225.85999999999999</v>
      </c>
      <c r="G47" s="26"/>
      <c r="H47" s="36">
        <f>SUM(H40:H46)</f>
        <v>2086.96</v>
      </c>
      <c r="I47" s="2"/>
    </row>
    <row r="48" spans="1:11" ht="14.25" customHeight="1" thickBot="1">
      <c r="A48" s="13" t="s">
        <v>5</v>
      </c>
      <c r="B48" s="39">
        <f>SUM(D47+F47+H47)</f>
        <v>2342.4700000000003</v>
      </c>
      <c r="C48" s="38"/>
      <c r="D48" s="21"/>
      <c r="E48" s="22"/>
      <c r="F48" s="32"/>
      <c r="G48" s="27"/>
      <c r="H48" s="37"/>
      <c r="I48" s="3"/>
    </row>
    <row r="49" spans="1:11">
      <c r="A49" s="53" t="s">
        <v>127</v>
      </c>
      <c r="B49" s="8" t="s">
        <v>17</v>
      </c>
      <c r="C49" s="11" t="s">
        <v>18</v>
      </c>
      <c r="D49" s="15">
        <f>247.64+32.06+58.37+4.82+29.97</f>
        <v>372.86</v>
      </c>
      <c r="E49" s="40" t="s">
        <v>114</v>
      </c>
      <c r="F49" s="28">
        <f>115+28</f>
        <v>143</v>
      </c>
      <c r="G49" s="23" t="s">
        <v>37</v>
      </c>
      <c r="H49" s="33">
        <v>20.99</v>
      </c>
      <c r="I49" s="5" t="s">
        <v>36</v>
      </c>
      <c r="J49" s="1" t="s">
        <v>371</v>
      </c>
      <c r="K49" s="87">
        <f>D51+F49</f>
        <v>151.33000000000001</v>
      </c>
    </row>
    <row r="50" spans="1:11" ht="13.5" customHeight="1">
      <c r="A50" s="9" t="s">
        <v>126</v>
      </c>
      <c r="B50" s="9"/>
      <c r="C50" s="10"/>
      <c r="D50" s="17">
        <f>80.21</f>
        <v>80.209999999999994</v>
      </c>
      <c r="E50" s="18" t="s">
        <v>35</v>
      </c>
      <c r="F50" s="29">
        <f>8+36.6+3.2</f>
        <v>47.800000000000004</v>
      </c>
      <c r="G50" s="24" t="s">
        <v>114</v>
      </c>
      <c r="H50" s="34"/>
      <c r="I50" s="6"/>
      <c r="J50" s="1" t="s">
        <v>372</v>
      </c>
      <c r="K50" s="87">
        <f>D49+D52+F50</f>
        <v>1182.6600000000001</v>
      </c>
    </row>
    <row r="51" spans="1:11" ht="13.5" customHeight="1">
      <c r="A51" s="9"/>
      <c r="B51" s="9"/>
      <c r="C51" s="10"/>
      <c r="D51" s="17">
        <v>8.33</v>
      </c>
      <c r="E51" s="18" t="s">
        <v>37</v>
      </c>
      <c r="F51" s="29"/>
      <c r="G51" s="24"/>
      <c r="H51" s="34"/>
      <c r="I51" s="6"/>
      <c r="J51" s="1" t="s">
        <v>376</v>
      </c>
      <c r="K51" s="87">
        <f>D50</f>
        <v>80.209999999999994</v>
      </c>
    </row>
    <row r="52" spans="1:11">
      <c r="A52" s="9"/>
      <c r="B52" s="9"/>
      <c r="C52" s="10" t="s">
        <v>21</v>
      </c>
      <c r="D52" s="17">
        <f>42+22+21+195+197+280+5</f>
        <v>762</v>
      </c>
      <c r="E52" s="6" t="s">
        <v>114</v>
      </c>
      <c r="F52" s="29">
        <f>64</f>
        <v>64</v>
      </c>
      <c r="G52" s="24" t="s">
        <v>41</v>
      </c>
      <c r="H52" s="35"/>
      <c r="I52" s="2"/>
      <c r="J52" s="1" t="s">
        <v>373</v>
      </c>
      <c r="K52" s="88">
        <f>F52</f>
        <v>64</v>
      </c>
    </row>
    <row r="53" spans="1:11">
      <c r="A53" s="10"/>
      <c r="B53" s="14"/>
      <c r="C53" s="9" t="s">
        <v>9</v>
      </c>
      <c r="D53" s="19"/>
      <c r="E53" s="6"/>
      <c r="F53" s="30"/>
      <c r="G53" s="25"/>
      <c r="H53" s="35">
        <v>1122.01</v>
      </c>
      <c r="I53" s="2" t="s">
        <v>67</v>
      </c>
      <c r="J53" s="1" t="s">
        <v>374</v>
      </c>
    </row>
    <row r="54" spans="1:11">
      <c r="A54" s="12" t="s">
        <v>4</v>
      </c>
      <c r="B54" s="10"/>
      <c r="C54" s="10"/>
      <c r="D54" s="20">
        <f>SUM(D49:D53)</f>
        <v>1223.4000000000001</v>
      </c>
      <c r="E54" s="6"/>
      <c r="F54" s="31">
        <f>SUM(F49:F53)</f>
        <v>254.8</v>
      </c>
      <c r="G54" s="26"/>
      <c r="H54" s="36">
        <f>SUM(H49:H53)</f>
        <v>1143</v>
      </c>
      <c r="I54" s="2"/>
      <c r="J54" s="1" t="s">
        <v>375</v>
      </c>
      <c r="K54" s="88">
        <f>H49</f>
        <v>20.99</v>
      </c>
    </row>
    <row r="55" spans="1:11" ht="14.25" customHeight="1" thickBot="1">
      <c r="A55" s="13" t="s">
        <v>5</v>
      </c>
      <c r="B55" s="39">
        <f>SUM(D54+F54+H54)</f>
        <v>2621.1999999999998</v>
      </c>
      <c r="C55" s="38"/>
      <c r="D55" s="21"/>
      <c r="E55" s="22"/>
      <c r="F55" s="32"/>
      <c r="G55" s="27"/>
      <c r="H55" s="37"/>
      <c r="I55" s="3"/>
    </row>
    <row r="56" spans="1:11">
      <c r="A56" s="53" t="s">
        <v>124</v>
      </c>
      <c r="B56" s="8" t="s">
        <v>125</v>
      </c>
      <c r="C56" s="11" t="s">
        <v>18</v>
      </c>
      <c r="D56" s="15">
        <f>204.28+5.04+4.64</f>
        <v>213.95999999999998</v>
      </c>
      <c r="E56" s="40" t="s">
        <v>114</v>
      </c>
      <c r="F56" s="28"/>
      <c r="G56" s="23"/>
      <c r="H56" s="33"/>
      <c r="I56" s="5"/>
      <c r="J56" s="1" t="s">
        <v>371</v>
      </c>
      <c r="K56" s="87">
        <f>D57+D59</f>
        <v>161.85</v>
      </c>
    </row>
    <row r="57" spans="1:11" ht="13.5" customHeight="1">
      <c r="A57" s="9"/>
      <c r="B57" s="9"/>
      <c r="C57" s="10"/>
      <c r="D57" s="17">
        <f>11.85</f>
        <v>11.85</v>
      </c>
      <c r="E57" s="18" t="s">
        <v>37</v>
      </c>
      <c r="F57" s="29"/>
      <c r="G57" s="24"/>
      <c r="H57" s="34"/>
      <c r="I57" s="6"/>
      <c r="J57" s="1" t="s">
        <v>372</v>
      </c>
      <c r="K57" s="87">
        <f>D56+D60</f>
        <v>830.96</v>
      </c>
    </row>
    <row r="58" spans="1:11" ht="13.5" customHeight="1">
      <c r="A58" s="9"/>
      <c r="B58" s="9"/>
      <c r="C58" s="10"/>
      <c r="D58" s="17"/>
      <c r="E58" s="18"/>
      <c r="F58" s="29"/>
      <c r="G58" s="24"/>
      <c r="H58" s="34"/>
      <c r="I58" s="6"/>
      <c r="J58" s="1" t="s">
        <v>376</v>
      </c>
    </row>
    <row r="59" spans="1:11">
      <c r="A59" s="9"/>
      <c r="B59" s="9"/>
      <c r="C59" s="10" t="s">
        <v>21</v>
      </c>
      <c r="D59" s="17">
        <f>14+136</f>
        <v>150</v>
      </c>
      <c r="E59" s="18" t="s">
        <v>37</v>
      </c>
      <c r="F59" s="29">
        <v>64</v>
      </c>
      <c r="G59" s="24" t="s">
        <v>41</v>
      </c>
      <c r="H59" s="35">
        <v>2100</v>
      </c>
      <c r="I59" s="2" t="s">
        <v>54</v>
      </c>
      <c r="J59" s="1" t="s">
        <v>373</v>
      </c>
      <c r="K59" s="88">
        <f>F59</f>
        <v>64</v>
      </c>
    </row>
    <row r="60" spans="1:11">
      <c r="A60" s="10"/>
      <c r="B60" s="14"/>
      <c r="C60" s="10"/>
      <c r="D60" s="17">
        <f>30+20+178+316+5+68</f>
        <v>617</v>
      </c>
      <c r="E60" s="18" t="s">
        <v>114</v>
      </c>
      <c r="F60" s="30"/>
      <c r="G60" s="25"/>
      <c r="H60" s="35"/>
      <c r="I60" s="2"/>
      <c r="J60" s="1" t="s">
        <v>374</v>
      </c>
    </row>
    <row r="61" spans="1:11">
      <c r="A61" s="10"/>
      <c r="B61" s="14"/>
      <c r="C61" s="9" t="s">
        <v>9</v>
      </c>
      <c r="D61" s="19"/>
      <c r="E61" s="6"/>
      <c r="F61" s="30"/>
      <c r="G61" s="25"/>
      <c r="H61" s="35">
        <v>1134.26</v>
      </c>
      <c r="I61" s="2" t="s">
        <v>130</v>
      </c>
      <c r="J61" s="1" t="s">
        <v>375</v>
      </c>
    </row>
    <row r="62" spans="1:11">
      <c r="A62" s="12" t="s">
        <v>4</v>
      </c>
      <c r="B62" s="10"/>
      <c r="C62" s="10"/>
      <c r="D62" s="20">
        <f>SUM(D56:D61)</f>
        <v>992.81</v>
      </c>
      <c r="E62" s="6"/>
      <c r="F62" s="31">
        <f>SUM(F56:F61)</f>
        <v>64</v>
      </c>
      <c r="G62" s="26"/>
      <c r="H62" s="36">
        <f>SUM(H56:H61)</f>
        <v>3234.26</v>
      </c>
      <c r="I62" s="2"/>
    </row>
    <row r="63" spans="1:11" ht="14.25" customHeight="1" thickBot="1">
      <c r="A63" s="13" t="s">
        <v>5</v>
      </c>
      <c r="B63" s="39">
        <f>SUM(D62+F62+H62)</f>
        <v>4291.07</v>
      </c>
      <c r="C63" s="38"/>
      <c r="D63" s="21"/>
      <c r="E63" s="22"/>
      <c r="F63" s="32"/>
      <c r="G63" s="27"/>
      <c r="H63" s="37"/>
      <c r="I63" s="3"/>
    </row>
    <row r="64" spans="1:11">
      <c r="A64" s="8" t="s">
        <v>90</v>
      </c>
      <c r="B64" s="8" t="s">
        <v>81</v>
      </c>
      <c r="C64" s="11" t="s">
        <v>30</v>
      </c>
      <c r="D64" s="15">
        <f>183.95+173.93+62.04+77.96</f>
        <v>497.88</v>
      </c>
      <c r="E64" s="40" t="s">
        <v>58</v>
      </c>
      <c r="F64" s="28">
        <f>8.72*2</f>
        <v>17.440000000000001</v>
      </c>
      <c r="G64" s="23" t="s">
        <v>41</v>
      </c>
      <c r="H64" s="33"/>
      <c r="I64" s="5"/>
    </row>
    <row r="65" spans="1:11">
      <c r="A65" s="9"/>
      <c r="B65" s="9"/>
      <c r="C65" s="10"/>
      <c r="D65" s="17">
        <f>9.37+12.63+9.27+15.05+10.54</f>
        <v>56.86</v>
      </c>
      <c r="E65" s="51" t="s">
        <v>37</v>
      </c>
      <c r="F65" s="29">
        <f>45.9+2.9+10</f>
        <v>58.8</v>
      </c>
      <c r="G65" s="24" t="s">
        <v>115</v>
      </c>
      <c r="H65" s="34"/>
      <c r="I65" s="6"/>
      <c r="J65" s="1" t="s">
        <v>371</v>
      </c>
      <c r="K65" s="87">
        <f>D65+D73</f>
        <v>105.36000000000001</v>
      </c>
    </row>
    <row r="66" spans="1:11">
      <c r="A66" s="9"/>
      <c r="B66" s="9"/>
      <c r="C66" s="10"/>
      <c r="D66" s="17"/>
      <c r="E66" s="51"/>
      <c r="F66" s="29">
        <v>9.9499999999999993</v>
      </c>
      <c r="G66" s="24" t="s">
        <v>116</v>
      </c>
      <c r="H66" s="34"/>
      <c r="I66" s="6"/>
      <c r="J66" s="1" t="s">
        <v>372</v>
      </c>
      <c r="K66" s="87">
        <f>D64+D72+F66+F67+F74</f>
        <v>925.93000000000006</v>
      </c>
    </row>
    <row r="67" spans="1:11">
      <c r="A67" s="9"/>
      <c r="B67" s="9"/>
      <c r="C67" s="10" t="s">
        <v>71</v>
      </c>
      <c r="D67" s="17"/>
      <c r="E67" s="51"/>
      <c r="F67" s="29">
        <f>4.7+19.3+40</f>
        <v>64</v>
      </c>
      <c r="G67" s="24" t="s">
        <v>116</v>
      </c>
      <c r="H67" s="34">
        <v>119.87</v>
      </c>
      <c r="I67" s="6" t="s">
        <v>36</v>
      </c>
      <c r="J67" s="1" t="s">
        <v>376</v>
      </c>
      <c r="K67" s="88">
        <f>F70</f>
        <v>10</v>
      </c>
    </row>
    <row r="68" spans="1:11">
      <c r="A68" s="9"/>
      <c r="B68" s="9"/>
      <c r="C68" s="10"/>
      <c r="D68" s="17"/>
      <c r="E68" s="51"/>
      <c r="F68" s="29">
        <f>41+17</f>
        <v>58</v>
      </c>
      <c r="G68" s="24" t="s">
        <v>44</v>
      </c>
      <c r="H68" s="34"/>
      <c r="I68" s="6"/>
      <c r="J68" s="1" t="s">
        <v>373</v>
      </c>
      <c r="K68" s="88">
        <f>SUM(F64,F65,F68,F69,F71,F72,F73)</f>
        <v>335.32000000000005</v>
      </c>
    </row>
    <row r="69" spans="1:11">
      <c r="A69" s="9"/>
      <c r="B69" s="9"/>
      <c r="C69" s="10"/>
      <c r="D69" s="17"/>
      <c r="E69" s="51"/>
      <c r="F69" s="29">
        <v>20.28</v>
      </c>
      <c r="G69" s="24" t="s">
        <v>41</v>
      </c>
      <c r="H69" s="34"/>
      <c r="I69" s="6"/>
      <c r="J69" s="1" t="s">
        <v>374</v>
      </c>
    </row>
    <row r="70" spans="1:11">
      <c r="A70" s="9"/>
      <c r="B70" s="9"/>
      <c r="C70" s="10"/>
      <c r="D70" s="17"/>
      <c r="E70" s="51"/>
      <c r="F70" s="29">
        <v>10</v>
      </c>
      <c r="G70" s="24" t="s">
        <v>123</v>
      </c>
      <c r="H70" s="34"/>
      <c r="I70" s="6"/>
      <c r="J70" s="1" t="s">
        <v>375</v>
      </c>
      <c r="K70" s="88">
        <f>SUM(H67,H72)</f>
        <v>242.28</v>
      </c>
    </row>
    <row r="71" spans="1:11">
      <c r="A71" s="9"/>
      <c r="B71" s="9"/>
      <c r="C71" s="10"/>
      <c r="D71" s="17"/>
      <c r="E71" s="51"/>
      <c r="F71" s="29">
        <f>5.2+1.6</f>
        <v>6.8000000000000007</v>
      </c>
      <c r="G71" s="24" t="s">
        <v>107</v>
      </c>
      <c r="H71" s="34"/>
      <c r="I71" s="6"/>
    </row>
    <row r="72" spans="1:11">
      <c r="A72" s="9" t="s">
        <v>91</v>
      </c>
      <c r="B72" s="9"/>
      <c r="C72" s="10" t="s">
        <v>89</v>
      </c>
      <c r="D72" s="17">
        <f>39.83+23.79+248.57+12.84+10.4+4.47</f>
        <v>339.9</v>
      </c>
      <c r="E72" s="51" t="s">
        <v>52</v>
      </c>
      <c r="F72" s="29">
        <f>58</f>
        <v>58</v>
      </c>
      <c r="G72" s="24" t="s">
        <v>44</v>
      </c>
      <c r="H72" s="34">
        <v>122.41</v>
      </c>
      <c r="I72" s="6" t="s">
        <v>36</v>
      </c>
    </row>
    <row r="73" spans="1:11">
      <c r="A73" s="9"/>
      <c r="B73" s="9"/>
      <c r="C73" s="10"/>
      <c r="D73" s="17">
        <f>17.28+5.19+4.5+1.78+2.19+1.32+1.73+1.53+6.21+5.09+1.68</f>
        <v>48.500000000000007</v>
      </c>
      <c r="E73" s="18" t="s">
        <v>37</v>
      </c>
      <c r="F73" s="29">
        <v>116</v>
      </c>
      <c r="G73" s="24" t="s">
        <v>41</v>
      </c>
      <c r="H73" s="34"/>
      <c r="I73" s="6"/>
    </row>
    <row r="74" spans="1:11">
      <c r="A74" s="10"/>
      <c r="B74" s="14"/>
      <c r="C74" s="10"/>
      <c r="D74" s="19">
        <f>4.1+74.48</f>
        <v>78.58</v>
      </c>
      <c r="E74" s="6" t="s">
        <v>121</v>
      </c>
      <c r="F74" s="30">
        <v>14.2</v>
      </c>
      <c r="G74" s="25" t="s">
        <v>116</v>
      </c>
      <c r="H74" s="35"/>
      <c r="I74" s="2"/>
    </row>
    <row r="75" spans="1:11" ht="30">
      <c r="A75" s="10"/>
      <c r="B75" s="14"/>
      <c r="C75" s="9" t="s">
        <v>8</v>
      </c>
      <c r="D75" s="19"/>
      <c r="E75" s="6"/>
      <c r="F75" s="30"/>
      <c r="G75" s="25"/>
      <c r="H75" s="35">
        <v>7757</v>
      </c>
      <c r="I75" s="6" t="s">
        <v>93</v>
      </c>
    </row>
    <row r="76" spans="1:11">
      <c r="A76" s="10"/>
      <c r="B76" s="14"/>
      <c r="C76" s="9" t="s">
        <v>9</v>
      </c>
      <c r="D76" s="19"/>
      <c r="E76" s="6"/>
      <c r="F76" s="30"/>
      <c r="G76" s="25"/>
      <c r="H76" s="35">
        <f>486+839.92+540.36+1080.72</f>
        <v>2947</v>
      </c>
      <c r="I76" s="2" t="s">
        <v>132</v>
      </c>
    </row>
    <row r="77" spans="1:11">
      <c r="A77" s="12" t="s">
        <v>4</v>
      </c>
      <c r="B77" s="10"/>
      <c r="C77" s="10"/>
      <c r="D77" s="20">
        <f>SUM(D64:D76)</f>
        <v>1021.72</v>
      </c>
      <c r="E77" s="6"/>
      <c r="F77" s="31">
        <f>SUM(F64:F76)</f>
        <v>433.46999999999997</v>
      </c>
      <c r="G77" s="26"/>
      <c r="H77" s="36">
        <f>SUM(H64:H76)</f>
        <v>10946.279999999999</v>
      </c>
      <c r="I77" s="2"/>
    </row>
    <row r="78" spans="1:11" ht="15.75" thickBot="1">
      <c r="A78" s="13" t="s">
        <v>5</v>
      </c>
      <c r="B78" s="39">
        <f>SUM(D77+F77+H77)</f>
        <v>12401.47</v>
      </c>
      <c r="C78" s="38"/>
      <c r="D78" s="21"/>
      <c r="E78" s="22"/>
      <c r="F78" s="32"/>
      <c r="G78" s="27"/>
      <c r="H78" s="37"/>
      <c r="I78" s="3"/>
    </row>
    <row r="79" spans="1:11">
      <c r="A79" s="8" t="s">
        <v>95</v>
      </c>
      <c r="B79" s="8" t="s">
        <v>94</v>
      </c>
      <c r="C79" s="11" t="s">
        <v>84</v>
      </c>
      <c r="D79" s="15">
        <f>10+11.5+10.54+30</f>
        <v>62.04</v>
      </c>
      <c r="E79" s="40" t="s">
        <v>37</v>
      </c>
      <c r="F79" s="28">
        <f>2.5+2.5</f>
        <v>5</v>
      </c>
      <c r="G79" s="23" t="s">
        <v>107</v>
      </c>
      <c r="H79" s="33">
        <v>70</v>
      </c>
      <c r="I79" s="5" t="s">
        <v>36</v>
      </c>
    </row>
    <row r="80" spans="1:11">
      <c r="A80" s="9"/>
      <c r="B80" s="9"/>
      <c r="C80" s="10"/>
      <c r="D80" s="17">
        <f>12.6+4.5</f>
        <v>17.100000000000001</v>
      </c>
      <c r="E80" s="18" t="s">
        <v>114</v>
      </c>
      <c r="F80" s="29">
        <f>5.76*2</f>
        <v>11.52</v>
      </c>
      <c r="G80" s="24" t="s">
        <v>41</v>
      </c>
      <c r="H80" s="34"/>
      <c r="I80" s="6"/>
      <c r="J80" s="1" t="s">
        <v>371</v>
      </c>
      <c r="K80" s="87">
        <f>D79</f>
        <v>62.04</v>
      </c>
    </row>
    <row r="81" spans="1:11">
      <c r="A81" s="9"/>
      <c r="B81" s="9"/>
      <c r="C81" s="10"/>
      <c r="D81" s="17"/>
      <c r="E81" s="18"/>
      <c r="F81" s="29">
        <f>87+24.5</f>
        <v>111.5</v>
      </c>
      <c r="G81" s="24" t="s">
        <v>44</v>
      </c>
      <c r="H81" s="34"/>
      <c r="I81" s="6"/>
      <c r="J81" s="1" t="s">
        <v>372</v>
      </c>
      <c r="K81" s="87">
        <f>SUM(D80,D82)</f>
        <v>34.1</v>
      </c>
    </row>
    <row r="82" spans="1:11">
      <c r="A82" s="9"/>
      <c r="B82" s="9"/>
      <c r="C82" s="10" t="s">
        <v>86</v>
      </c>
      <c r="D82" s="17">
        <v>17</v>
      </c>
      <c r="E82" s="18" t="s">
        <v>108</v>
      </c>
      <c r="F82" s="29">
        <f>37.34+37.34</f>
        <v>74.680000000000007</v>
      </c>
      <c r="G82" s="24" t="s">
        <v>41</v>
      </c>
      <c r="H82" s="34"/>
      <c r="I82" s="6"/>
      <c r="J82" s="1" t="s">
        <v>376</v>
      </c>
    </row>
    <row r="83" spans="1:11">
      <c r="A83" s="10"/>
      <c r="B83" s="14"/>
      <c r="C83" s="10"/>
      <c r="D83" s="19"/>
      <c r="E83" s="6"/>
      <c r="F83" s="30">
        <f>4.9+4.8</f>
        <v>9.6999999999999993</v>
      </c>
      <c r="G83" s="25" t="s">
        <v>107</v>
      </c>
      <c r="H83" s="35"/>
      <c r="I83" s="2"/>
      <c r="J83" s="1" t="s">
        <v>373</v>
      </c>
      <c r="K83" s="88">
        <f>SUM(F79:F84)</f>
        <v>274.5</v>
      </c>
    </row>
    <row r="84" spans="1:11">
      <c r="A84" s="10"/>
      <c r="B84" s="14"/>
      <c r="C84" s="10"/>
      <c r="D84" s="19"/>
      <c r="E84" s="6"/>
      <c r="F84" s="30">
        <v>62.1</v>
      </c>
      <c r="G84" s="25" t="s">
        <v>44</v>
      </c>
      <c r="H84" s="35"/>
      <c r="I84" s="2"/>
      <c r="J84" s="1" t="s">
        <v>374</v>
      </c>
    </row>
    <row r="85" spans="1:11">
      <c r="A85" s="10"/>
      <c r="B85" s="14"/>
      <c r="C85" s="9" t="s">
        <v>8</v>
      </c>
      <c r="D85" s="19"/>
      <c r="E85" s="6"/>
      <c r="F85" s="30"/>
      <c r="G85" s="25"/>
      <c r="H85" s="35">
        <v>534.38</v>
      </c>
      <c r="I85" s="6" t="s">
        <v>63</v>
      </c>
      <c r="J85" s="1" t="s">
        <v>375</v>
      </c>
      <c r="K85" s="88">
        <f>H79</f>
        <v>70</v>
      </c>
    </row>
    <row r="86" spans="1:11">
      <c r="A86" s="10"/>
      <c r="B86" s="14"/>
      <c r="C86" s="9" t="s">
        <v>9</v>
      </c>
      <c r="D86" s="19"/>
      <c r="E86" s="6"/>
      <c r="F86" s="30"/>
      <c r="G86" s="25"/>
      <c r="H86" s="35">
        <f>545.98*2</f>
        <v>1091.96</v>
      </c>
      <c r="I86" s="6" t="s">
        <v>130</v>
      </c>
    </row>
    <row r="87" spans="1:11">
      <c r="A87" s="12" t="s">
        <v>4</v>
      </c>
      <c r="B87" s="10"/>
      <c r="C87" s="10"/>
      <c r="D87" s="20">
        <f>SUM(D79:D85)</f>
        <v>96.14</v>
      </c>
      <c r="E87" s="6"/>
      <c r="F87" s="31">
        <f>SUM(F79:F85)</f>
        <v>274.5</v>
      </c>
      <c r="G87" s="26"/>
      <c r="H87" s="36">
        <f>SUM(H79:H85)</f>
        <v>604.38</v>
      </c>
      <c r="I87" s="2"/>
    </row>
    <row r="88" spans="1:11" ht="15.75" thickBot="1">
      <c r="A88" s="13" t="s">
        <v>5</v>
      </c>
      <c r="B88" s="39">
        <f>SUM(D87+F87+H87)</f>
        <v>975.02</v>
      </c>
      <c r="C88" s="38"/>
      <c r="D88" s="21"/>
      <c r="E88" s="22"/>
      <c r="F88" s="32"/>
      <c r="G88" s="27"/>
      <c r="H88" s="37"/>
      <c r="I88" s="3"/>
    </row>
    <row r="89" spans="1:11">
      <c r="A89" s="8" t="s">
        <v>95</v>
      </c>
      <c r="B89" s="8" t="s">
        <v>118</v>
      </c>
      <c r="C89" s="11" t="s">
        <v>27</v>
      </c>
      <c r="D89" s="15">
        <f>9.76</f>
        <v>9.76</v>
      </c>
      <c r="E89" s="40" t="s">
        <v>37</v>
      </c>
      <c r="F89" s="28">
        <f>13.58+17.4+8.96</f>
        <v>39.94</v>
      </c>
      <c r="G89" s="23" t="s">
        <v>37</v>
      </c>
      <c r="H89" s="33"/>
      <c r="I89" s="5"/>
      <c r="J89" s="1" t="s">
        <v>371</v>
      </c>
      <c r="K89" s="87">
        <f>SUM(D89,F89,F91)</f>
        <v>90.05</v>
      </c>
    </row>
    <row r="90" spans="1:11">
      <c r="A90" s="9"/>
      <c r="B90" s="9"/>
      <c r="C90" s="10"/>
      <c r="D90" s="17">
        <v>18.22</v>
      </c>
      <c r="E90" s="18" t="s">
        <v>116</v>
      </c>
      <c r="F90" s="29">
        <v>11.62</v>
      </c>
      <c r="G90" s="24" t="s">
        <v>116</v>
      </c>
      <c r="H90" s="34"/>
      <c r="I90" s="6"/>
      <c r="J90" s="1" t="s">
        <v>372</v>
      </c>
      <c r="K90" s="87">
        <f>SUM(D90:D91,F90,F92)</f>
        <v>53.23</v>
      </c>
    </row>
    <row r="91" spans="1:11">
      <c r="A91" s="52">
        <v>41326</v>
      </c>
      <c r="B91" s="9"/>
      <c r="C91" s="10" t="s">
        <v>26</v>
      </c>
      <c r="D91" s="17">
        <f>13.15</f>
        <v>13.15</v>
      </c>
      <c r="E91" s="18" t="s">
        <v>51</v>
      </c>
      <c r="F91" s="29">
        <f>15.47+24.88</f>
        <v>40.35</v>
      </c>
      <c r="G91" s="24" t="s">
        <v>37</v>
      </c>
      <c r="H91" s="34">
        <f>576.99+489.86</f>
        <v>1066.8499999999999</v>
      </c>
      <c r="I91" s="6" t="s">
        <v>119</v>
      </c>
      <c r="J91" s="1" t="s">
        <v>376</v>
      </c>
    </row>
    <row r="92" spans="1:11">
      <c r="A92" s="10"/>
      <c r="B92" s="14"/>
      <c r="C92" s="9" t="s">
        <v>8</v>
      </c>
      <c r="D92" s="19"/>
      <c r="E92" s="6"/>
      <c r="F92" s="30">
        <f>10.24</f>
        <v>10.24</v>
      </c>
      <c r="G92" s="25" t="s">
        <v>116</v>
      </c>
      <c r="H92" s="35">
        <v>489.42</v>
      </c>
      <c r="I92" s="6" t="s">
        <v>133</v>
      </c>
      <c r="J92" s="1" t="s">
        <v>373</v>
      </c>
    </row>
    <row r="93" spans="1:11">
      <c r="A93" s="12" t="s">
        <v>4</v>
      </c>
      <c r="B93" s="10"/>
      <c r="C93" s="9"/>
      <c r="D93" s="20">
        <f>SUM(D89:D91)</f>
        <v>41.129999999999995</v>
      </c>
      <c r="E93" s="6"/>
      <c r="F93" s="31">
        <f>SUM(F89:F91)</f>
        <v>91.91</v>
      </c>
      <c r="G93" s="26"/>
      <c r="H93" s="36">
        <f>SUM(H89:H91)</f>
        <v>1066.8499999999999</v>
      </c>
      <c r="I93" s="2"/>
      <c r="J93" s="1" t="s">
        <v>374</v>
      </c>
    </row>
    <row r="94" spans="1:11" ht="15.75" thickBot="1">
      <c r="A94" s="13" t="s">
        <v>5</v>
      </c>
      <c r="B94" s="39">
        <f>SUM(D93+F93+H93)</f>
        <v>1199.8899999999999</v>
      </c>
      <c r="C94" s="38"/>
      <c r="D94" s="21"/>
      <c r="E94" s="22"/>
      <c r="F94" s="32"/>
      <c r="G94" s="27"/>
      <c r="H94" s="37"/>
      <c r="I94" s="3"/>
      <c r="J94" s="1" t="s">
        <v>375</v>
      </c>
    </row>
    <row r="95" spans="1:11">
      <c r="A95" s="44" t="s">
        <v>97</v>
      </c>
      <c r="B95" s="8" t="s">
        <v>96</v>
      </c>
      <c r="C95" s="11" t="s">
        <v>89</v>
      </c>
      <c r="D95" s="15">
        <f>29.76+11.43</f>
        <v>41.19</v>
      </c>
      <c r="E95" s="40" t="s">
        <v>53</v>
      </c>
      <c r="F95" s="28">
        <f>24</f>
        <v>24</v>
      </c>
      <c r="G95" s="23" t="s">
        <v>44</v>
      </c>
      <c r="H95" s="33">
        <v>863.11</v>
      </c>
      <c r="I95" s="5" t="s">
        <v>54</v>
      </c>
    </row>
    <row r="96" spans="1:11">
      <c r="A96" s="9"/>
      <c r="B96" s="9"/>
      <c r="C96" s="10"/>
      <c r="D96" s="17">
        <f>5.83+3.84</f>
        <v>9.67</v>
      </c>
      <c r="E96" s="18" t="s">
        <v>37</v>
      </c>
      <c r="F96" s="29">
        <v>116</v>
      </c>
      <c r="G96" s="24" t="s">
        <v>41</v>
      </c>
      <c r="H96" s="34"/>
      <c r="I96" s="6"/>
      <c r="J96" s="1" t="s">
        <v>371</v>
      </c>
      <c r="K96" s="87">
        <f>D96</f>
        <v>9.67</v>
      </c>
    </row>
    <row r="97" spans="1:11">
      <c r="A97" s="9"/>
      <c r="B97" s="9"/>
      <c r="C97" s="10" t="s">
        <v>71</v>
      </c>
      <c r="D97" s="17">
        <f>14.3+21.07</f>
        <v>35.370000000000005</v>
      </c>
      <c r="E97" s="18" t="s">
        <v>58</v>
      </c>
      <c r="F97" s="29">
        <f>1.6+5.2</f>
        <v>6.8000000000000007</v>
      </c>
      <c r="G97" s="24" t="s">
        <v>107</v>
      </c>
      <c r="H97" s="34"/>
      <c r="I97" s="6"/>
      <c r="J97" s="1" t="s">
        <v>372</v>
      </c>
      <c r="K97" s="87">
        <f>SUM(D95,D97)</f>
        <v>76.56</v>
      </c>
    </row>
    <row r="98" spans="1:11">
      <c r="A98" s="9"/>
      <c r="B98" s="9"/>
      <c r="C98" s="10"/>
      <c r="D98" s="17"/>
      <c r="E98" s="18"/>
      <c r="F98" s="29">
        <v>55</v>
      </c>
      <c r="G98" s="24" t="s">
        <v>44</v>
      </c>
      <c r="H98" s="34"/>
      <c r="I98" s="6"/>
      <c r="J98" s="1" t="s">
        <v>376</v>
      </c>
    </row>
    <row r="99" spans="1:11">
      <c r="A99" s="9"/>
      <c r="B99" s="9"/>
      <c r="C99" s="9"/>
      <c r="D99" s="17"/>
      <c r="E99" s="18"/>
      <c r="F99" s="29">
        <v>20.28</v>
      </c>
      <c r="G99" s="24" t="s">
        <v>41</v>
      </c>
      <c r="H99" s="34"/>
      <c r="I99" s="6"/>
      <c r="J99" s="1" t="s">
        <v>373</v>
      </c>
      <c r="K99">
        <f>SUM(F95:F99)</f>
        <v>222.08</v>
      </c>
    </row>
    <row r="100" spans="1:11">
      <c r="A100" s="10"/>
      <c r="B100" s="14"/>
      <c r="C100" s="9" t="s">
        <v>9</v>
      </c>
      <c r="D100" s="19"/>
      <c r="E100" s="6"/>
      <c r="F100" s="30"/>
      <c r="G100" s="25"/>
      <c r="H100" s="35">
        <f>2573.44</f>
        <v>2573.44</v>
      </c>
      <c r="I100" s="2" t="s">
        <v>130</v>
      </c>
      <c r="J100" s="1" t="s">
        <v>374</v>
      </c>
    </row>
    <row r="101" spans="1:11">
      <c r="A101" s="12" t="s">
        <v>4</v>
      </c>
      <c r="B101" s="10"/>
      <c r="C101" s="10"/>
      <c r="D101" s="20">
        <f>SUM(D95:D100)</f>
        <v>86.23</v>
      </c>
      <c r="E101" s="6"/>
      <c r="F101" s="31">
        <f>SUM(F95:F100)</f>
        <v>222.08</v>
      </c>
      <c r="G101" s="26"/>
      <c r="H101" s="36">
        <f>SUM(H95:H100)</f>
        <v>3436.55</v>
      </c>
      <c r="I101" s="2"/>
      <c r="J101" s="1" t="s">
        <v>375</v>
      </c>
    </row>
    <row r="102" spans="1:11" ht="15.75" thickBot="1">
      <c r="A102" s="13" t="s">
        <v>5</v>
      </c>
      <c r="B102" s="39">
        <f>SUM(D101+F101+H101)</f>
        <v>3744.86</v>
      </c>
      <c r="C102" s="38"/>
      <c r="D102" s="21"/>
      <c r="E102" s="22"/>
      <c r="F102" s="32"/>
      <c r="G102" s="27"/>
      <c r="H102" s="37"/>
      <c r="I102" s="3"/>
    </row>
    <row r="103" spans="1:11">
      <c r="A103" s="8" t="s">
        <v>101</v>
      </c>
      <c r="B103" s="8" t="s">
        <v>99</v>
      </c>
      <c r="C103" s="11" t="s">
        <v>32</v>
      </c>
      <c r="D103" s="15">
        <f>4.59</f>
        <v>4.59</v>
      </c>
      <c r="E103" s="40" t="s">
        <v>44</v>
      </c>
      <c r="F103" s="28">
        <v>40.29</v>
      </c>
      <c r="G103" s="23" t="s">
        <v>103</v>
      </c>
      <c r="H103" s="33">
        <v>547.47</v>
      </c>
      <c r="I103" s="5" t="s">
        <v>54</v>
      </c>
    </row>
    <row r="104" spans="1:11">
      <c r="A104" s="9"/>
      <c r="B104" s="9"/>
      <c r="C104" s="10"/>
      <c r="D104" s="17">
        <f>82.93+24.66</f>
        <v>107.59</v>
      </c>
      <c r="E104" s="18" t="s">
        <v>105</v>
      </c>
      <c r="F104" s="29">
        <f>10+11+10+11+90+11+10+10.5+11+11+11</f>
        <v>196.5</v>
      </c>
      <c r="G104" s="24" t="s">
        <v>104</v>
      </c>
      <c r="H104" s="34"/>
      <c r="I104" s="6"/>
      <c r="J104" s="1" t="s">
        <v>371</v>
      </c>
      <c r="K104" s="87">
        <f>D107+F104</f>
        <v>205.5</v>
      </c>
    </row>
    <row r="105" spans="1:11">
      <c r="A105" s="9"/>
      <c r="B105" s="9"/>
      <c r="C105" s="10"/>
      <c r="D105" s="17">
        <v>53.35</v>
      </c>
      <c r="E105" s="18" t="s">
        <v>106</v>
      </c>
      <c r="F105" s="29">
        <f>3.8+2.8</f>
        <v>6.6</v>
      </c>
      <c r="G105" s="24" t="s">
        <v>39</v>
      </c>
      <c r="H105" s="34"/>
      <c r="I105" s="6"/>
      <c r="J105" s="1" t="s">
        <v>372</v>
      </c>
      <c r="K105" s="87">
        <f>SUM(D104,D106,F105)</f>
        <v>146.69</v>
      </c>
    </row>
    <row r="106" spans="1:11">
      <c r="A106" s="9" t="s">
        <v>100</v>
      </c>
      <c r="B106" s="14"/>
      <c r="C106" s="9" t="s">
        <v>98</v>
      </c>
      <c r="D106" s="19">
        <f>4+3.5+25</f>
        <v>32.5</v>
      </c>
      <c r="E106" s="6" t="s">
        <v>135</v>
      </c>
      <c r="F106" s="30">
        <f>7.5+9.99</f>
        <v>17.490000000000002</v>
      </c>
      <c r="G106" s="25" t="s">
        <v>41</v>
      </c>
      <c r="H106" s="35">
        <v>617</v>
      </c>
      <c r="I106" s="2" t="s">
        <v>54</v>
      </c>
      <c r="J106" s="1" t="s">
        <v>376</v>
      </c>
      <c r="K106" s="88">
        <f>F103</f>
        <v>40.29</v>
      </c>
    </row>
    <row r="107" spans="1:11">
      <c r="A107" s="9"/>
      <c r="B107" s="14"/>
      <c r="C107" s="9"/>
      <c r="D107" s="19">
        <v>9</v>
      </c>
      <c r="E107" s="6" t="s">
        <v>37</v>
      </c>
      <c r="F107" s="30">
        <v>380</v>
      </c>
      <c r="G107" s="25" t="s">
        <v>131</v>
      </c>
      <c r="H107" s="35"/>
      <c r="I107" s="2"/>
      <c r="J107" s="1" t="s">
        <v>373</v>
      </c>
      <c r="K107" s="87">
        <f>D108+F106+F108</f>
        <v>175.49</v>
      </c>
    </row>
    <row r="108" spans="1:11">
      <c r="A108" s="10"/>
      <c r="B108" s="14"/>
      <c r="C108" s="10"/>
      <c r="D108" s="19">
        <f>120+10</f>
        <v>130</v>
      </c>
      <c r="E108" s="6" t="s">
        <v>136</v>
      </c>
      <c r="F108" s="30">
        <v>28</v>
      </c>
      <c r="G108" s="25" t="s">
        <v>44</v>
      </c>
      <c r="I108" s="2"/>
      <c r="J108" s="1" t="s">
        <v>374</v>
      </c>
      <c r="K108" s="87">
        <f>D105</f>
        <v>53.35</v>
      </c>
    </row>
    <row r="109" spans="1:11">
      <c r="A109" s="10"/>
      <c r="B109" s="14"/>
      <c r="C109" s="10" t="s">
        <v>8</v>
      </c>
      <c r="D109" s="19"/>
      <c r="E109" s="6"/>
      <c r="F109" s="30"/>
      <c r="G109" s="25"/>
      <c r="H109" s="34"/>
      <c r="I109" s="51"/>
      <c r="J109" s="1" t="s">
        <v>375</v>
      </c>
    </row>
    <row r="110" spans="1:11">
      <c r="A110" s="10"/>
      <c r="B110" s="14"/>
      <c r="C110" s="9" t="s">
        <v>9</v>
      </c>
      <c r="D110" s="19"/>
      <c r="E110" s="6"/>
      <c r="F110" s="30"/>
      <c r="G110" s="25"/>
      <c r="H110" s="35">
        <v>1385.77</v>
      </c>
      <c r="I110" s="2" t="s">
        <v>129</v>
      </c>
    </row>
    <row r="111" spans="1:11">
      <c r="A111" s="12" t="s">
        <v>4</v>
      </c>
      <c r="B111" s="10"/>
      <c r="C111" s="10"/>
      <c r="D111" s="20">
        <f>SUM(D103:D110)</f>
        <v>337.03</v>
      </c>
      <c r="E111" s="6"/>
      <c r="F111" s="31">
        <f>SUM(F103:F110)</f>
        <v>668.88</v>
      </c>
      <c r="G111" s="26"/>
      <c r="H111" s="36">
        <f>SUM(H103:H110)</f>
        <v>2550.2399999999998</v>
      </c>
      <c r="I111" s="2"/>
    </row>
    <row r="112" spans="1:11" ht="15.75" thickBot="1">
      <c r="A112" s="13" t="s">
        <v>5</v>
      </c>
      <c r="B112" s="39">
        <f>SUM(D111+F111+H111)</f>
        <v>3556.1499999999996</v>
      </c>
      <c r="C112" s="38"/>
      <c r="D112" s="21"/>
      <c r="E112" s="22"/>
      <c r="F112" s="32"/>
      <c r="G112" s="27"/>
      <c r="H112" s="37"/>
      <c r="I112" s="3"/>
    </row>
    <row r="113" spans="1:13" ht="15.75" thickBot="1"/>
    <row r="114" spans="1:13" ht="20.25" thickBot="1">
      <c r="A114" s="41" t="s">
        <v>10</v>
      </c>
      <c r="B114" s="42">
        <f>SUM(B16+B24+B30+B39+B48+B78+B88+B102+B112)</f>
        <v>28274.17</v>
      </c>
      <c r="J114" s="1" t="s">
        <v>371</v>
      </c>
      <c r="K114" s="87">
        <f>SUM(K3,K18,K25,K32,K49,K56,K65,K80,K89,K96,K104)</f>
        <v>1331.6000000000001</v>
      </c>
    </row>
    <row r="115" spans="1:13">
      <c r="J115" s="1" t="s">
        <v>372</v>
      </c>
      <c r="K115" s="87">
        <f>SUM(K4,K12,K19,K26,K33,K42,K50,K57,K66,K81,K90,K97,K105)</f>
        <v>4378.47</v>
      </c>
    </row>
    <row r="116" spans="1:13">
      <c r="A116" s="45"/>
      <c r="B116" s="43"/>
      <c r="C116" s="43"/>
      <c r="D116" s="47"/>
      <c r="E116" s="47"/>
      <c r="F116" s="46"/>
      <c r="G116" s="48"/>
      <c r="H116" s="43"/>
      <c r="I116" s="46"/>
      <c r="J116" s="1" t="s">
        <v>376</v>
      </c>
      <c r="K116" s="89">
        <f>SUM(K5,K20,K51,K67,K106)</f>
        <v>269.66000000000003</v>
      </c>
      <c r="L116" s="50"/>
      <c r="M116" s="50"/>
    </row>
    <row r="117" spans="1:13">
      <c r="J117" s="1" t="s">
        <v>373</v>
      </c>
      <c r="K117" s="90">
        <f>SUM(K14,K35,K44,K52,K59,K68,K83,K99,K107)</f>
        <v>1434.01</v>
      </c>
    </row>
    <row r="118" spans="1:13">
      <c r="J118" s="1" t="s">
        <v>374</v>
      </c>
      <c r="K118" s="87">
        <f>SUM(K15,K108)</f>
        <v>88.25</v>
      </c>
    </row>
    <row r="119" spans="1:13">
      <c r="J119" s="1" t="s">
        <v>375</v>
      </c>
      <c r="K119" s="88">
        <f>SUM(K8,K23,K30,K37,K54,K70,K85)</f>
        <v>1397.91</v>
      </c>
    </row>
    <row r="120" spans="1:13">
      <c r="J120" s="1" t="s">
        <v>378</v>
      </c>
      <c r="K120" s="87">
        <f>SUM(K114:K119)</f>
        <v>8899.9000000000015</v>
      </c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opLeftCell="B52" workbookViewId="0">
      <selection activeCell="K36" sqref="K36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570312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 ht="30">
      <c r="A2" s="8" t="s">
        <v>137</v>
      </c>
      <c r="B2" s="54" t="s">
        <v>163</v>
      </c>
      <c r="C2" s="8" t="s">
        <v>18</v>
      </c>
      <c r="D2" s="59">
        <f>122.25+102.32</f>
        <v>224.57</v>
      </c>
      <c r="E2" s="16" t="s">
        <v>114</v>
      </c>
      <c r="F2" s="57">
        <f>27+15.3</f>
        <v>42.3</v>
      </c>
      <c r="G2" s="23" t="s">
        <v>37</v>
      </c>
      <c r="H2" s="60">
        <f>1216.64+33.51</f>
        <v>1250.1500000000001</v>
      </c>
      <c r="I2" s="61" t="s">
        <v>37</v>
      </c>
    </row>
    <row r="3" spans="1:11" s="1" customFormat="1">
      <c r="A3" s="10"/>
      <c r="B3" s="43"/>
      <c r="C3" s="9"/>
      <c r="D3" s="55">
        <f>17</f>
        <v>17</v>
      </c>
      <c r="E3" s="18" t="s">
        <v>37</v>
      </c>
      <c r="F3" s="58">
        <v>11</v>
      </c>
      <c r="G3" s="24" t="s">
        <v>159</v>
      </c>
      <c r="H3" s="34"/>
      <c r="I3" s="6"/>
      <c r="J3" s="1" t="s">
        <v>371</v>
      </c>
      <c r="K3" s="85">
        <f>SUM(D3,D6,D8,F2,H2)</f>
        <v>1570.45</v>
      </c>
    </row>
    <row r="4" spans="1:11" s="1" customFormat="1">
      <c r="A4" s="10"/>
      <c r="B4" s="43"/>
      <c r="C4" s="9"/>
      <c r="D4" s="65">
        <f>41.83+29.36+130.98+38.64+4.48</f>
        <v>245.29</v>
      </c>
      <c r="E4" s="18" t="s">
        <v>114</v>
      </c>
      <c r="F4" s="58"/>
      <c r="G4" s="24"/>
      <c r="H4" s="66">
        <v>92.7</v>
      </c>
      <c r="I4" s="6" t="s">
        <v>54</v>
      </c>
      <c r="J4" s="1" t="s">
        <v>372</v>
      </c>
      <c r="K4" s="85">
        <f>SUM(D2,D4,D7,D9)</f>
        <v>1762.3600000000001</v>
      </c>
    </row>
    <row r="5" spans="1:11" s="1" customFormat="1">
      <c r="A5" s="10"/>
      <c r="B5" s="43"/>
      <c r="C5" s="9"/>
      <c r="D5" s="65">
        <f>1.53+3.07+7.68</f>
        <v>12.28</v>
      </c>
      <c r="E5" s="18" t="s">
        <v>44</v>
      </c>
      <c r="F5" s="58"/>
      <c r="G5" s="24"/>
      <c r="H5" s="34"/>
      <c r="I5" s="6"/>
      <c r="J5" s="1" t="s">
        <v>376</v>
      </c>
      <c r="K5" s="85">
        <f>D11</f>
        <v>415</v>
      </c>
    </row>
    <row r="6" spans="1:11" s="1" customFormat="1">
      <c r="A6" s="9"/>
      <c r="B6" s="9"/>
      <c r="C6" s="10" t="s">
        <v>21</v>
      </c>
      <c r="D6" s="55">
        <f>17+42+20+42</f>
        <v>121</v>
      </c>
      <c r="E6" s="18" t="s">
        <v>37</v>
      </c>
      <c r="F6" s="29"/>
      <c r="G6" s="24"/>
      <c r="H6" s="56">
        <f>10+2350</f>
        <v>2360</v>
      </c>
      <c r="I6" s="6" t="s">
        <v>54</v>
      </c>
      <c r="J6" s="1" t="s">
        <v>373</v>
      </c>
      <c r="K6" s="85">
        <f>D5+D10</f>
        <v>17.28</v>
      </c>
    </row>
    <row r="7" spans="1:11" s="1" customFormat="1">
      <c r="A7" s="9"/>
      <c r="B7" s="9"/>
      <c r="C7" s="10"/>
      <c r="D7" s="55">
        <f>90</f>
        <v>90</v>
      </c>
      <c r="E7" s="18" t="s">
        <v>116</v>
      </c>
      <c r="F7" s="29"/>
      <c r="G7" s="24"/>
      <c r="H7" s="34"/>
      <c r="I7" s="6"/>
      <c r="J7" s="1" t="s">
        <v>374</v>
      </c>
      <c r="K7" s="86">
        <f>F3</f>
        <v>11</v>
      </c>
    </row>
    <row r="8" spans="1:11" s="1" customFormat="1">
      <c r="A8" s="9"/>
      <c r="B8" s="9"/>
      <c r="C8" s="10"/>
      <c r="D8" s="65">
        <f>140</f>
        <v>140</v>
      </c>
      <c r="E8" s="18" t="s">
        <v>37</v>
      </c>
      <c r="F8" s="29"/>
      <c r="G8" s="24"/>
      <c r="H8" s="66">
        <v>3500</v>
      </c>
      <c r="I8" s="6" t="s">
        <v>54</v>
      </c>
      <c r="J8" s="1" t="s">
        <v>375</v>
      </c>
    </row>
    <row r="9" spans="1:11" s="1" customFormat="1">
      <c r="A9" s="9"/>
      <c r="B9" s="9"/>
      <c r="C9" s="10"/>
      <c r="D9" s="65">
        <f>8+43+12+21+148+47+18+10+70+10+31+17+1.5+740+26</f>
        <v>1202.5</v>
      </c>
      <c r="E9" s="18" t="s">
        <v>114</v>
      </c>
      <c r="F9" s="29"/>
      <c r="G9" s="24"/>
      <c r="H9" s="34"/>
      <c r="I9" s="6"/>
    </row>
    <row r="10" spans="1:11" s="1" customFormat="1">
      <c r="A10" s="9"/>
      <c r="B10" s="9"/>
      <c r="C10" s="10"/>
      <c r="D10" s="65">
        <v>5</v>
      </c>
      <c r="E10" s="18" t="s">
        <v>44</v>
      </c>
      <c r="F10" s="29"/>
      <c r="G10" s="24"/>
      <c r="H10" s="34"/>
      <c r="I10" s="6"/>
    </row>
    <row r="11" spans="1:11" s="1" customFormat="1">
      <c r="A11" s="9"/>
      <c r="B11" s="9"/>
      <c r="C11" s="10"/>
      <c r="D11" s="65">
        <v>415</v>
      </c>
      <c r="E11" s="18" t="s">
        <v>60</v>
      </c>
      <c r="F11" s="29"/>
      <c r="G11" s="24"/>
      <c r="H11" s="34"/>
      <c r="I11" s="6"/>
    </row>
    <row r="12" spans="1:11" s="1" customFormat="1">
      <c r="A12" s="9"/>
      <c r="B12" s="9"/>
      <c r="C12" s="10" t="s">
        <v>8</v>
      </c>
      <c r="D12" s="17"/>
      <c r="E12" s="18"/>
      <c r="F12" s="29"/>
      <c r="G12" s="24"/>
      <c r="H12" s="34"/>
      <c r="I12" s="6"/>
    </row>
    <row r="13" spans="1:11" s="1" customFormat="1">
      <c r="A13" s="9"/>
      <c r="B13" s="9"/>
      <c r="C13" s="9" t="s">
        <v>140</v>
      </c>
      <c r="D13" s="17"/>
      <c r="E13" s="18"/>
      <c r="F13" s="29"/>
      <c r="G13" s="24"/>
      <c r="H13" s="34"/>
      <c r="I13" s="2"/>
      <c r="K13" s="4"/>
    </row>
    <row r="14" spans="1:11" s="1" customFormat="1">
      <c r="A14" s="12" t="s">
        <v>4</v>
      </c>
      <c r="B14" s="10"/>
      <c r="C14" s="10"/>
      <c r="D14" s="20">
        <f>SUM(D2:D13)</f>
        <v>2472.64</v>
      </c>
      <c r="E14" s="6"/>
      <c r="F14" s="31">
        <f>SUM(F2:F13)</f>
        <v>53.3</v>
      </c>
      <c r="G14" s="26"/>
      <c r="H14" s="36">
        <f>SUM(H2:H13)</f>
        <v>7202.85</v>
      </c>
      <c r="I14" s="2"/>
    </row>
    <row r="15" spans="1:11" s="1" customFormat="1" ht="15.75" thickBot="1">
      <c r="A15" s="13" t="s">
        <v>5</v>
      </c>
      <c r="B15" s="39">
        <f>SUM(D14+F14+H14)</f>
        <v>9728.7900000000009</v>
      </c>
      <c r="C15" s="38"/>
      <c r="D15" s="21"/>
      <c r="E15" s="22"/>
      <c r="F15" s="32"/>
      <c r="G15" s="27"/>
      <c r="H15" s="37"/>
      <c r="I15" s="3"/>
    </row>
    <row r="16" spans="1:11" s="1" customFormat="1">
      <c r="A16" s="10" t="s">
        <v>138</v>
      </c>
      <c r="B16" s="8" t="s">
        <v>142</v>
      </c>
      <c r="C16" s="8" t="s">
        <v>30</v>
      </c>
      <c r="D16" s="15">
        <f>5.33+14.65+14.51+13.05</f>
        <v>47.540000000000006</v>
      </c>
      <c r="E16" s="16" t="s">
        <v>37</v>
      </c>
      <c r="F16" s="28">
        <f>8.72*2</f>
        <v>17.440000000000001</v>
      </c>
      <c r="G16" s="23" t="s">
        <v>41</v>
      </c>
      <c r="H16" s="33">
        <v>631.54</v>
      </c>
      <c r="I16" s="5" t="s">
        <v>36</v>
      </c>
    </row>
    <row r="17" spans="1:11" s="1" customFormat="1">
      <c r="A17" s="10"/>
      <c r="B17" s="48"/>
      <c r="C17" s="9"/>
      <c r="D17" s="17">
        <f>51.49+1067.46</f>
        <v>1118.95</v>
      </c>
      <c r="E17" s="18" t="s">
        <v>114</v>
      </c>
      <c r="F17" s="29">
        <f>43.9+2.7</f>
        <v>46.6</v>
      </c>
      <c r="G17" s="24" t="s">
        <v>120</v>
      </c>
      <c r="H17" s="34"/>
      <c r="I17" s="6"/>
    </row>
    <row r="18" spans="1:11" s="1" customFormat="1">
      <c r="A18" s="10"/>
      <c r="B18" s="48"/>
      <c r="C18" s="9"/>
      <c r="D18" s="17"/>
      <c r="E18" s="18"/>
      <c r="F18" s="29">
        <v>10</v>
      </c>
      <c r="G18" s="24" t="s">
        <v>35</v>
      </c>
      <c r="H18" s="34"/>
      <c r="I18" s="6"/>
      <c r="J18" s="1" t="s">
        <v>371</v>
      </c>
      <c r="K18" s="85">
        <f>SUM(D16,D21,D26,F23,F27)</f>
        <v>143.14000000000001</v>
      </c>
    </row>
    <row r="19" spans="1:11" s="1" customFormat="1">
      <c r="A19" s="10"/>
      <c r="B19" s="48"/>
      <c r="C19" s="9"/>
      <c r="D19" s="17"/>
      <c r="E19" s="18"/>
      <c r="F19" s="29">
        <v>6</v>
      </c>
      <c r="G19" s="24" t="s">
        <v>116</v>
      </c>
      <c r="H19" s="34"/>
      <c r="I19" s="6"/>
      <c r="J19" s="1" t="s">
        <v>372</v>
      </c>
      <c r="K19" s="85">
        <f>SUM(D17,D20,D25,D27,F19,F21,F24,F28)</f>
        <v>1466.02</v>
      </c>
    </row>
    <row r="20" spans="1:11" s="1" customFormat="1">
      <c r="A20" s="10"/>
      <c r="B20" s="48"/>
      <c r="C20" s="9" t="s">
        <v>89</v>
      </c>
      <c r="D20" s="17">
        <f>46.05+5.26</f>
        <v>51.309999999999995</v>
      </c>
      <c r="E20" s="18" t="s">
        <v>114</v>
      </c>
      <c r="F20" s="29">
        <v>87</v>
      </c>
      <c r="G20" s="24" t="s">
        <v>44</v>
      </c>
      <c r="H20" s="34">
        <f>198.78</f>
        <v>198.78</v>
      </c>
      <c r="I20" s="6" t="s">
        <v>64</v>
      </c>
      <c r="J20" s="1" t="s">
        <v>376</v>
      </c>
      <c r="K20" s="86">
        <f>F18</f>
        <v>10</v>
      </c>
    </row>
    <row r="21" spans="1:11" s="1" customFormat="1">
      <c r="A21" s="10"/>
      <c r="B21" s="48"/>
      <c r="C21" s="9"/>
      <c r="D21" s="17">
        <f>5.54+5.75</f>
        <v>11.29</v>
      </c>
      <c r="E21" s="18" t="s">
        <v>37</v>
      </c>
      <c r="F21" s="29">
        <v>6.5</v>
      </c>
      <c r="G21" s="24" t="s">
        <v>116</v>
      </c>
      <c r="H21" s="34"/>
      <c r="I21" s="6"/>
      <c r="J21" s="1" t="s">
        <v>373</v>
      </c>
      <c r="K21" s="86">
        <f>F16+F17+F20+F22</f>
        <v>267.04000000000002</v>
      </c>
    </row>
    <row r="22" spans="1:11" s="1" customFormat="1">
      <c r="A22" s="10"/>
      <c r="B22" s="48"/>
      <c r="C22" s="9"/>
      <c r="D22" s="17"/>
      <c r="E22" s="18"/>
      <c r="F22" s="29">
        <f>116</f>
        <v>116</v>
      </c>
      <c r="G22" s="24" t="s">
        <v>41</v>
      </c>
      <c r="H22" s="34"/>
      <c r="I22" s="6"/>
      <c r="J22" s="1" t="s">
        <v>374</v>
      </c>
    </row>
    <row r="23" spans="1:11" s="1" customFormat="1">
      <c r="A23" s="10"/>
      <c r="B23" s="48"/>
      <c r="C23" s="9" t="s">
        <v>26</v>
      </c>
      <c r="D23" s="17"/>
      <c r="E23" s="18"/>
      <c r="F23" s="29">
        <f>19+18</f>
        <v>37</v>
      </c>
      <c r="G23" s="24" t="s">
        <v>37</v>
      </c>
      <c r="H23" s="34">
        <v>22.57</v>
      </c>
      <c r="I23" s="6" t="s">
        <v>36</v>
      </c>
      <c r="J23" s="1" t="s">
        <v>375</v>
      </c>
      <c r="K23" s="86">
        <f>SUM(H16,H20,H23,H25,H27)</f>
        <v>1044.8599999999999</v>
      </c>
    </row>
    <row r="24" spans="1:11" s="1" customFormat="1">
      <c r="A24" s="10"/>
      <c r="B24" s="48"/>
      <c r="C24" s="9"/>
      <c r="D24" s="17"/>
      <c r="E24" s="18"/>
      <c r="F24" s="29">
        <v>14</v>
      </c>
      <c r="G24" s="24" t="s">
        <v>116</v>
      </c>
      <c r="H24" s="34"/>
      <c r="I24" s="6"/>
    </row>
    <row r="25" spans="1:11" s="1" customFormat="1">
      <c r="A25" s="10"/>
      <c r="B25" s="48"/>
      <c r="C25" s="9" t="s">
        <v>32</v>
      </c>
      <c r="D25" s="17">
        <v>197</v>
      </c>
      <c r="E25" s="18" t="s">
        <v>53</v>
      </c>
      <c r="F25" s="29"/>
      <c r="G25" s="24"/>
      <c r="H25" s="34">
        <v>140.01</v>
      </c>
      <c r="I25" s="6" t="s">
        <v>36</v>
      </c>
    </row>
    <row r="26" spans="1:11" s="1" customFormat="1">
      <c r="A26" s="10"/>
      <c r="B26" s="48"/>
      <c r="C26" s="9"/>
      <c r="D26" s="17">
        <v>17</v>
      </c>
      <c r="E26" s="18" t="s">
        <v>37</v>
      </c>
      <c r="F26" s="29"/>
      <c r="G26" s="24"/>
      <c r="H26" s="34"/>
      <c r="I26" s="6"/>
    </row>
    <row r="27" spans="1:11" s="1" customFormat="1">
      <c r="A27" s="10" t="s">
        <v>139</v>
      </c>
      <c r="B27" s="48"/>
      <c r="C27" s="9" t="s">
        <v>27</v>
      </c>
      <c r="D27" s="17">
        <f>46.43</f>
        <v>46.43</v>
      </c>
      <c r="E27" s="18" t="s">
        <v>116</v>
      </c>
      <c r="F27" s="29">
        <f>12.25+18.06</f>
        <v>30.31</v>
      </c>
      <c r="G27" s="24" t="s">
        <v>37</v>
      </c>
      <c r="H27" s="34">
        <f>51.96</f>
        <v>51.96</v>
      </c>
      <c r="I27" s="6" t="s">
        <v>36</v>
      </c>
    </row>
    <row r="28" spans="1:11" s="1" customFormat="1">
      <c r="A28" s="10"/>
      <c r="B28" s="48"/>
      <c r="C28" s="9"/>
      <c r="D28" s="17"/>
      <c r="E28" s="18"/>
      <c r="F28" s="29">
        <v>25.83</v>
      </c>
      <c r="G28" s="24" t="s">
        <v>116</v>
      </c>
      <c r="H28" s="34"/>
      <c r="I28" s="6"/>
    </row>
    <row r="29" spans="1:11" s="1" customFormat="1">
      <c r="A29" s="10"/>
      <c r="B29" s="43"/>
      <c r="C29" s="10" t="s">
        <v>8</v>
      </c>
      <c r="D29" s="17"/>
      <c r="E29" s="18"/>
      <c r="F29" s="29"/>
      <c r="G29" s="24"/>
      <c r="H29" s="34"/>
      <c r="I29" s="6"/>
    </row>
    <row r="30" spans="1:11" s="1" customFormat="1">
      <c r="A30" s="9"/>
      <c r="B30" s="9"/>
      <c r="C30" s="9" t="s">
        <v>140</v>
      </c>
      <c r="D30" s="17"/>
      <c r="E30" s="18"/>
      <c r="F30" s="29"/>
      <c r="G30" s="24"/>
      <c r="H30" s="34"/>
      <c r="I30" s="2"/>
      <c r="K30" s="4"/>
    </row>
    <row r="31" spans="1:11" s="1" customFormat="1">
      <c r="A31" s="12" t="s">
        <v>4</v>
      </c>
      <c r="B31" s="10"/>
      <c r="C31" s="10"/>
      <c r="D31" s="20">
        <f>SUM(D16:D30)</f>
        <v>1489.52</v>
      </c>
      <c r="E31" s="6"/>
      <c r="F31" s="31">
        <f>SUM(F16:F30)</f>
        <v>396.68</v>
      </c>
      <c r="G31" s="26"/>
      <c r="H31" s="36">
        <f>SUM(H16:H30)</f>
        <v>1044.8599999999999</v>
      </c>
      <c r="I31" s="2"/>
    </row>
    <row r="32" spans="1:11" s="1" customFormat="1" ht="15.75" thickBot="1">
      <c r="A32" s="13" t="s">
        <v>5</v>
      </c>
      <c r="B32" s="39">
        <f>SUM(D31+F31+H31)</f>
        <v>2931.06</v>
      </c>
      <c r="C32" s="38"/>
      <c r="D32" s="21"/>
      <c r="E32" s="22"/>
      <c r="F32" s="32"/>
      <c r="G32" s="27"/>
      <c r="H32" s="37"/>
      <c r="I32" s="3"/>
    </row>
    <row r="33" spans="1:10">
      <c r="A33" s="8" t="s">
        <v>144</v>
      </c>
      <c r="B33" s="8" t="s">
        <v>145</v>
      </c>
      <c r="C33" s="11" t="s">
        <v>84</v>
      </c>
      <c r="D33" s="15">
        <v>13.3</v>
      </c>
      <c r="E33" s="40" t="s">
        <v>116</v>
      </c>
      <c r="F33" s="28">
        <f>22.5+25.4</f>
        <v>47.9</v>
      </c>
      <c r="G33" s="23" t="s">
        <v>114</v>
      </c>
      <c r="H33" s="33">
        <v>250.34</v>
      </c>
      <c r="I33" s="5" t="s">
        <v>54</v>
      </c>
    </row>
    <row r="34" spans="1:10">
      <c r="A34" s="9"/>
      <c r="B34" s="9"/>
      <c r="C34" s="10"/>
      <c r="D34" s="17"/>
      <c r="E34" s="51"/>
      <c r="F34" s="29">
        <f>24.5+2.5+28+2.5</f>
        <v>57.5</v>
      </c>
      <c r="G34" s="24" t="s">
        <v>120</v>
      </c>
      <c r="H34" s="34"/>
      <c r="I34" s="6"/>
      <c r="J34" s="1" t="s">
        <v>371</v>
      </c>
    </row>
    <row r="35" spans="1:10">
      <c r="A35" s="9"/>
      <c r="B35" s="9"/>
      <c r="C35" s="10"/>
      <c r="D35" s="17"/>
      <c r="E35" s="51"/>
      <c r="F35" s="29">
        <f>7.13*2</f>
        <v>14.26</v>
      </c>
      <c r="G35" s="24" t="s">
        <v>41</v>
      </c>
      <c r="H35" s="34"/>
      <c r="I35" s="6"/>
      <c r="J35" s="1" t="s">
        <v>372</v>
      </c>
    </row>
    <row r="36" spans="1:10">
      <c r="A36" s="9"/>
      <c r="B36" s="9"/>
      <c r="C36" s="10"/>
      <c r="D36" s="17"/>
      <c r="E36" s="18"/>
      <c r="F36" s="29">
        <v>13.8</v>
      </c>
      <c r="G36" s="24" t="s">
        <v>35</v>
      </c>
      <c r="H36" s="34"/>
      <c r="I36" s="6"/>
      <c r="J36" s="1" t="s">
        <v>376</v>
      </c>
    </row>
    <row r="37" spans="1:10">
      <c r="A37" s="9"/>
      <c r="B37" s="9"/>
      <c r="C37" s="10" t="s">
        <v>71</v>
      </c>
      <c r="D37" s="17">
        <f>3.98+44.39</f>
        <v>48.37</v>
      </c>
      <c r="E37" s="18" t="s">
        <v>114</v>
      </c>
      <c r="F37" s="29">
        <f>38+2.7+2.7</f>
        <v>43.400000000000006</v>
      </c>
      <c r="G37" s="24" t="s">
        <v>120</v>
      </c>
      <c r="H37" s="34"/>
      <c r="I37" s="6"/>
      <c r="J37" s="1" t="s">
        <v>373</v>
      </c>
    </row>
    <row r="38" spans="1:10">
      <c r="A38" s="9"/>
      <c r="B38" s="9"/>
      <c r="C38" s="10"/>
      <c r="D38" s="17"/>
      <c r="E38" s="18"/>
      <c r="F38" s="29">
        <v>20.28</v>
      </c>
      <c r="G38" s="24" t="s">
        <v>41</v>
      </c>
      <c r="H38" s="34"/>
      <c r="I38" s="6"/>
      <c r="J38" s="1" t="s">
        <v>374</v>
      </c>
    </row>
    <row r="39" spans="1:10">
      <c r="A39" s="10"/>
      <c r="B39" s="14"/>
      <c r="C39" s="10" t="s">
        <v>8</v>
      </c>
      <c r="D39" s="19"/>
      <c r="E39" s="6"/>
      <c r="F39" s="30"/>
      <c r="G39" s="25"/>
      <c r="H39" s="35"/>
      <c r="I39" s="6"/>
      <c r="J39" s="1" t="s">
        <v>375</v>
      </c>
    </row>
    <row r="40" spans="1:10">
      <c r="A40" s="10"/>
      <c r="B40" s="14"/>
      <c r="C40" s="9" t="s">
        <v>140</v>
      </c>
      <c r="D40" s="19"/>
      <c r="E40" s="6"/>
      <c r="F40" s="30"/>
      <c r="G40" s="25"/>
      <c r="H40" s="35"/>
      <c r="I40" s="2"/>
    </row>
    <row r="41" spans="1:10">
      <c r="A41" s="12" t="s">
        <v>4</v>
      </c>
      <c r="B41" s="10"/>
      <c r="C41" s="10"/>
      <c r="D41" s="20">
        <f>SUM(D33:D40)</f>
        <v>61.67</v>
      </c>
      <c r="E41" s="6"/>
      <c r="F41" s="31">
        <f>SUM(F33:F40)</f>
        <v>197.14000000000001</v>
      </c>
      <c r="G41" s="26"/>
      <c r="H41" s="36">
        <f>SUM(H33:H40)</f>
        <v>250.34</v>
      </c>
      <c r="I41" s="2"/>
    </row>
    <row r="42" spans="1:10" ht="15.75" thickBot="1">
      <c r="A42" s="13" t="s">
        <v>5</v>
      </c>
      <c r="B42" s="39">
        <f>SUM(D41+F41+H41)</f>
        <v>509.15</v>
      </c>
      <c r="C42" s="38"/>
      <c r="D42" s="21"/>
      <c r="E42" s="22"/>
      <c r="F42" s="32"/>
      <c r="G42" s="27"/>
      <c r="H42" s="37"/>
      <c r="I42" s="3"/>
    </row>
    <row r="43" spans="1:10">
      <c r="A43" s="8" t="s">
        <v>141</v>
      </c>
      <c r="B43" s="8" t="s">
        <v>143</v>
      </c>
      <c r="C43" s="11" t="s">
        <v>84</v>
      </c>
      <c r="D43" s="15">
        <f>8.71+64.5+43.59+8.38+4.36+153.78+11.25+2.95</f>
        <v>297.52000000000004</v>
      </c>
      <c r="E43" s="40" t="s">
        <v>114</v>
      </c>
      <c r="F43" s="28">
        <f>2.5+36+1.8+24.5</f>
        <v>64.8</v>
      </c>
      <c r="G43" s="23" t="s">
        <v>120</v>
      </c>
      <c r="H43" s="33">
        <f>35.47</f>
        <v>35.47</v>
      </c>
      <c r="I43" s="5" t="s">
        <v>64</v>
      </c>
    </row>
    <row r="44" spans="1:10">
      <c r="A44" s="9"/>
      <c r="B44" s="9"/>
      <c r="C44" s="10"/>
      <c r="D44" s="17">
        <f>24.57+28.68+23.77+9.72+23.61+22.95+17.67+149.15</f>
        <v>300.12</v>
      </c>
      <c r="E44" s="18" t="s">
        <v>37</v>
      </c>
      <c r="F44" s="29">
        <f>4.75*2</f>
        <v>9.5</v>
      </c>
      <c r="G44" s="24" t="s">
        <v>41</v>
      </c>
      <c r="H44" s="34"/>
      <c r="I44" s="6"/>
    </row>
    <row r="45" spans="1:10">
      <c r="A45" s="9"/>
      <c r="B45" s="9"/>
      <c r="C45" s="10"/>
      <c r="D45" s="17">
        <v>3.43</v>
      </c>
      <c r="E45" s="18" t="s">
        <v>35</v>
      </c>
      <c r="F45" s="29">
        <v>10</v>
      </c>
      <c r="G45" s="24" t="s">
        <v>35</v>
      </c>
      <c r="H45" s="34"/>
      <c r="I45" s="6"/>
    </row>
    <row r="46" spans="1:10">
      <c r="A46" s="9"/>
      <c r="B46" s="9"/>
      <c r="C46" s="10"/>
      <c r="D46" s="17"/>
      <c r="E46" s="18"/>
      <c r="F46" s="29">
        <v>7.08</v>
      </c>
      <c r="G46" s="24" t="s">
        <v>116</v>
      </c>
      <c r="H46" s="34"/>
      <c r="I46" s="6"/>
    </row>
    <row r="47" spans="1:10">
      <c r="A47" s="9"/>
      <c r="B47" s="9"/>
      <c r="C47" s="10" t="s">
        <v>21</v>
      </c>
      <c r="D47" s="17">
        <f>15+3.5+12</f>
        <v>30.5</v>
      </c>
      <c r="E47" s="18" t="s">
        <v>114</v>
      </c>
      <c r="F47" s="29"/>
      <c r="G47" s="24"/>
      <c r="H47" s="34">
        <v>300</v>
      </c>
      <c r="I47" s="6" t="s">
        <v>54</v>
      </c>
    </row>
    <row r="48" spans="1:10">
      <c r="A48" s="10"/>
      <c r="B48" s="14"/>
      <c r="C48" s="10"/>
      <c r="D48" s="19">
        <f>125+25+25+20+7.5+25+75+18+14</f>
        <v>334.5</v>
      </c>
      <c r="E48" s="6" t="s">
        <v>37</v>
      </c>
      <c r="F48" s="30"/>
      <c r="G48" s="25"/>
      <c r="H48" s="34"/>
      <c r="I48" s="6"/>
    </row>
    <row r="49" spans="1:9">
      <c r="A49" s="10"/>
      <c r="B49" s="14"/>
      <c r="C49" s="10" t="s">
        <v>8</v>
      </c>
      <c r="D49" s="19"/>
      <c r="E49" s="6"/>
      <c r="F49" s="30"/>
      <c r="G49" s="25"/>
      <c r="H49" s="35"/>
      <c r="I49" s="6"/>
    </row>
    <row r="50" spans="1:9">
      <c r="A50" s="10"/>
      <c r="B50" s="14"/>
      <c r="C50" s="9" t="s">
        <v>140</v>
      </c>
      <c r="D50" s="19"/>
      <c r="E50" s="6"/>
      <c r="F50" s="30"/>
      <c r="G50" s="25"/>
      <c r="H50" s="35"/>
      <c r="I50" s="2"/>
    </row>
    <row r="51" spans="1:9">
      <c r="A51" s="12" t="s">
        <v>4</v>
      </c>
      <c r="B51" s="10"/>
      <c r="C51" s="10"/>
      <c r="D51" s="20">
        <f>SUM(D43:D50)</f>
        <v>966.07</v>
      </c>
      <c r="E51" s="6"/>
      <c r="F51" s="31">
        <f>SUM(F43:F50)</f>
        <v>91.38</v>
      </c>
      <c r="G51" s="26"/>
      <c r="H51" s="36">
        <f>SUM(H43:H50)</f>
        <v>335.47</v>
      </c>
      <c r="I51" s="2"/>
    </row>
    <row r="52" spans="1:9" ht="15.75" thickBot="1">
      <c r="A52" s="13" t="s">
        <v>5</v>
      </c>
      <c r="B52" s="39">
        <f>SUM(D51+F51+H51)</f>
        <v>1392.92</v>
      </c>
      <c r="C52" s="38"/>
      <c r="D52" s="21"/>
      <c r="E52" s="22"/>
      <c r="F52" s="32"/>
      <c r="G52" s="27"/>
      <c r="H52" s="37"/>
      <c r="I52" s="3"/>
    </row>
    <row r="53" spans="1:9" ht="30">
      <c r="A53" s="8" t="s">
        <v>146</v>
      </c>
      <c r="B53" s="8" t="s">
        <v>148</v>
      </c>
      <c r="C53" s="11" t="s">
        <v>27</v>
      </c>
      <c r="D53" s="15">
        <f>7.85+9.31+5.3</f>
        <v>22.46</v>
      </c>
      <c r="E53" s="40" t="s">
        <v>114</v>
      </c>
      <c r="F53" s="28">
        <f>10.77+31.39</f>
        <v>42.16</v>
      </c>
      <c r="G53" s="72" t="s">
        <v>166</v>
      </c>
      <c r="H53" s="33">
        <v>169.96</v>
      </c>
      <c r="I53" s="5" t="s">
        <v>64</v>
      </c>
    </row>
    <row r="54" spans="1:9" ht="13.5" customHeight="1">
      <c r="A54" s="9"/>
      <c r="B54" s="9"/>
      <c r="C54" s="10"/>
      <c r="D54" s="17">
        <v>5.0199999999999996</v>
      </c>
      <c r="E54" s="18" t="s">
        <v>35</v>
      </c>
      <c r="F54" s="29">
        <f>19.43+34.6</f>
        <v>54.03</v>
      </c>
      <c r="G54" s="24" t="s">
        <v>37</v>
      </c>
      <c r="H54" s="34"/>
      <c r="I54" s="6"/>
    </row>
    <row r="55" spans="1:9">
      <c r="A55" s="9"/>
      <c r="B55" s="9"/>
      <c r="C55" s="10" t="s">
        <v>26</v>
      </c>
      <c r="D55" s="17">
        <f>9.94+8.12+89.63</f>
        <v>107.69</v>
      </c>
      <c r="E55" s="18" t="s">
        <v>114</v>
      </c>
      <c r="F55" s="29">
        <f>26+19</f>
        <v>45</v>
      </c>
      <c r="G55" s="24" t="s">
        <v>37</v>
      </c>
      <c r="H55" s="34"/>
      <c r="I55" s="6"/>
    </row>
    <row r="56" spans="1:9">
      <c r="A56" s="10"/>
      <c r="B56" s="14"/>
      <c r="C56" s="10"/>
      <c r="D56" s="19">
        <v>63.34</v>
      </c>
      <c r="E56" s="6" t="s">
        <v>37</v>
      </c>
      <c r="F56" s="30"/>
      <c r="G56" s="25"/>
      <c r="H56" s="35"/>
      <c r="I56" s="2"/>
    </row>
    <row r="57" spans="1:9">
      <c r="A57" s="10" t="s">
        <v>147</v>
      </c>
      <c r="B57" s="14"/>
      <c r="C57" s="10" t="s">
        <v>89</v>
      </c>
      <c r="D57" s="19">
        <f>10+14+5.83+36.93+7.94+6.88+18.78</f>
        <v>100.35999999999999</v>
      </c>
      <c r="E57" s="6" t="s">
        <v>114</v>
      </c>
      <c r="F57" s="30"/>
      <c r="G57" s="25"/>
      <c r="H57" s="35"/>
      <c r="I57" s="2"/>
    </row>
    <row r="58" spans="1:9">
      <c r="A58" s="10"/>
      <c r="B58" s="14"/>
      <c r="C58" s="10"/>
      <c r="D58" s="19">
        <f>49.53+37.02+37.02+37.02+68.79+36.11+37.03+12.38+12.34+12.38</f>
        <v>339.62000000000006</v>
      </c>
      <c r="E58" s="6" t="s">
        <v>37</v>
      </c>
      <c r="F58" s="30"/>
      <c r="G58" s="25"/>
      <c r="H58" s="35">
        <v>254.91</v>
      </c>
      <c r="I58" s="2" t="s">
        <v>64</v>
      </c>
    </row>
    <row r="59" spans="1:9">
      <c r="A59" s="10"/>
      <c r="B59" s="14"/>
      <c r="C59" s="10" t="s">
        <v>8</v>
      </c>
      <c r="D59" s="19"/>
      <c r="E59" s="6"/>
      <c r="F59" s="30"/>
      <c r="G59" s="25"/>
      <c r="H59" s="35"/>
      <c r="I59" s="6"/>
    </row>
    <row r="60" spans="1:9">
      <c r="A60" s="10"/>
      <c r="B60" s="14"/>
      <c r="C60" s="9" t="s">
        <v>140</v>
      </c>
      <c r="D60" s="19"/>
      <c r="E60" s="6"/>
      <c r="F60" s="30"/>
      <c r="G60" s="25"/>
      <c r="H60" s="35"/>
      <c r="I60" s="2"/>
    </row>
    <row r="61" spans="1:9">
      <c r="A61" s="12" t="s">
        <v>4</v>
      </c>
      <c r="B61" s="10"/>
      <c r="C61" s="10"/>
      <c r="D61" s="20">
        <f>SUM(D53:D60)</f>
        <v>638.49</v>
      </c>
      <c r="E61" s="6"/>
      <c r="F61" s="31">
        <f>SUM(F53:F60)</f>
        <v>141.19</v>
      </c>
      <c r="G61" s="26"/>
      <c r="H61" s="36">
        <f>SUM(H53:H60)</f>
        <v>424.87</v>
      </c>
      <c r="I61" s="2"/>
    </row>
    <row r="62" spans="1:9" ht="15.75" thickBot="1">
      <c r="A62" s="13" t="s">
        <v>5</v>
      </c>
      <c r="B62" s="39">
        <f>SUM(D61+F61+H61)</f>
        <v>1204.5500000000002</v>
      </c>
      <c r="C62" s="38"/>
      <c r="D62" s="21"/>
      <c r="E62" s="22"/>
      <c r="F62" s="32"/>
      <c r="G62" s="27"/>
      <c r="H62" s="37"/>
      <c r="I62" s="3"/>
    </row>
    <row r="63" spans="1:9">
      <c r="A63" s="8" t="s">
        <v>150</v>
      </c>
      <c r="B63" s="8" t="s">
        <v>149</v>
      </c>
      <c r="C63" s="11" t="s">
        <v>86</v>
      </c>
      <c r="D63" s="15">
        <f>8.22+9.82+4.89</f>
        <v>22.93</v>
      </c>
      <c r="E63" s="40" t="s">
        <v>114</v>
      </c>
      <c r="F63" s="28">
        <f>37.34*2</f>
        <v>74.680000000000007</v>
      </c>
      <c r="G63" s="23" t="s">
        <v>41</v>
      </c>
      <c r="H63" s="33">
        <v>245.25</v>
      </c>
      <c r="I63" s="5" t="s">
        <v>54</v>
      </c>
    </row>
    <row r="64" spans="1:9" ht="13.5" customHeight="1">
      <c r="A64" s="9"/>
      <c r="B64" s="9"/>
      <c r="C64" s="10"/>
      <c r="D64" s="17">
        <f>48+39+53+64+5+43+37+5+5</f>
        <v>299</v>
      </c>
      <c r="E64" s="18" t="s">
        <v>37</v>
      </c>
      <c r="F64" s="29">
        <f>4.9+3.8+62.1</f>
        <v>70.8</v>
      </c>
      <c r="G64" s="24" t="s">
        <v>120</v>
      </c>
      <c r="H64" s="34"/>
      <c r="I64" s="6"/>
    </row>
    <row r="65" spans="1:9" ht="13.5" customHeight="1">
      <c r="A65" s="9"/>
      <c r="B65" s="9"/>
      <c r="C65" s="10"/>
      <c r="D65" s="17"/>
      <c r="E65" s="18"/>
      <c r="F65" s="29">
        <v>7.23</v>
      </c>
      <c r="G65" s="24" t="s">
        <v>116</v>
      </c>
      <c r="H65" s="34"/>
      <c r="I65" s="6"/>
    </row>
    <row r="66" spans="1:9" ht="13.5" customHeight="1">
      <c r="A66" s="9" t="s">
        <v>146</v>
      </c>
      <c r="B66" s="9"/>
      <c r="C66" s="10" t="s">
        <v>80</v>
      </c>
      <c r="D66" s="17">
        <v>13</v>
      </c>
      <c r="E66" s="18" t="s">
        <v>116</v>
      </c>
      <c r="F66" s="29">
        <f>26.2+18+38.5+25+1.5+11</f>
        <v>120.2</v>
      </c>
      <c r="G66" s="24" t="s">
        <v>157</v>
      </c>
      <c r="H66" s="34">
        <v>10</v>
      </c>
      <c r="I66" s="6" t="s">
        <v>64</v>
      </c>
    </row>
    <row r="67" spans="1:9">
      <c r="A67" s="9"/>
      <c r="B67" s="9"/>
      <c r="C67" s="10"/>
      <c r="D67" s="17"/>
      <c r="E67" s="6"/>
      <c r="F67" s="29">
        <f>3.7+13.7</f>
        <v>17.399999999999999</v>
      </c>
      <c r="G67" s="24" t="s">
        <v>114</v>
      </c>
      <c r="H67" s="35"/>
      <c r="I67" s="2"/>
    </row>
    <row r="68" spans="1:9">
      <c r="A68" s="9"/>
      <c r="B68" s="9"/>
      <c r="C68" s="10"/>
      <c r="D68" s="17"/>
      <c r="E68" s="6"/>
      <c r="F68" s="29">
        <f>60+60+6</f>
        <v>126</v>
      </c>
      <c r="G68" s="24" t="s">
        <v>158</v>
      </c>
      <c r="H68" s="35"/>
      <c r="I68" s="2"/>
    </row>
    <row r="69" spans="1:9">
      <c r="A69" s="9"/>
      <c r="B69" s="9"/>
      <c r="C69" s="10"/>
      <c r="D69" s="17"/>
      <c r="E69" s="6"/>
      <c r="F69" s="29">
        <v>15.9</v>
      </c>
      <c r="G69" s="24" t="s">
        <v>35</v>
      </c>
      <c r="H69" s="35"/>
      <c r="I69" s="2"/>
    </row>
    <row r="70" spans="1:9">
      <c r="A70" s="10"/>
      <c r="B70" s="14"/>
      <c r="C70" s="10" t="s">
        <v>8</v>
      </c>
      <c r="D70" s="19"/>
      <c r="E70" s="6"/>
      <c r="F70" s="30"/>
      <c r="G70" s="25"/>
      <c r="H70" s="35"/>
      <c r="I70" s="2"/>
    </row>
    <row r="71" spans="1:9">
      <c r="A71" s="10"/>
      <c r="B71" s="14"/>
      <c r="C71" s="9" t="s">
        <v>140</v>
      </c>
      <c r="D71" s="19"/>
      <c r="E71" s="6"/>
      <c r="F71" s="30"/>
      <c r="G71" s="25"/>
      <c r="H71" s="35"/>
      <c r="I71" s="2"/>
    </row>
    <row r="72" spans="1:9">
      <c r="A72" s="12" t="s">
        <v>4</v>
      </c>
      <c r="B72" s="10"/>
      <c r="C72" s="10"/>
      <c r="D72" s="20">
        <f>SUM(D63:D71)</f>
        <v>334.93</v>
      </c>
      <c r="E72" s="6"/>
      <c r="F72" s="31">
        <f>SUM(F63:F71)</f>
        <v>432.21</v>
      </c>
      <c r="G72" s="26"/>
      <c r="H72" s="36">
        <f>SUM(H63:H71)</f>
        <v>255.25</v>
      </c>
      <c r="I72" s="2"/>
    </row>
    <row r="73" spans="1:9" ht="14.25" customHeight="1" thickBot="1">
      <c r="A73" s="13" t="s">
        <v>5</v>
      </c>
      <c r="B73" s="39">
        <f>SUM(D72+F72+H72)</f>
        <v>1022.39</v>
      </c>
      <c r="C73" s="38"/>
      <c r="D73" s="21"/>
      <c r="E73" s="22"/>
      <c r="F73" s="32"/>
      <c r="G73" s="27"/>
      <c r="H73" s="37"/>
      <c r="I73" s="3"/>
    </row>
    <row r="74" spans="1:9">
      <c r="A74" s="53" t="s">
        <v>151</v>
      </c>
      <c r="B74" s="8" t="s">
        <v>152</v>
      </c>
      <c r="C74" s="11" t="s">
        <v>71</v>
      </c>
      <c r="D74" s="15">
        <v>19</v>
      </c>
      <c r="E74" s="40" t="s">
        <v>53</v>
      </c>
      <c r="F74" s="28">
        <f>4.2+17+15.8+7.85+3+5.4</f>
        <v>53.25</v>
      </c>
      <c r="G74" s="23" t="s">
        <v>114</v>
      </c>
      <c r="H74" s="33">
        <v>1110.8399999999999</v>
      </c>
      <c r="I74" s="5" t="s">
        <v>54</v>
      </c>
    </row>
    <row r="75" spans="1:9" ht="13.5" customHeight="1">
      <c r="A75" s="9"/>
      <c r="B75" s="9"/>
      <c r="C75" s="10"/>
      <c r="D75" s="17"/>
      <c r="E75" s="18"/>
      <c r="F75" s="29">
        <f>24.1+21.8+26.4</f>
        <v>72.300000000000011</v>
      </c>
      <c r="G75" s="24" t="s">
        <v>37</v>
      </c>
      <c r="H75" s="34"/>
      <c r="I75" s="6"/>
    </row>
    <row r="76" spans="1:9" ht="13.5" customHeight="1">
      <c r="A76" s="9"/>
      <c r="B76" s="9"/>
      <c r="C76" s="10"/>
      <c r="D76" s="17"/>
      <c r="E76" s="18"/>
      <c r="F76" s="29"/>
      <c r="G76" s="24"/>
      <c r="H76" s="34"/>
      <c r="I76" s="6"/>
    </row>
    <row r="77" spans="1:9" ht="13.5" customHeight="1">
      <c r="A77" s="9"/>
      <c r="B77" s="9"/>
      <c r="C77" s="10"/>
      <c r="D77" s="17"/>
      <c r="E77" s="18"/>
      <c r="F77" s="29"/>
      <c r="G77" s="24"/>
      <c r="H77" s="34"/>
      <c r="I77" s="6"/>
    </row>
    <row r="78" spans="1:9" ht="13.5" customHeight="1">
      <c r="A78" s="9"/>
      <c r="B78" s="9"/>
      <c r="C78" s="10"/>
      <c r="D78" s="17"/>
      <c r="E78" s="18"/>
      <c r="F78" s="29"/>
      <c r="G78" s="24"/>
      <c r="H78" s="34"/>
      <c r="I78" s="6"/>
    </row>
    <row r="79" spans="1:9" ht="13.5" customHeight="1">
      <c r="A79" s="9"/>
      <c r="B79" s="9"/>
      <c r="C79" s="10" t="s">
        <v>8</v>
      </c>
      <c r="D79" s="17"/>
      <c r="E79" s="18"/>
      <c r="F79" s="29"/>
      <c r="G79" s="24"/>
      <c r="H79" s="34"/>
      <c r="I79" s="6"/>
    </row>
    <row r="80" spans="1:9">
      <c r="A80" s="9"/>
      <c r="B80" s="9"/>
      <c r="C80" s="9" t="s">
        <v>140</v>
      </c>
      <c r="D80" s="17"/>
      <c r="E80" s="6"/>
      <c r="F80" s="29"/>
      <c r="G80" s="24"/>
      <c r="H80" s="35"/>
      <c r="I80" s="2"/>
    </row>
    <row r="81" spans="1:9">
      <c r="A81" s="12" t="s">
        <v>4</v>
      </c>
      <c r="B81" s="10"/>
      <c r="C81" s="10"/>
      <c r="D81" s="20">
        <f>SUM(D74:D80)</f>
        <v>19</v>
      </c>
      <c r="E81" s="6"/>
      <c r="F81" s="31">
        <f>SUM(F74:F80)</f>
        <v>125.55000000000001</v>
      </c>
      <c r="G81" s="26"/>
      <c r="H81" s="36">
        <f>SUM(H74:H80)</f>
        <v>1110.8399999999999</v>
      </c>
      <c r="I81" s="2"/>
    </row>
    <row r="82" spans="1:9" ht="14.25" customHeight="1" thickBot="1">
      <c r="A82" s="13" t="s">
        <v>5</v>
      </c>
      <c r="B82" s="39">
        <f>SUM(D81+F81+H81)</f>
        <v>1255.3899999999999</v>
      </c>
      <c r="C82" s="38"/>
      <c r="D82" s="21"/>
      <c r="E82" s="22"/>
      <c r="F82" s="32"/>
      <c r="G82" s="27"/>
      <c r="H82" s="37"/>
      <c r="I82" s="3"/>
    </row>
    <row r="83" spans="1:9">
      <c r="A83" s="53" t="s">
        <v>165</v>
      </c>
      <c r="B83" s="8" t="s">
        <v>28</v>
      </c>
      <c r="C83" s="11" t="s">
        <v>27</v>
      </c>
      <c r="D83" s="69">
        <f>2.71</f>
        <v>2.71</v>
      </c>
      <c r="E83" s="40" t="s">
        <v>116</v>
      </c>
      <c r="F83" s="73">
        <f>37.82+16.41</f>
        <v>54.230000000000004</v>
      </c>
      <c r="G83" s="67" t="s">
        <v>37</v>
      </c>
      <c r="H83" s="70">
        <f>78.47+108.49</f>
        <v>186.95999999999998</v>
      </c>
      <c r="I83" s="5" t="s">
        <v>64</v>
      </c>
    </row>
    <row r="84" spans="1:9">
      <c r="A84" s="62"/>
      <c r="B84" s="9"/>
      <c r="C84" s="10"/>
      <c r="D84" s="74"/>
      <c r="E84" s="51"/>
      <c r="F84" s="71">
        <v>76.599999999999994</v>
      </c>
      <c r="G84" s="75" t="s">
        <v>167</v>
      </c>
      <c r="H84" s="76"/>
      <c r="I84" s="6"/>
    </row>
    <row r="85" spans="1:9" ht="13.5" customHeight="1">
      <c r="A85" s="9"/>
      <c r="B85" s="9"/>
      <c r="C85" s="10" t="s">
        <v>26</v>
      </c>
      <c r="D85" s="17">
        <f>15.44+17.13</f>
        <v>32.57</v>
      </c>
      <c r="E85" s="18" t="s">
        <v>114</v>
      </c>
      <c r="F85" s="71">
        <f>21+16</f>
        <v>37</v>
      </c>
      <c r="G85" s="24" t="s">
        <v>37</v>
      </c>
      <c r="H85" s="34">
        <v>46.81</v>
      </c>
      <c r="I85" s="6" t="s">
        <v>64</v>
      </c>
    </row>
    <row r="86" spans="1:9" ht="13.5" customHeight="1">
      <c r="A86" s="9"/>
      <c r="B86" s="9"/>
      <c r="C86" s="10"/>
      <c r="D86" s="17"/>
      <c r="E86" s="18"/>
      <c r="F86" s="68"/>
      <c r="G86" s="24"/>
      <c r="H86" s="34"/>
      <c r="I86" s="6"/>
    </row>
    <row r="87" spans="1:9" ht="13.5" customHeight="1">
      <c r="A87" s="9"/>
      <c r="B87" s="9"/>
      <c r="C87" s="10"/>
      <c r="D87" s="17"/>
      <c r="E87" s="18"/>
      <c r="F87" s="68"/>
      <c r="G87" s="24"/>
      <c r="H87" s="34"/>
      <c r="I87" s="6"/>
    </row>
    <row r="88" spans="1:9">
      <c r="A88" s="9"/>
      <c r="B88" s="9"/>
      <c r="C88" s="10" t="s">
        <v>8</v>
      </c>
      <c r="D88" s="17"/>
      <c r="E88" s="18"/>
      <c r="F88" s="29"/>
      <c r="G88" s="24"/>
      <c r="H88" s="35"/>
      <c r="I88" s="2"/>
    </row>
    <row r="89" spans="1:9">
      <c r="A89" s="10"/>
      <c r="B89" s="14"/>
      <c r="C89" s="9" t="s">
        <v>140</v>
      </c>
      <c r="D89" s="17"/>
      <c r="E89" s="18"/>
      <c r="F89" s="30"/>
      <c r="G89" s="25"/>
      <c r="H89" s="35"/>
      <c r="I89" s="2"/>
    </row>
    <row r="90" spans="1:9">
      <c r="A90" s="12" t="s">
        <v>4</v>
      </c>
      <c r="B90" s="10"/>
      <c r="C90" s="10"/>
      <c r="D90" s="20">
        <f>SUM(D83:D89)</f>
        <v>35.28</v>
      </c>
      <c r="E90" s="6"/>
      <c r="F90" s="31">
        <f>SUM(F83:F89)</f>
        <v>167.82999999999998</v>
      </c>
      <c r="G90" s="26"/>
      <c r="H90" s="36">
        <f>SUM(H83:H89)</f>
        <v>233.76999999999998</v>
      </c>
      <c r="I90" s="2"/>
    </row>
    <row r="91" spans="1:9" ht="14.25" customHeight="1" thickBot="1">
      <c r="A91" s="13" t="s">
        <v>5</v>
      </c>
      <c r="B91" s="39">
        <f>SUM(D90+F90+H90)</f>
        <v>436.88</v>
      </c>
      <c r="C91" s="38"/>
      <c r="D91" s="21"/>
      <c r="E91" s="22"/>
      <c r="F91" s="32"/>
      <c r="G91" s="27"/>
      <c r="H91" s="37"/>
      <c r="I91" s="3"/>
    </row>
    <row r="92" spans="1:9">
      <c r="A92" s="53" t="s">
        <v>153</v>
      </c>
      <c r="B92" s="8" t="s">
        <v>162</v>
      </c>
      <c r="C92" s="11" t="s">
        <v>89</v>
      </c>
      <c r="D92" s="63">
        <f>10.84+11.41</f>
        <v>22.25</v>
      </c>
      <c r="E92" s="40" t="s">
        <v>114</v>
      </c>
      <c r="F92" s="57">
        <v>156</v>
      </c>
      <c r="G92" s="67" t="s">
        <v>164</v>
      </c>
      <c r="H92" s="64">
        <v>539.05999999999995</v>
      </c>
      <c r="I92" s="5" t="s">
        <v>54</v>
      </c>
    </row>
    <row r="93" spans="1:9" ht="13.5" customHeight="1">
      <c r="A93" s="9"/>
      <c r="B93" s="9"/>
      <c r="C93" s="10"/>
      <c r="D93" s="17"/>
      <c r="E93" s="18"/>
      <c r="F93" s="68">
        <v>20</v>
      </c>
      <c r="G93" s="24" t="s">
        <v>164</v>
      </c>
      <c r="H93" s="34"/>
      <c r="I93" s="6"/>
    </row>
    <row r="94" spans="1:9" ht="13.5" customHeight="1">
      <c r="A94" s="9"/>
      <c r="B94" s="9"/>
      <c r="C94" s="10"/>
      <c r="D94" s="17"/>
      <c r="E94" s="18"/>
      <c r="F94" s="68">
        <v>16.8</v>
      </c>
      <c r="G94" s="24" t="s">
        <v>51</v>
      </c>
      <c r="H94" s="34"/>
      <c r="I94" s="6"/>
    </row>
    <row r="95" spans="1:9" ht="13.5" customHeight="1">
      <c r="A95" s="9"/>
      <c r="B95" s="9"/>
      <c r="C95" s="10"/>
      <c r="D95" s="17"/>
      <c r="E95" s="18"/>
      <c r="F95" s="68">
        <v>42</v>
      </c>
      <c r="G95" s="24" t="s">
        <v>44</v>
      </c>
      <c r="H95" s="34"/>
      <c r="I95" s="6"/>
    </row>
    <row r="96" spans="1:9" ht="13.5" customHeight="1">
      <c r="A96" s="9"/>
      <c r="B96" s="9"/>
      <c r="C96" s="10"/>
      <c r="D96" s="17"/>
      <c r="E96" s="18"/>
      <c r="F96" s="68">
        <v>116</v>
      </c>
      <c r="G96" s="24" t="s">
        <v>41</v>
      </c>
      <c r="H96" s="34"/>
      <c r="I96" s="6"/>
    </row>
    <row r="97" spans="1:9">
      <c r="A97" s="9"/>
      <c r="B97" s="9"/>
      <c r="C97" s="10" t="s">
        <v>8</v>
      </c>
      <c r="D97" s="17"/>
      <c r="E97" s="18"/>
      <c r="F97" s="29"/>
      <c r="G97" s="24"/>
      <c r="H97" s="35"/>
      <c r="I97" s="2"/>
    </row>
    <row r="98" spans="1:9">
      <c r="A98" s="10"/>
      <c r="B98" s="14"/>
      <c r="C98" s="9" t="s">
        <v>140</v>
      </c>
      <c r="D98" s="17"/>
      <c r="E98" s="18"/>
      <c r="F98" s="30"/>
      <c r="G98" s="25"/>
      <c r="H98" s="35"/>
      <c r="I98" s="2"/>
    </row>
    <row r="99" spans="1:9">
      <c r="A99" s="12" t="s">
        <v>4</v>
      </c>
      <c r="B99" s="10"/>
      <c r="C99" s="10"/>
      <c r="D99" s="20">
        <f>SUM(D92:D98)</f>
        <v>22.25</v>
      </c>
      <c r="E99" s="6"/>
      <c r="F99" s="31">
        <f>SUM(F92:F98)</f>
        <v>350.8</v>
      </c>
      <c r="G99" s="26"/>
      <c r="H99" s="36">
        <f>SUM(H92:H98)</f>
        <v>539.05999999999995</v>
      </c>
      <c r="I99" s="2"/>
    </row>
    <row r="100" spans="1:9" ht="14.25" customHeight="1" thickBot="1">
      <c r="A100" s="13" t="s">
        <v>5</v>
      </c>
      <c r="B100" s="39">
        <f>SUM(D99+F99+H99)</f>
        <v>912.1099999999999</v>
      </c>
      <c r="C100" s="38"/>
      <c r="D100" s="21"/>
      <c r="E100" s="22"/>
      <c r="F100" s="32"/>
      <c r="G100" s="27"/>
      <c r="H100" s="37"/>
      <c r="I100" s="3"/>
    </row>
    <row r="101" spans="1:9">
      <c r="A101" s="53" t="s">
        <v>160</v>
      </c>
      <c r="B101" s="8" t="s">
        <v>25</v>
      </c>
      <c r="C101" s="11" t="s">
        <v>18</v>
      </c>
      <c r="D101" s="15">
        <f>37.79+61.63+25.16</f>
        <v>124.58</v>
      </c>
      <c r="E101" s="40" t="s">
        <v>37</v>
      </c>
      <c r="F101" s="28">
        <v>162</v>
      </c>
      <c r="G101" s="23" t="s">
        <v>37</v>
      </c>
      <c r="H101" s="33">
        <v>1531</v>
      </c>
      <c r="I101" s="5" t="s">
        <v>54</v>
      </c>
    </row>
    <row r="102" spans="1:9">
      <c r="A102" s="62"/>
      <c r="B102" s="9"/>
      <c r="C102" s="10"/>
      <c r="D102" s="17">
        <f>6.37+61.07+8.18+6.83+4.14</f>
        <v>86.59</v>
      </c>
      <c r="E102" s="51" t="s">
        <v>114</v>
      </c>
      <c r="F102" s="29"/>
      <c r="G102" s="24"/>
      <c r="H102" s="34"/>
      <c r="I102" s="6"/>
    </row>
    <row r="103" spans="1:9">
      <c r="A103" s="62"/>
      <c r="B103" s="9"/>
      <c r="C103" s="10"/>
      <c r="D103" s="17">
        <v>4.38</v>
      </c>
      <c r="E103" s="51" t="s">
        <v>203</v>
      </c>
      <c r="F103" s="29"/>
      <c r="G103" s="24"/>
      <c r="H103" s="34"/>
      <c r="I103" s="6"/>
    </row>
    <row r="104" spans="1:9">
      <c r="A104" s="62"/>
      <c r="B104" s="9"/>
      <c r="C104" s="10" t="s">
        <v>161</v>
      </c>
      <c r="D104" s="17">
        <f>46.25+22.37+11.85</f>
        <v>80.47</v>
      </c>
      <c r="E104" s="51" t="s">
        <v>114</v>
      </c>
      <c r="F104" s="29">
        <f>27.95</f>
        <v>27.95</v>
      </c>
      <c r="G104" s="24" t="s">
        <v>41</v>
      </c>
      <c r="H104" s="34">
        <v>1531</v>
      </c>
      <c r="I104" s="6" t="s">
        <v>54</v>
      </c>
    </row>
    <row r="105" spans="1:9" ht="13.5" customHeight="1">
      <c r="A105" s="9"/>
      <c r="B105" s="9"/>
      <c r="C105" s="10"/>
      <c r="D105" s="17"/>
      <c r="E105" s="18"/>
      <c r="F105" s="29">
        <f>1.6</f>
        <v>1.6</v>
      </c>
      <c r="G105" s="24" t="s">
        <v>107</v>
      </c>
      <c r="H105" s="34"/>
      <c r="I105" s="6"/>
    </row>
    <row r="106" spans="1:9">
      <c r="A106" s="9"/>
      <c r="B106" s="9"/>
      <c r="C106" s="10" t="s">
        <v>8</v>
      </c>
      <c r="D106" s="17"/>
      <c r="E106" s="18"/>
      <c r="F106" s="29"/>
      <c r="G106" s="24"/>
      <c r="H106" s="35"/>
      <c r="I106" s="2"/>
    </row>
    <row r="107" spans="1:9">
      <c r="A107" s="10"/>
      <c r="B107" s="14"/>
      <c r="C107" s="9" t="s">
        <v>140</v>
      </c>
      <c r="D107" s="17"/>
      <c r="E107" s="18"/>
      <c r="F107" s="30"/>
      <c r="G107" s="25"/>
      <c r="H107" s="35"/>
      <c r="I107" s="2"/>
    </row>
    <row r="108" spans="1:9">
      <c r="A108" s="12" t="s">
        <v>4</v>
      </c>
      <c r="B108" s="10"/>
      <c r="C108" s="10"/>
      <c r="D108" s="20">
        <f>SUM(D101:D107)</f>
        <v>296.02</v>
      </c>
      <c r="E108" s="6"/>
      <c r="F108" s="31">
        <f>SUM(F101:F107)</f>
        <v>191.54999999999998</v>
      </c>
      <c r="G108" s="26"/>
      <c r="H108" s="36">
        <f>SUM(H101:H107)</f>
        <v>3062</v>
      </c>
      <c r="I108" s="2"/>
    </row>
    <row r="109" spans="1:9" ht="14.25" customHeight="1" thickBot="1">
      <c r="A109" s="13" t="s">
        <v>5</v>
      </c>
      <c r="B109" s="39">
        <f>SUM(D108+F108+H108)</f>
        <v>3549.5699999999997</v>
      </c>
      <c r="C109" s="38"/>
      <c r="D109" s="21"/>
      <c r="E109" s="22"/>
      <c r="F109" s="32"/>
      <c r="G109" s="27"/>
      <c r="H109" s="37"/>
      <c r="I109" s="3"/>
    </row>
    <row r="110" spans="1:9">
      <c r="A110" s="8" t="s">
        <v>155</v>
      </c>
      <c r="B110" s="8" t="s">
        <v>154</v>
      </c>
      <c r="C110" s="11" t="s">
        <v>27</v>
      </c>
      <c r="D110" s="15">
        <f>15.64+8.85+9.39+9.74+8.43+12.87+8.16+19.36+2.62+19.79+20.68+24.73+71.58+11.77</f>
        <v>243.60999999999999</v>
      </c>
      <c r="E110" s="40" t="s">
        <v>37</v>
      </c>
      <c r="F110" s="28">
        <f>20.28+25.89</f>
        <v>46.17</v>
      </c>
      <c r="G110" s="23" t="s">
        <v>37</v>
      </c>
      <c r="H110" s="33">
        <v>287.44</v>
      </c>
      <c r="I110" s="5" t="s">
        <v>64</v>
      </c>
    </row>
    <row r="111" spans="1:9">
      <c r="A111" s="9"/>
      <c r="B111" s="9"/>
      <c r="C111" s="10"/>
      <c r="D111" s="17">
        <v>91.45</v>
      </c>
      <c r="E111" s="51" t="s">
        <v>35</v>
      </c>
      <c r="F111" s="29"/>
      <c r="G111" s="24"/>
      <c r="H111" s="34"/>
      <c r="I111" s="6"/>
    </row>
    <row r="112" spans="1:9">
      <c r="A112" s="9"/>
      <c r="B112" s="9"/>
      <c r="C112" s="10"/>
      <c r="D112" s="17">
        <v>28.28</v>
      </c>
      <c r="E112" s="51" t="s">
        <v>116</v>
      </c>
      <c r="F112" s="29"/>
      <c r="G112" s="24"/>
      <c r="H112" s="34"/>
      <c r="I112" s="6"/>
    </row>
    <row r="113" spans="1:13">
      <c r="A113" s="9" t="s">
        <v>156</v>
      </c>
      <c r="B113" s="9"/>
      <c r="C113" s="10" t="s">
        <v>26</v>
      </c>
      <c r="D113" s="17">
        <f>80+32+11</f>
        <v>123</v>
      </c>
      <c r="E113" s="51" t="s">
        <v>114</v>
      </c>
      <c r="F113" s="29">
        <f>25+17</f>
        <v>42</v>
      </c>
      <c r="G113" s="24" t="s">
        <v>37</v>
      </c>
      <c r="H113" s="34">
        <v>430</v>
      </c>
      <c r="I113" s="6" t="s">
        <v>64</v>
      </c>
    </row>
    <row r="114" spans="1:13">
      <c r="A114" s="9"/>
      <c r="B114" s="9"/>
      <c r="C114" s="10"/>
      <c r="D114" s="17">
        <v>7</v>
      </c>
      <c r="E114" s="51" t="s">
        <v>37</v>
      </c>
      <c r="F114" s="29"/>
      <c r="G114" s="24"/>
      <c r="H114" s="34"/>
      <c r="I114" s="6"/>
    </row>
    <row r="115" spans="1:13">
      <c r="A115" s="10"/>
      <c r="B115" s="14"/>
      <c r="C115" s="10" t="s">
        <v>8</v>
      </c>
      <c r="D115" s="19"/>
      <c r="E115" s="6"/>
      <c r="F115" s="30"/>
      <c r="G115" s="25"/>
      <c r="H115" s="35"/>
      <c r="I115" s="6"/>
    </row>
    <row r="116" spans="1:13">
      <c r="A116" s="10"/>
      <c r="B116" s="14"/>
      <c r="C116" s="9" t="s">
        <v>140</v>
      </c>
      <c r="D116" s="19"/>
      <c r="E116" s="6"/>
      <c r="F116" s="30"/>
      <c r="G116" s="25"/>
      <c r="H116" s="35"/>
      <c r="I116" s="2"/>
    </row>
    <row r="117" spans="1:13">
      <c r="A117" s="12" t="s">
        <v>4</v>
      </c>
      <c r="B117" s="10"/>
      <c r="C117" s="10"/>
      <c r="D117" s="20">
        <f>SUM(D110:D116)</f>
        <v>493.34000000000003</v>
      </c>
      <c r="E117" s="6"/>
      <c r="F117" s="31">
        <f>SUM(F110:F116)</f>
        <v>88.17</v>
      </c>
      <c r="G117" s="26"/>
      <c r="H117" s="36">
        <f>SUM(H110:H116)</f>
        <v>717.44</v>
      </c>
      <c r="I117" s="2"/>
    </row>
    <row r="118" spans="1:13" ht="15.75" thickBot="1">
      <c r="A118" s="13" t="s">
        <v>5</v>
      </c>
      <c r="B118" s="39">
        <f>SUM(D117+F117+H117)</f>
        <v>1298.95</v>
      </c>
      <c r="C118" s="38"/>
      <c r="D118" s="21"/>
      <c r="E118" s="22"/>
      <c r="F118" s="32"/>
      <c r="G118" s="27"/>
      <c r="H118" s="37"/>
      <c r="I118" s="3"/>
    </row>
    <row r="119" spans="1:13" ht="15.75" thickBot="1"/>
    <row r="120" spans="1:13" ht="20.25" thickBot="1">
      <c r="A120" s="41" t="s">
        <v>10</v>
      </c>
      <c r="B120" s="42">
        <f>SUM(B15+B32+B42+B52+B62+B73+B82+B91+B100+B109+B118)</f>
        <v>24241.760000000002</v>
      </c>
    </row>
    <row r="122" spans="1:13">
      <c r="A122" s="45"/>
      <c r="B122" s="43"/>
      <c r="C122" s="43"/>
      <c r="D122" s="47"/>
      <c r="E122" s="47"/>
      <c r="F122" s="46"/>
      <c r="G122" s="48"/>
      <c r="H122" s="43"/>
      <c r="I122" s="46"/>
      <c r="J122" s="49"/>
      <c r="K122" s="50"/>
      <c r="L122" s="50"/>
      <c r="M122" s="5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opLeftCell="A19" workbookViewId="0">
      <selection activeCell="H48" sqref="H48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>
      <c r="A2" s="8" t="s">
        <v>168</v>
      </c>
      <c r="B2" s="54" t="s">
        <v>169</v>
      </c>
      <c r="C2" s="8" t="s">
        <v>30</v>
      </c>
      <c r="D2" s="69">
        <f>27.33+6.09+15.11+18.71</f>
        <v>67.240000000000009</v>
      </c>
      <c r="E2" s="16" t="s">
        <v>195</v>
      </c>
      <c r="F2" s="73">
        <f>8.07+2.7+45+8.07+2.7</f>
        <v>66.539999999999992</v>
      </c>
      <c r="G2" s="23" t="s">
        <v>197</v>
      </c>
      <c r="H2" s="70">
        <v>52</v>
      </c>
      <c r="I2" s="80" t="s">
        <v>64</v>
      </c>
    </row>
    <row r="3" spans="1:11" s="1" customFormat="1">
      <c r="A3" s="9"/>
      <c r="B3" s="79"/>
      <c r="C3" s="9"/>
      <c r="D3" s="74">
        <f>328+31+34+131</f>
        <v>524</v>
      </c>
      <c r="E3" s="18" t="s">
        <v>196</v>
      </c>
      <c r="F3" s="58"/>
      <c r="G3" s="24"/>
      <c r="H3" s="76"/>
      <c r="I3" s="81"/>
    </row>
    <row r="4" spans="1:11" s="1" customFormat="1">
      <c r="A4" s="10"/>
      <c r="B4" s="43"/>
      <c r="C4" s="9" t="s">
        <v>26</v>
      </c>
      <c r="D4" s="55"/>
      <c r="E4" s="18"/>
      <c r="F4" s="71">
        <f>3.78+6.13+2.89</f>
        <v>12.8</v>
      </c>
      <c r="G4" s="24" t="s">
        <v>213</v>
      </c>
      <c r="H4" s="34"/>
      <c r="I4" s="6"/>
    </row>
    <row r="5" spans="1:11" s="1" customFormat="1">
      <c r="A5" s="9"/>
      <c r="B5" s="9"/>
      <c r="C5" s="10"/>
      <c r="D5" s="55"/>
      <c r="E5" s="18"/>
      <c r="F5" s="29">
        <f>4.48+9.4</f>
        <v>13.88</v>
      </c>
      <c r="G5" s="24" t="s">
        <v>51</v>
      </c>
      <c r="H5" s="34"/>
      <c r="I5" s="6"/>
    </row>
    <row r="6" spans="1:11" s="1" customFormat="1">
      <c r="A6" s="9"/>
      <c r="B6" s="9"/>
      <c r="C6" s="10" t="s">
        <v>27</v>
      </c>
      <c r="D6" s="55"/>
      <c r="E6" s="18"/>
      <c r="F6" s="29"/>
      <c r="G6" s="24"/>
      <c r="H6" s="34"/>
      <c r="I6" s="6"/>
    </row>
    <row r="7" spans="1:11" s="1" customFormat="1">
      <c r="A7" s="9"/>
      <c r="B7" s="9"/>
      <c r="C7" s="10" t="s">
        <v>220</v>
      </c>
      <c r="D7" s="17"/>
      <c r="E7" s="18"/>
      <c r="F7" s="29"/>
      <c r="G7" s="24"/>
      <c r="H7" s="34">
        <v>1130.18</v>
      </c>
      <c r="I7" s="6"/>
    </row>
    <row r="8" spans="1:11" s="1" customFormat="1">
      <c r="A8" s="9"/>
      <c r="B8" s="9"/>
      <c r="C8" s="9" t="s">
        <v>9</v>
      </c>
      <c r="D8" s="17"/>
      <c r="E8" s="18"/>
      <c r="F8" s="29"/>
      <c r="G8" s="24"/>
      <c r="H8" s="34">
        <v>2127</v>
      </c>
      <c r="I8" s="2"/>
      <c r="K8" s="4"/>
    </row>
    <row r="9" spans="1:11" s="1" customFormat="1">
      <c r="A9" s="12" t="s">
        <v>4</v>
      </c>
      <c r="B9" s="10"/>
      <c r="C9" s="10"/>
      <c r="D9" s="20">
        <f>SUM(D2:D8)</f>
        <v>591.24</v>
      </c>
      <c r="E9" s="6"/>
      <c r="F9" s="31">
        <f>SUM(F2:F8)</f>
        <v>93.219999999999985</v>
      </c>
      <c r="G9" s="26"/>
      <c r="H9" s="36">
        <f>SUM(H2:H8)</f>
        <v>3309.1800000000003</v>
      </c>
      <c r="I9" s="2"/>
    </row>
    <row r="10" spans="1:11" s="1" customFormat="1" ht="15.75" thickBot="1">
      <c r="A10" s="13" t="s">
        <v>5</v>
      </c>
      <c r="B10" s="39">
        <f>SUM(D9+F9+H9)</f>
        <v>3993.6400000000003</v>
      </c>
      <c r="C10" s="38"/>
      <c r="D10" s="21"/>
      <c r="E10" s="22"/>
      <c r="F10" s="32"/>
      <c r="G10" s="27"/>
      <c r="H10" s="37"/>
      <c r="I10" s="3"/>
    </row>
    <row r="11" spans="1:11" s="1" customFormat="1">
      <c r="A11" s="10" t="s">
        <v>170</v>
      </c>
      <c r="B11" s="48" t="s">
        <v>171</v>
      </c>
      <c r="C11" s="8" t="s">
        <v>89</v>
      </c>
      <c r="D11" s="15">
        <f>24.6+24.59</f>
        <v>49.19</v>
      </c>
      <c r="E11" s="16" t="s">
        <v>194</v>
      </c>
      <c r="F11" s="28">
        <f>42</f>
        <v>42</v>
      </c>
      <c r="G11" s="23" t="s">
        <v>44</v>
      </c>
      <c r="H11" s="33">
        <v>61</v>
      </c>
      <c r="I11" s="5" t="s">
        <v>64</v>
      </c>
    </row>
    <row r="12" spans="1:11" s="1" customFormat="1">
      <c r="A12" s="10"/>
      <c r="B12" s="48"/>
      <c r="C12" s="9"/>
      <c r="D12" s="17"/>
      <c r="E12" s="18"/>
      <c r="F12" s="29">
        <f>116</f>
        <v>116</v>
      </c>
      <c r="G12" s="24" t="s">
        <v>41</v>
      </c>
      <c r="H12" s="34"/>
      <c r="I12" s="6"/>
    </row>
    <row r="13" spans="1:11" s="1" customFormat="1">
      <c r="A13" s="10"/>
      <c r="B13" s="48"/>
      <c r="C13" s="9"/>
      <c r="D13" s="17"/>
      <c r="E13" s="18"/>
      <c r="F13" s="29">
        <v>14</v>
      </c>
      <c r="G13" s="24" t="s">
        <v>51</v>
      </c>
      <c r="H13" s="34"/>
      <c r="I13" s="6"/>
    </row>
    <row r="14" spans="1:11" s="1" customFormat="1">
      <c r="A14" s="10"/>
      <c r="B14" s="43"/>
      <c r="C14" s="10" t="s">
        <v>220</v>
      </c>
      <c r="D14" s="17"/>
      <c r="E14" s="18"/>
      <c r="F14" s="29"/>
      <c r="G14" s="24"/>
      <c r="H14" s="34">
        <f>25.28+18.29+8.47+372.31+536.07+8.47</f>
        <v>968.8900000000001</v>
      </c>
      <c r="I14" s="6"/>
    </row>
    <row r="15" spans="1:11" s="1" customFormat="1">
      <c r="A15" s="9"/>
      <c r="B15" s="9"/>
      <c r="C15" s="9" t="s">
        <v>219</v>
      </c>
      <c r="D15" s="17"/>
      <c r="E15" s="18"/>
      <c r="F15" s="29"/>
      <c r="G15" s="24"/>
      <c r="H15" s="34">
        <f>409.38+9+9</f>
        <v>427.38</v>
      </c>
      <c r="I15" s="2" t="s">
        <v>226</v>
      </c>
      <c r="K15" s="4"/>
    </row>
    <row r="16" spans="1:11" s="1" customFormat="1">
      <c r="A16" s="12" t="s">
        <v>4</v>
      </c>
      <c r="B16" s="10"/>
      <c r="C16" s="10"/>
      <c r="D16" s="20">
        <f>SUM(D11:D15)</f>
        <v>49.19</v>
      </c>
      <c r="E16" s="6"/>
      <c r="F16" s="31">
        <f>SUM(F11:F15)</f>
        <v>172</v>
      </c>
      <c r="G16" s="26"/>
      <c r="H16" s="36">
        <f>SUM(H11:H15)</f>
        <v>1457.27</v>
      </c>
      <c r="I16" s="2"/>
    </row>
    <row r="17" spans="1:11" s="1" customFormat="1" ht="15.75" thickBot="1">
      <c r="A17" s="13" t="s">
        <v>5</v>
      </c>
      <c r="B17" s="39">
        <f>SUM(D16+F16+H16)</f>
        <v>1678.46</v>
      </c>
      <c r="C17" s="38"/>
      <c r="D17" s="21"/>
      <c r="E17" s="22"/>
      <c r="F17" s="32"/>
      <c r="G17" s="27"/>
      <c r="H17" s="37"/>
      <c r="I17" s="3"/>
    </row>
    <row r="18" spans="1:11" s="1" customFormat="1">
      <c r="A18" s="10" t="s">
        <v>172</v>
      </c>
      <c r="B18" s="48" t="s">
        <v>81</v>
      </c>
      <c r="C18" s="8" t="s">
        <v>89</v>
      </c>
      <c r="D18" s="15">
        <f>10.51+5.53+11.29</f>
        <v>27.33</v>
      </c>
      <c r="E18" s="16" t="s">
        <v>193</v>
      </c>
      <c r="F18" s="28"/>
      <c r="G18" s="23"/>
      <c r="H18" s="33">
        <v>101.92</v>
      </c>
      <c r="I18" s="5" t="s">
        <v>64</v>
      </c>
    </row>
    <row r="19" spans="1:11" s="1" customFormat="1">
      <c r="A19" s="9"/>
      <c r="B19" s="9"/>
      <c r="C19" s="9" t="s">
        <v>219</v>
      </c>
      <c r="D19" s="17"/>
      <c r="E19" s="18"/>
      <c r="F19" s="29"/>
      <c r="G19" s="24"/>
      <c r="H19" s="34">
        <f>549.81+9</f>
        <v>558.80999999999995</v>
      </c>
      <c r="I19" s="2"/>
      <c r="K19" s="4"/>
    </row>
    <row r="20" spans="1:11" s="1" customFormat="1">
      <c r="A20" s="9"/>
      <c r="B20" s="9"/>
      <c r="C20" s="9"/>
      <c r="D20" s="17"/>
      <c r="E20" s="18"/>
      <c r="F20" s="29"/>
      <c r="G20" s="24"/>
      <c r="H20" s="34">
        <v>544.95000000000005</v>
      </c>
      <c r="I20" s="2"/>
      <c r="K20" s="4"/>
    </row>
    <row r="21" spans="1:11" s="1" customFormat="1">
      <c r="A21" s="12" t="s">
        <v>4</v>
      </c>
      <c r="B21" s="10"/>
      <c r="C21" s="10"/>
      <c r="D21" s="20">
        <f>SUM(D18:D19)</f>
        <v>27.33</v>
      </c>
      <c r="E21" s="6"/>
      <c r="F21" s="31">
        <f>SUM(F18:F19)</f>
        <v>0</v>
      </c>
      <c r="G21" s="26"/>
      <c r="H21" s="36">
        <f>SUM(H18:H19)</f>
        <v>660.7299999999999</v>
      </c>
      <c r="I21" s="2"/>
    </row>
    <row r="22" spans="1:11" s="1" customFormat="1" ht="15.75" thickBot="1">
      <c r="A22" s="13" t="s">
        <v>5</v>
      </c>
      <c r="B22" s="39">
        <f>SUM(D21+F21+H21)</f>
        <v>688.06</v>
      </c>
      <c r="C22" s="38"/>
      <c r="D22" s="21"/>
      <c r="E22" s="22"/>
      <c r="F22" s="32"/>
      <c r="G22" s="27"/>
      <c r="H22" s="37"/>
      <c r="I22" s="3"/>
    </row>
    <row r="23" spans="1:11">
      <c r="A23" s="8" t="s">
        <v>173</v>
      </c>
      <c r="B23" s="8" t="s">
        <v>175</v>
      </c>
      <c r="C23" s="11" t="s">
        <v>84</v>
      </c>
      <c r="D23" s="15">
        <f>29.67+41.28+29.73</f>
        <v>100.68</v>
      </c>
      <c r="E23" s="40" t="s">
        <v>193</v>
      </c>
      <c r="F23" s="28">
        <f>5.87+5.87+2.5+39+22</f>
        <v>75.240000000000009</v>
      </c>
      <c r="G23" s="23" t="s">
        <v>208</v>
      </c>
      <c r="H23" s="33">
        <v>202.49</v>
      </c>
      <c r="I23" s="5" t="s">
        <v>64</v>
      </c>
    </row>
    <row r="24" spans="1:11">
      <c r="A24" s="9"/>
      <c r="B24" s="48"/>
      <c r="C24" s="10"/>
      <c r="D24" s="17">
        <f>351+6.36+345.97+236.72+9.02+4.22+5.88+8.23</f>
        <v>967.40000000000009</v>
      </c>
      <c r="E24" s="51" t="s">
        <v>207</v>
      </c>
      <c r="F24" s="29">
        <f>3.5+22.8+7.5</f>
        <v>33.799999999999997</v>
      </c>
      <c r="G24" s="24" t="s">
        <v>46</v>
      </c>
      <c r="H24" s="34"/>
      <c r="I24" s="6"/>
    </row>
    <row r="25" spans="1:11" s="1" customFormat="1">
      <c r="A25" s="10" t="s">
        <v>174</v>
      </c>
      <c r="B25" s="48"/>
      <c r="C25" s="9" t="s">
        <v>32</v>
      </c>
      <c r="D25" s="17">
        <f>7.92+257.69+268.91</f>
        <v>534.52</v>
      </c>
      <c r="E25" s="51" t="s">
        <v>207</v>
      </c>
      <c r="F25" s="29">
        <f>10+11+11+10</f>
        <v>42</v>
      </c>
      <c r="G25" s="24" t="s">
        <v>104</v>
      </c>
      <c r="H25" s="34"/>
      <c r="I25" s="6"/>
    </row>
    <row r="26" spans="1:11" s="1" customFormat="1">
      <c r="A26" s="10"/>
      <c r="B26" s="48"/>
      <c r="C26" s="9"/>
      <c r="D26" s="17">
        <v>22.99</v>
      </c>
      <c r="E26" s="18" t="s">
        <v>203</v>
      </c>
      <c r="F26" s="29">
        <v>4.5</v>
      </c>
      <c r="G26" s="24" t="s">
        <v>38</v>
      </c>
      <c r="H26" s="34"/>
      <c r="I26" s="6"/>
    </row>
    <row r="27" spans="1:11" s="1" customFormat="1">
      <c r="A27" s="10" t="s">
        <v>174</v>
      </c>
      <c r="B27" s="48"/>
      <c r="C27" s="9" t="s">
        <v>21</v>
      </c>
      <c r="D27" s="17">
        <f>6+7+8.5+5+47.8+45</f>
        <v>119.3</v>
      </c>
      <c r="E27" s="18" t="s">
        <v>216</v>
      </c>
      <c r="F27" s="29">
        <v>175</v>
      </c>
      <c r="G27" s="24" t="s">
        <v>217</v>
      </c>
      <c r="H27" s="34">
        <v>215</v>
      </c>
      <c r="I27" s="6" t="s">
        <v>218</v>
      </c>
    </row>
    <row r="28" spans="1:11">
      <c r="A28" s="10"/>
      <c r="B28" s="14"/>
      <c r="C28" s="10" t="s">
        <v>220</v>
      </c>
      <c r="D28" s="19"/>
      <c r="E28" s="6"/>
      <c r="F28" s="30"/>
      <c r="G28" s="25"/>
      <c r="H28" s="34">
        <v>2784.7</v>
      </c>
      <c r="I28" s="6"/>
    </row>
    <row r="29" spans="1:11">
      <c r="A29" s="10"/>
      <c r="B29" s="14"/>
      <c r="C29" s="9" t="s">
        <v>9</v>
      </c>
      <c r="D29" s="19"/>
      <c r="E29" s="6"/>
      <c r="F29" s="30"/>
      <c r="G29" s="25"/>
      <c r="H29" s="34">
        <f>SUM(842.76+779.76+490.92+270.91+682.38)</f>
        <v>3066.73</v>
      </c>
      <c r="I29" s="2"/>
    </row>
    <row r="30" spans="1:11">
      <c r="A30" s="12" t="s">
        <v>4</v>
      </c>
      <c r="B30" s="10"/>
      <c r="C30" s="10"/>
      <c r="D30" s="20">
        <f>SUM(D23:D29)</f>
        <v>1744.89</v>
      </c>
      <c r="E30" s="6"/>
      <c r="F30" s="31">
        <f>SUM(F23:F29)</f>
        <v>330.54</v>
      </c>
      <c r="G30" s="26"/>
      <c r="H30" s="36">
        <f>SUM(H23:H29)</f>
        <v>6268.92</v>
      </c>
      <c r="I30" s="2"/>
    </row>
    <row r="31" spans="1:11" ht="15.75" thickBot="1">
      <c r="A31" s="13" t="s">
        <v>5</v>
      </c>
      <c r="B31" s="39">
        <f>SUM(D30+F30+H30)</f>
        <v>8344.35</v>
      </c>
      <c r="C31" s="38"/>
      <c r="D31" s="21"/>
      <c r="E31" s="22"/>
      <c r="F31" s="32"/>
      <c r="G31" s="27"/>
      <c r="H31" s="37"/>
      <c r="I31" s="3"/>
    </row>
    <row r="32" spans="1:11">
      <c r="A32" s="8" t="s">
        <v>177</v>
      </c>
      <c r="B32" s="8" t="s">
        <v>176</v>
      </c>
      <c r="C32" s="11" t="s">
        <v>27</v>
      </c>
      <c r="D32" s="15">
        <f>30.23</f>
        <v>30.23</v>
      </c>
      <c r="E32" s="40" t="s">
        <v>53</v>
      </c>
      <c r="F32" s="28">
        <f>16.24+14.49</f>
        <v>30.729999999999997</v>
      </c>
      <c r="G32" s="23" t="s">
        <v>37</v>
      </c>
      <c r="H32" s="33"/>
      <c r="I32" s="5"/>
    </row>
    <row r="33" spans="1:9">
      <c r="A33" s="9"/>
      <c r="B33" s="9"/>
      <c r="C33" s="10"/>
      <c r="D33" s="17"/>
      <c r="E33" s="51"/>
      <c r="F33" s="29">
        <v>21</v>
      </c>
      <c r="G33" s="24" t="s">
        <v>203</v>
      </c>
      <c r="H33" s="34"/>
      <c r="I33" s="6"/>
    </row>
    <row r="34" spans="1:9">
      <c r="A34" s="9"/>
      <c r="B34" s="9"/>
      <c r="C34" s="10" t="s">
        <v>26</v>
      </c>
      <c r="D34" s="17">
        <f>6.83+75+33+7</f>
        <v>121.83</v>
      </c>
      <c r="E34" s="18" t="s">
        <v>207</v>
      </c>
      <c r="F34" s="29">
        <f>14.62+6.2+17.6</f>
        <v>38.42</v>
      </c>
      <c r="G34" s="24" t="s">
        <v>37</v>
      </c>
      <c r="H34" s="34"/>
      <c r="I34" s="6"/>
    </row>
    <row r="35" spans="1:9">
      <c r="A35" s="10"/>
      <c r="B35" s="14"/>
      <c r="C35" s="10" t="s">
        <v>220</v>
      </c>
      <c r="D35" s="19"/>
      <c r="E35" s="6"/>
      <c r="F35" s="30"/>
      <c r="G35" s="25"/>
      <c r="H35" s="35">
        <f>576+8.47+8.47+576</f>
        <v>1168.94</v>
      </c>
      <c r="I35" s="6"/>
    </row>
    <row r="36" spans="1:9">
      <c r="A36" s="10"/>
      <c r="B36" s="14"/>
      <c r="C36" s="9" t="s">
        <v>219</v>
      </c>
      <c r="D36" s="19"/>
      <c r="E36" s="6"/>
      <c r="F36" s="30"/>
      <c r="G36" s="25"/>
      <c r="H36" s="35">
        <f>(1101.08+9+3.63+3.63+141+9+3.63+63+9+1110+9)+(1101.08+9+141+9+3.63+3.63+63+9+1100+9)</f>
        <v>4910.3100000000004</v>
      </c>
      <c r="I36" s="2"/>
    </row>
    <row r="37" spans="1:9">
      <c r="A37" s="12" t="s">
        <v>4</v>
      </c>
      <c r="B37" s="10"/>
      <c r="C37" s="10"/>
      <c r="D37" s="20">
        <f>SUM(D32:D36)</f>
        <v>152.06</v>
      </c>
      <c r="E37" s="6"/>
      <c r="F37" s="31">
        <f>SUM(F32:F36)</f>
        <v>90.15</v>
      </c>
      <c r="G37" s="26"/>
      <c r="H37" s="36">
        <f>SUM(H32:H36)</f>
        <v>6079.25</v>
      </c>
      <c r="I37" s="2"/>
    </row>
    <row r="38" spans="1:9" ht="15.75" thickBot="1">
      <c r="A38" s="13" t="s">
        <v>5</v>
      </c>
      <c r="B38" s="39">
        <f>SUM(D37+F37+H37)</f>
        <v>6321.46</v>
      </c>
      <c r="C38" s="38"/>
      <c r="D38" s="21"/>
      <c r="E38" s="22"/>
      <c r="F38" s="32"/>
      <c r="G38" s="27"/>
      <c r="H38" s="37"/>
      <c r="I38" s="3"/>
    </row>
    <row r="39" spans="1:9">
      <c r="A39" s="8" t="s">
        <v>172</v>
      </c>
      <c r="B39" s="8" t="s">
        <v>149</v>
      </c>
      <c r="C39" s="11" t="s">
        <v>86</v>
      </c>
      <c r="D39" s="15">
        <f>19.81+14.8+19.59+19.47+16.54+9.76+21.42+1.86</f>
        <v>123.25000000000001</v>
      </c>
      <c r="E39" s="40" t="s">
        <v>207</v>
      </c>
      <c r="F39" s="28">
        <f>37.34+37.34+23.58+23.58+4.9+5+62.1+26+2.1+2.1</f>
        <v>224.04</v>
      </c>
      <c r="G39" s="24" t="s">
        <v>197</v>
      </c>
      <c r="H39" s="33">
        <v>36.75</v>
      </c>
      <c r="I39" s="5" t="s">
        <v>64</v>
      </c>
    </row>
    <row r="40" spans="1:9" ht="13.5" customHeight="1">
      <c r="A40" s="9"/>
      <c r="B40" s="9"/>
      <c r="C40" s="10"/>
      <c r="D40" s="17">
        <f>48.97+48+39+39.18</f>
        <v>175.15</v>
      </c>
      <c r="E40" s="18" t="s">
        <v>210</v>
      </c>
      <c r="F40" s="29">
        <f>63+86+86+10+10+55+13+60</f>
        <v>383</v>
      </c>
      <c r="G40" s="24" t="s">
        <v>211</v>
      </c>
      <c r="H40" s="34"/>
      <c r="I40" s="6"/>
    </row>
    <row r="41" spans="1:9" ht="13.5" customHeight="1">
      <c r="A41" s="9"/>
      <c r="B41" s="9"/>
      <c r="C41" s="10"/>
      <c r="D41" s="17"/>
      <c r="E41" s="18"/>
      <c r="F41" s="29">
        <v>7.3</v>
      </c>
      <c r="G41" s="24" t="s">
        <v>51</v>
      </c>
      <c r="H41" s="34"/>
      <c r="I41" s="6"/>
    </row>
    <row r="42" spans="1:9">
      <c r="A42" s="10"/>
      <c r="B42" s="14"/>
      <c r="C42" s="10" t="s">
        <v>220</v>
      </c>
      <c r="D42" s="19"/>
      <c r="E42" s="6"/>
      <c r="F42" s="30"/>
      <c r="G42" s="25"/>
      <c r="H42" s="35">
        <f>558+8.47</f>
        <v>566.47</v>
      </c>
      <c r="I42" s="6"/>
    </row>
    <row r="43" spans="1:9">
      <c r="A43" s="10"/>
      <c r="B43" s="14"/>
      <c r="C43" s="9" t="s">
        <v>219</v>
      </c>
      <c r="D43" s="19"/>
      <c r="E43" s="6"/>
      <c r="F43" s="30"/>
      <c r="G43" s="25"/>
      <c r="H43" s="35">
        <f>(603.8+9)+(464.46+10.89)</f>
        <v>1088.1499999999999</v>
      </c>
      <c r="I43" s="2" t="s">
        <v>223</v>
      </c>
    </row>
    <row r="44" spans="1:9">
      <c r="A44" s="12" t="s">
        <v>4</v>
      </c>
      <c r="B44" s="10"/>
      <c r="C44" s="10"/>
      <c r="D44" s="20">
        <f>SUM(D39:D43)</f>
        <v>298.40000000000003</v>
      </c>
      <c r="E44" s="6"/>
      <c r="F44" s="31">
        <f>SUM(F39:F43)</f>
        <v>614.33999999999992</v>
      </c>
      <c r="G44" s="26"/>
      <c r="H44" s="36">
        <f>SUM(H39:H43)</f>
        <v>1691.37</v>
      </c>
      <c r="I44" s="2"/>
    </row>
    <row r="45" spans="1:9" ht="15.75" thickBot="1">
      <c r="A45" s="13" t="s">
        <v>5</v>
      </c>
      <c r="B45" s="39">
        <f>SUM(D44+F44+H44)</f>
        <v>2604.1099999999997</v>
      </c>
      <c r="C45" s="38"/>
      <c r="D45" s="21"/>
      <c r="E45" s="22"/>
      <c r="F45" s="32"/>
      <c r="G45" s="27"/>
      <c r="H45" s="37"/>
      <c r="I45" s="3"/>
    </row>
    <row r="46" spans="1:9">
      <c r="A46" s="8" t="s">
        <v>178</v>
      </c>
      <c r="B46" s="8" t="s">
        <v>180</v>
      </c>
      <c r="C46" s="11" t="s">
        <v>32</v>
      </c>
      <c r="D46" s="15">
        <f>25.75+52.65+45.32+55.68+32.87</f>
        <v>212.27</v>
      </c>
      <c r="E46" s="40" t="s">
        <v>199</v>
      </c>
      <c r="F46" s="28"/>
      <c r="G46" s="23"/>
      <c r="H46" s="33">
        <f>125+57+99</f>
        <v>281</v>
      </c>
      <c r="I46" s="5" t="s">
        <v>64</v>
      </c>
    </row>
    <row r="47" spans="1:9">
      <c r="A47" s="9"/>
      <c r="B47" s="9"/>
      <c r="C47" s="10"/>
      <c r="D47" s="17">
        <f>126+23+9+142+143+180</f>
        <v>623</v>
      </c>
      <c r="E47" s="51" t="s">
        <v>207</v>
      </c>
      <c r="F47" s="29"/>
      <c r="G47" s="24"/>
      <c r="H47" s="34">
        <f>269+305.88</f>
        <v>574.88</v>
      </c>
      <c r="I47" s="6" t="s">
        <v>54</v>
      </c>
    </row>
    <row r="48" spans="1:9">
      <c r="A48" s="9"/>
      <c r="B48" s="9"/>
      <c r="C48" s="10"/>
      <c r="D48" s="17">
        <v>43.72</v>
      </c>
      <c r="E48" s="18" t="s">
        <v>203</v>
      </c>
      <c r="F48" s="29"/>
      <c r="G48" s="24"/>
      <c r="H48" s="34"/>
      <c r="I48" s="6"/>
    </row>
    <row r="49" spans="1:9" ht="13.5" customHeight="1">
      <c r="A49" s="9" t="s">
        <v>179</v>
      </c>
      <c r="B49" s="9"/>
      <c r="C49" s="10" t="s">
        <v>21</v>
      </c>
      <c r="D49" s="17">
        <f>48+164</f>
        <v>212</v>
      </c>
      <c r="E49" s="51" t="s">
        <v>207</v>
      </c>
      <c r="F49" s="29">
        <v>132</v>
      </c>
      <c r="G49" s="24" t="s">
        <v>37</v>
      </c>
      <c r="H49" s="34">
        <f>30.9+269.13+415.3</f>
        <v>715.32999999999993</v>
      </c>
      <c r="I49" s="6" t="s">
        <v>64</v>
      </c>
    </row>
    <row r="50" spans="1:9">
      <c r="A50" s="9"/>
      <c r="B50" s="9"/>
      <c r="C50" s="10"/>
      <c r="D50" s="17">
        <f>12+25+28+8+27+58+24+52</f>
        <v>234</v>
      </c>
      <c r="E50" s="6" t="s">
        <v>214</v>
      </c>
      <c r="F50" s="17">
        <f>54+41</f>
        <v>95</v>
      </c>
      <c r="G50" s="6" t="s">
        <v>204</v>
      </c>
      <c r="H50" s="35">
        <v>305.88</v>
      </c>
      <c r="I50" s="2" t="s">
        <v>54</v>
      </c>
    </row>
    <row r="51" spans="1:9">
      <c r="A51" s="9"/>
      <c r="B51" s="9"/>
      <c r="C51" s="10"/>
      <c r="D51" s="17"/>
      <c r="E51" s="6"/>
      <c r="F51" s="17"/>
      <c r="G51" s="6"/>
      <c r="H51" s="35"/>
      <c r="I51" s="2"/>
    </row>
    <row r="52" spans="1:9">
      <c r="A52" s="10"/>
      <c r="B52" s="14"/>
      <c r="C52" s="10" t="s">
        <v>220</v>
      </c>
      <c r="D52" s="19"/>
      <c r="E52" s="6"/>
      <c r="F52" s="30"/>
      <c r="G52" s="25"/>
      <c r="H52" s="35">
        <f>(8.47+8.47+8.47+450+350+8.47+8.47+526.11+269)+(8.47+269+8.47+8.47+450+525+8.47)</f>
        <v>2915.34</v>
      </c>
      <c r="I52" s="2"/>
    </row>
    <row r="53" spans="1:9">
      <c r="A53" s="10"/>
      <c r="B53" s="14"/>
      <c r="C53" s="9" t="s">
        <v>9</v>
      </c>
      <c r="D53" s="19"/>
      <c r="E53" s="6"/>
      <c r="F53" s="30"/>
      <c r="G53" s="25"/>
      <c r="H53" s="34">
        <f>SUM(714.8+736.36+309.34+567.93+180)</f>
        <v>2508.4299999999998</v>
      </c>
      <c r="I53" s="2"/>
    </row>
    <row r="54" spans="1:9">
      <c r="A54" s="12" t="s">
        <v>4</v>
      </c>
      <c r="B54" s="10"/>
      <c r="C54" s="10"/>
      <c r="D54" s="20">
        <f>SUM(D46:D53)</f>
        <v>1324.99</v>
      </c>
      <c r="E54" s="6"/>
      <c r="F54" s="31">
        <f>SUM(F46:F53)</f>
        <v>227</v>
      </c>
      <c r="G54" s="26"/>
      <c r="H54" s="36">
        <f>SUM(H46:H53)</f>
        <v>7300.8600000000006</v>
      </c>
      <c r="I54" s="2"/>
    </row>
    <row r="55" spans="1:9" ht="14.25" customHeight="1" thickBot="1">
      <c r="A55" s="13" t="s">
        <v>5</v>
      </c>
      <c r="B55" s="39">
        <f>SUM(D54+F54+H54)</f>
        <v>8852.85</v>
      </c>
      <c r="C55" s="38"/>
      <c r="D55" s="21"/>
      <c r="E55" s="22"/>
      <c r="F55" s="32"/>
      <c r="G55" s="27"/>
      <c r="H55" s="37"/>
      <c r="I55" s="3"/>
    </row>
    <row r="56" spans="1:9">
      <c r="A56" s="53" t="s">
        <v>182</v>
      </c>
      <c r="B56" s="8" t="s">
        <v>181</v>
      </c>
      <c r="C56" s="11" t="s">
        <v>89</v>
      </c>
      <c r="D56" s="15">
        <f>14.77+40.86</f>
        <v>55.629999999999995</v>
      </c>
      <c r="E56" s="40" t="s">
        <v>58</v>
      </c>
      <c r="F56" s="28">
        <v>33</v>
      </c>
      <c r="G56" s="23" t="s">
        <v>44</v>
      </c>
      <c r="H56" s="33">
        <f>52.45+52.8</f>
        <v>105.25</v>
      </c>
      <c r="I56" s="5" t="s">
        <v>64</v>
      </c>
    </row>
    <row r="57" spans="1:9">
      <c r="A57" s="62"/>
      <c r="B57" s="9"/>
      <c r="C57" s="10"/>
      <c r="D57" s="17">
        <v>19</v>
      </c>
      <c r="E57" s="51" t="s">
        <v>37</v>
      </c>
      <c r="F57" s="29">
        <v>116</v>
      </c>
      <c r="G57" s="24" t="s">
        <v>41</v>
      </c>
      <c r="H57" s="34">
        <v>108</v>
      </c>
      <c r="I57" s="6" t="s">
        <v>54</v>
      </c>
    </row>
    <row r="58" spans="1:9">
      <c r="A58" s="62"/>
      <c r="B58" s="9"/>
      <c r="C58" s="10"/>
      <c r="D58" s="17"/>
      <c r="E58" s="51"/>
      <c r="F58" s="29">
        <f>2.2+19.7</f>
        <v>21.9</v>
      </c>
      <c r="G58" s="24" t="s">
        <v>51</v>
      </c>
      <c r="H58" s="34">
        <v>616.89</v>
      </c>
      <c r="I58" s="6" t="s">
        <v>131</v>
      </c>
    </row>
    <row r="59" spans="1:9">
      <c r="A59" s="62"/>
      <c r="B59" s="9"/>
      <c r="C59" s="10"/>
      <c r="D59" s="17"/>
      <c r="E59" s="51"/>
      <c r="F59" s="29"/>
      <c r="G59" s="24"/>
      <c r="H59" s="34"/>
      <c r="I59" s="6"/>
    </row>
    <row r="60" spans="1:9" ht="13.5" customHeight="1">
      <c r="A60" s="9"/>
      <c r="B60" s="9"/>
      <c r="C60" s="10" t="s">
        <v>71</v>
      </c>
      <c r="D60" s="17">
        <f>88+11.19+30+30</f>
        <v>159.19</v>
      </c>
      <c r="E60" s="18" t="s">
        <v>200</v>
      </c>
      <c r="F60" s="29">
        <f>2.8+9.07+9.24+1.6+58</f>
        <v>80.710000000000008</v>
      </c>
      <c r="G60" s="24" t="s">
        <v>197</v>
      </c>
      <c r="H60" s="34">
        <v>4.97</v>
      </c>
      <c r="I60" s="6" t="s">
        <v>64</v>
      </c>
    </row>
    <row r="61" spans="1:9" ht="13.5" customHeight="1">
      <c r="A61" s="9"/>
      <c r="B61" s="9"/>
      <c r="C61" s="10"/>
      <c r="D61" s="17"/>
      <c r="E61" s="18"/>
      <c r="F61" s="29">
        <f>10</f>
        <v>10</v>
      </c>
      <c r="G61" s="24" t="s">
        <v>201</v>
      </c>
      <c r="H61" s="34">
        <v>24</v>
      </c>
      <c r="I61" s="6" t="s">
        <v>64</v>
      </c>
    </row>
    <row r="62" spans="1:9" ht="13.5" customHeight="1">
      <c r="A62" s="9"/>
      <c r="B62" s="9"/>
      <c r="C62" s="10"/>
      <c r="D62" s="17"/>
      <c r="E62" s="18"/>
      <c r="F62" s="29">
        <v>22</v>
      </c>
      <c r="G62" s="24" t="s">
        <v>202</v>
      </c>
      <c r="H62" s="34"/>
      <c r="I62" s="6"/>
    </row>
    <row r="63" spans="1:9" ht="13.5" customHeight="1">
      <c r="A63" s="9"/>
      <c r="B63" s="9"/>
      <c r="C63" s="10"/>
      <c r="D63" s="17"/>
      <c r="E63" s="18"/>
      <c r="F63" s="29">
        <v>18</v>
      </c>
      <c r="G63" s="24" t="s">
        <v>51</v>
      </c>
      <c r="H63" s="34"/>
      <c r="I63" s="6"/>
    </row>
    <row r="64" spans="1:9" ht="13.5" customHeight="1">
      <c r="A64" s="9"/>
      <c r="B64" s="9"/>
      <c r="C64" s="10" t="s">
        <v>220</v>
      </c>
      <c r="D64" s="17"/>
      <c r="E64" s="18"/>
      <c r="F64" s="29"/>
      <c r="G64" s="24"/>
      <c r="H64" s="34">
        <f>(350.57+8.47)*2+(85.43+8.47)</f>
        <v>811.98</v>
      </c>
      <c r="I64" s="6"/>
    </row>
    <row r="65" spans="1:9">
      <c r="A65" s="9"/>
      <c r="B65" s="9"/>
      <c r="C65" s="9" t="s">
        <v>219</v>
      </c>
      <c r="D65" s="17"/>
      <c r="E65" s="6"/>
      <c r="F65" s="29"/>
      <c r="G65" s="24"/>
      <c r="H65" s="35">
        <f>(461.72+9)*2</f>
        <v>941.44</v>
      </c>
      <c r="I65" s="2"/>
    </row>
    <row r="66" spans="1:9">
      <c r="A66" s="12" t="s">
        <v>4</v>
      </c>
      <c r="B66" s="10"/>
      <c r="C66" s="10"/>
      <c r="D66" s="20">
        <f>SUM(D56:D65)</f>
        <v>233.82</v>
      </c>
      <c r="E66" s="6"/>
      <c r="F66" s="31">
        <f>SUM(F56:F65)</f>
        <v>301.61</v>
      </c>
      <c r="G66" s="26"/>
      <c r="H66" s="36">
        <f>SUM(H56:H65)</f>
        <v>2612.5300000000002</v>
      </c>
      <c r="I66" s="2"/>
    </row>
    <row r="67" spans="1:9" ht="14.25" customHeight="1" thickBot="1">
      <c r="A67" s="13" t="s">
        <v>5</v>
      </c>
      <c r="B67" s="39">
        <f>SUM(D66+F66+H66)</f>
        <v>3147.96</v>
      </c>
      <c r="C67" s="38"/>
      <c r="D67" s="21"/>
      <c r="E67" s="22"/>
      <c r="F67" s="32"/>
      <c r="G67" s="27"/>
      <c r="H67" s="37"/>
      <c r="I67" s="3"/>
    </row>
    <row r="68" spans="1:9">
      <c r="A68" s="53" t="s">
        <v>183</v>
      </c>
      <c r="B68" s="8" t="s">
        <v>184</v>
      </c>
      <c r="C68" s="11" t="s">
        <v>30</v>
      </c>
      <c r="D68" s="69">
        <v>14.38</v>
      </c>
      <c r="E68" s="40" t="s">
        <v>51</v>
      </c>
      <c r="F68" s="73">
        <f>8.07+3.1+58+3.1+8.07</f>
        <v>80.34</v>
      </c>
      <c r="G68" s="67" t="s">
        <v>197</v>
      </c>
      <c r="H68" s="70"/>
      <c r="I68" s="5"/>
    </row>
    <row r="69" spans="1:9">
      <c r="A69" s="62"/>
      <c r="B69" s="9"/>
      <c r="C69" s="10"/>
      <c r="D69" s="74"/>
      <c r="E69" s="51"/>
      <c r="F69" s="71">
        <v>7.3</v>
      </c>
      <c r="G69" s="24" t="s">
        <v>51</v>
      </c>
      <c r="H69" s="76"/>
      <c r="I69" s="6"/>
    </row>
    <row r="70" spans="1:9" ht="13.5" customHeight="1">
      <c r="A70" s="9"/>
      <c r="B70" s="9"/>
      <c r="C70" s="10" t="s">
        <v>161</v>
      </c>
      <c r="D70" s="17"/>
      <c r="E70" s="18"/>
      <c r="F70" s="71">
        <f>2.8+2.35</f>
        <v>5.15</v>
      </c>
      <c r="G70" s="24" t="s">
        <v>46</v>
      </c>
      <c r="H70" s="34"/>
      <c r="I70" s="6"/>
    </row>
    <row r="71" spans="1:9" ht="13.5" customHeight="1">
      <c r="A71" s="9"/>
      <c r="B71" s="9"/>
      <c r="C71" s="10"/>
      <c r="D71" s="17"/>
      <c r="E71" s="18"/>
      <c r="F71" s="71">
        <v>118.9</v>
      </c>
      <c r="G71" s="24" t="s">
        <v>37</v>
      </c>
      <c r="H71" s="34"/>
      <c r="I71" s="6"/>
    </row>
    <row r="72" spans="1:9">
      <c r="A72" s="9"/>
      <c r="B72" s="9"/>
      <c r="C72" s="10" t="s">
        <v>220</v>
      </c>
      <c r="D72" s="17"/>
      <c r="E72" s="18"/>
      <c r="F72" s="29"/>
      <c r="G72" s="24"/>
      <c r="H72" s="35"/>
      <c r="I72" s="2"/>
    </row>
    <row r="73" spans="1:9">
      <c r="A73" s="10"/>
      <c r="B73" s="14"/>
      <c r="C73" s="9" t="s">
        <v>219</v>
      </c>
      <c r="D73" s="17"/>
      <c r="E73" s="18"/>
      <c r="F73" s="30"/>
      <c r="G73" s="25"/>
      <c r="H73" s="35">
        <f>481.85*2</f>
        <v>963.7</v>
      </c>
      <c r="I73" s="2" t="s">
        <v>65</v>
      </c>
    </row>
    <row r="74" spans="1:9">
      <c r="A74" s="12" t="s">
        <v>4</v>
      </c>
      <c r="B74" s="10"/>
      <c r="C74" s="10"/>
      <c r="D74" s="20">
        <f>SUM(D68:D73)</f>
        <v>14.38</v>
      </c>
      <c r="E74" s="6"/>
      <c r="F74" s="31">
        <f>SUM(F68:F73)</f>
        <v>211.69</v>
      </c>
      <c r="G74" s="26"/>
      <c r="H74" s="36">
        <f>SUM(H68:H73)</f>
        <v>963.7</v>
      </c>
      <c r="I74" s="2"/>
    </row>
    <row r="75" spans="1:9" ht="14.25" customHeight="1" thickBot="1">
      <c r="A75" s="13" t="s">
        <v>5</v>
      </c>
      <c r="B75" s="39">
        <f>SUM(D74+F74+H74)</f>
        <v>1189.77</v>
      </c>
      <c r="C75" s="38"/>
      <c r="D75" s="21"/>
      <c r="E75" s="22"/>
      <c r="F75" s="32"/>
      <c r="G75" s="27"/>
      <c r="H75" s="37"/>
      <c r="I75" s="3"/>
    </row>
    <row r="76" spans="1:9">
      <c r="A76" s="44">
        <v>41380</v>
      </c>
      <c r="B76" s="8" t="s">
        <v>222</v>
      </c>
      <c r="C76" s="11" t="s">
        <v>26</v>
      </c>
      <c r="D76" s="69"/>
      <c r="E76" s="40"/>
      <c r="F76" s="73">
        <f>137</f>
        <v>137</v>
      </c>
      <c r="G76" s="67" t="s">
        <v>158</v>
      </c>
      <c r="H76" s="70">
        <v>123.77</v>
      </c>
      <c r="I76" s="5" t="s">
        <v>64</v>
      </c>
    </row>
    <row r="77" spans="1:9">
      <c r="A77" s="52"/>
      <c r="B77" s="9"/>
      <c r="C77" s="10"/>
      <c r="D77" s="74"/>
      <c r="E77" s="51"/>
      <c r="F77" s="71">
        <f>3.83+3.05+13.68+14.12</f>
        <v>34.68</v>
      </c>
      <c r="G77" s="75" t="s">
        <v>37</v>
      </c>
      <c r="H77" s="76"/>
      <c r="I77" s="6"/>
    </row>
    <row r="78" spans="1:9">
      <c r="A78" s="52"/>
      <c r="B78" s="9"/>
      <c r="C78" s="10"/>
      <c r="D78" s="74"/>
      <c r="E78" s="51"/>
      <c r="F78" s="71"/>
      <c r="G78" s="75"/>
      <c r="H78" s="76"/>
      <c r="I78" s="6"/>
    </row>
    <row r="79" spans="1:9" ht="13.5" customHeight="1">
      <c r="A79" s="9"/>
      <c r="B79" s="9"/>
      <c r="C79" s="10" t="s">
        <v>27</v>
      </c>
      <c r="D79" s="17"/>
      <c r="E79" s="18"/>
      <c r="F79" s="71">
        <f>13.45+27.12</f>
        <v>40.57</v>
      </c>
      <c r="G79" s="24" t="s">
        <v>37</v>
      </c>
      <c r="H79" s="34">
        <v>167.7</v>
      </c>
      <c r="I79" s="6" t="s">
        <v>131</v>
      </c>
    </row>
    <row r="80" spans="1:9" ht="13.5" customHeight="1">
      <c r="A80" s="9"/>
      <c r="B80" s="9"/>
      <c r="C80" s="10"/>
      <c r="D80" s="17"/>
      <c r="E80" s="18"/>
      <c r="F80" s="71"/>
      <c r="G80" s="24"/>
      <c r="H80" s="34">
        <v>388.63</v>
      </c>
      <c r="I80" s="6" t="s">
        <v>54</v>
      </c>
    </row>
    <row r="81" spans="1:9" ht="13.5" customHeight="1">
      <c r="A81" s="9"/>
      <c r="B81" s="9"/>
      <c r="C81" s="10"/>
      <c r="D81" s="17"/>
      <c r="E81" s="18"/>
      <c r="F81" s="71"/>
      <c r="G81" s="24"/>
      <c r="H81" s="34"/>
      <c r="I81" s="6"/>
    </row>
    <row r="82" spans="1:9">
      <c r="A82" s="9"/>
      <c r="B82" s="9"/>
      <c r="C82" s="10" t="s">
        <v>220</v>
      </c>
      <c r="D82" s="17"/>
      <c r="E82" s="18"/>
      <c r="F82" s="29"/>
      <c r="G82" s="24"/>
      <c r="H82" s="35">
        <f>303+478+8.47+8.47+8.47+602+8.47</f>
        <v>1416.88</v>
      </c>
      <c r="I82" s="2" t="s">
        <v>224</v>
      </c>
    </row>
    <row r="83" spans="1:9">
      <c r="A83" s="10"/>
      <c r="B83" s="14"/>
      <c r="C83" s="9" t="s">
        <v>219</v>
      </c>
      <c r="D83" s="17"/>
      <c r="E83" s="18"/>
      <c r="F83" s="30"/>
      <c r="G83" s="25"/>
      <c r="H83" s="35">
        <f>946.66+9+946.66+9</f>
        <v>1911.32</v>
      </c>
      <c r="I83" s="2"/>
    </row>
    <row r="84" spans="1:9">
      <c r="A84" s="12" t="s">
        <v>4</v>
      </c>
      <c r="B84" s="10"/>
      <c r="C84" s="10"/>
      <c r="D84" s="20">
        <f>SUM(D76:D83)</f>
        <v>0</v>
      </c>
      <c r="E84" s="6"/>
      <c r="F84" s="31">
        <f>SUM(F76:F83)</f>
        <v>212.25</v>
      </c>
      <c r="G84" s="26"/>
      <c r="H84" s="36">
        <f>SUM(H76:H83)</f>
        <v>4008.3</v>
      </c>
      <c r="I84" s="2"/>
    </row>
    <row r="85" spans="1:9" ht="14.25" customHeight="1" thickBot="1">
      <c r="A85" s="13" t="s">
        <v>5</v>
      </c>
      <c r="B85" s="39">
        <f>SUM(D84+F84+H84)</f>
        <v>4220.55</v>
      </c>
      <c r="C85" s="38"/>
      <c r="D85" s="21"/>
      <c r="E85" s="22"/>
      <c r="F85" s="32"/>
      <c r="G85" s="27"/>
      <c r="H85" s="37"/>
      <c r="I85" s="3"/>
    </row>
    <row r="86" spans="1:9">
      <c r="A86" s="53" t="s">
        <v>186</v>
      </c>
      <c r="B86" s="8" t="s">
        <v>185</v>
      </c>
      <c r="C86" s="11" t="s">
        <v>84</v>
      </c>
      <c r="D86" s="63"/>
      <c r="E86" s="40"/>
      <c r="F86" s="73">
        <f>5.87+87+2.7+2.7+5.87</f>
        <v>104.14000000000001</v>
      </c>
      <c r="G86" s="67" t="s">
        <v>209</v>
      </c>
      <c r="H86" s="64"/>
      <c r="I86" s="5"/>
    </row>
    <row r="87" spans="1:9">
      <c r="A87" s="62"/>
      <c r="B87" s="9"/>
      <c r="C87" s="10"/>
      <c r="D87" s="65"/>
      <c r="E87" s="51"/>
      <c r="F87" s="71">
        <f>4.8+4.5+24.3</f>
        <v>33.6</v>
      </c>
      <c r="G87" s="75" t="s">
        <v>46</v>
      </c>
      <c r="H87" s="66"/>
      <c r="I87" s="6"/>
    </row>
    <row r="88" spans="1:9" ht="13.5" customHeight="1">
      <c r="A88" s="9"/>
      <c r="B88" s="9"/>
      <c r="C88" s="10" t="s">
        <v>18</v>
      </c>
      <c r="D88" s="17">
        <f>15.05+42+32+36+20+50+37.5</f>
        <v>232.55</v>
      </c>
      <c r="E88" s="18" t="s">
        <v>206</v>
      </c>
      <c r="F88" s="71">
        <f>17.7+11+28.5</f>
        <v>57.2</v>
      </c>
      <c r="G88" s="24" t="s">
        <v>205</v>
      </c>
      <c r="H88" s="34">
        <v>87.72</v>
      </c>
      <c r="I88" s="6" t="s">
        <v>64</v>
      </c>
    </row>
    <row r="89" spans="1:9" ht="13.5" customHeight="1">
      <c r="A89" s="9"/>
      <c r="B89" s="9"/>
      <c r="C89" s="10"/>
      <c r="D89" s="17">
        <v>193</v>
      </c>
      <c r="E89" s="18" t="s">
        <v>51</v>
      </c>
      <c r="F89" s="71">
        <v>80</v>
      </c>
      <c r="G89" s="24" t="s">
        <v>204</v>
      </c>
      <c r="H89" s="34"/>
      <c r="I89" s="6"/>
    </row>
    <row r="90" spans="1:9">
      <c r="A90" s="9"/>
      <c r="B90" s="9"/>
      <c r="C90" s="10" t="s">
        <v>220</v>
      </c>
      <c r="D90" s="17"/>
      <c r="E90" s="18"/>
      <c r="F90" s="29"/>
      <c r="G90" s="24"/>
      <c r="H90" s="35">
        <f>(339.63+8.47*3)*2</f>
        <v>730.08</v>
      </c>
      <c r="I90" s="2"/>
    </row>
    <row r="91" spans="1:9">
      <c r="A91" s="10"/>
      <c r="B91" s="14"/>
      <c r="C91" s="9" t="s">
        <v>219</v>
      </c>
      <c r="D91" s="17"/>
      <c r="E91" s="18"/>
      <c r="F91" s="30"/>
      <c r="G91" s="25"/>
      <c r="H91" s="35">
        <f>(306.47+34+9)*2</f>
        <v>698.94</v>
      </c>
      <c r="I91" s="2" t="s">
        <v>65</v>
      </c>
    </row>
    <row r="92" spans="1:9">
      <c r="A92" s="12" t="s">
        <v>4</v>
      </c>
      <c r="B92" s="10"/>
      <c r="C92" s="10"/>
      <c r="D92" s="20">
        <f>SUM(D86:D91)</f>
        <v>425.55</v>
      </c>
      <c r="E92" s="6"/>
      <c r="F92" s="31">
        <f>SUM(F86:F91)</f>
        <v>274.94</v>
      </c>
      <c r="G92" s="26"/>
      <c r="H92" s="36">
        <f>SUM(H86:H91)</f>
        <v>1516.7400000000002</v>
      </c>
      <c r="I92" s="2"/>
    </row>
    <row r="93" spans="1:9" ht="14.25" customHeight="1" thickBot="1">
      <c r="A93" s="13" t="s">
        <v>5</v>
      </c>
      <c r="B93" s="39">
        <f>SUM(D92+F92+H92)</f>
        <v>2217.2300000000005</v>
      </c>
      <c r="C93" s="38"/>
      <c r="D93" s="21"/>
      <c r="E93" s="22"/>
      <c r="F93" s="32"/>
      <c r="G93" s="27"/>
      <c r="H93" s="37"/>
      <c r="I93" s="3"/>
    </row>
    <row r="94" spans="1:9" ht="14.25" customHeight="1">
      <c r="A94" s="53" t="s">
        <v>188</v>
      </c>
      <c r="B94" s="8" t="s">
        <v>187</v>
      </c>
      <c r="C94" s="77" t="s">
        <v>84</v>
      </c>
      <c r="D94" s="63"/>
      <c r="E94" s="78"/>
      <c r="F94" s="71">
        <f>2.7+2.7+2.7+87+5.87+5.87</f>
        <v>106.84</v>
      </c>
      <c r="G94" s="67" t="s">
        <v>209</v>
      </c>
      <c r="H94" s="35">
        <v>47.51</v>
      </c>
      <c r="I94" s="2" t="s">
        <v>64</v>
      </c>
    </row>
    <row r="95" spans="1:9" ht="14.25" customHeight="1">
      <c r="A95" s="62"/>
      <c r="B95" s="9"/>
      <c r="C95" s="77"/>
      <c r="D95" s="65"/>
      <c r="E95" s="78"/>
      <c r="F95" s="71">
        <f>4.4+13.2</f>
        <v>17.600000000000001</v>
      </c>
      <c r="G95" s="75" t="s">
        <v>46</v>
      </c>
      <c r="H95" s="35"/>
      <c r="I95" s="2"/>
    </row>
    <row r="96" spans="1:9" ht="14.25" customHeight="1">
      <c r="A96" s="62"/>
      <c r="B96" s="9"/>
      <c r="C96" s="77"/>
      <c r="D96" s="65"/>
      <c r="E96" s="78"/>
      <c r="F96" s="71">
        <v>10</v>
      </c>
      <c r="G96" s="75" t="s">
        <v>203</v>
      </c>
      <c r="H96" s="35"/>
      <c r="I96" s="2"/>
    </row>
    <row r="97" spans="1:9" ht="13.5" customHeight="1">
      <c r="A97" s="9"/>
      <c r="B97" s="9"/>
      <c r="C97" s="10" t="s">
        <v>161</v>
      </c>
      <c r="D97" s="17">
        <f>81+17+65+13+5.8+8.3+7.4+35+18+8+79+196.42</f>
        <v>533.91999999999996</v>
      </c>
      <c r="E97" s="18" t="s">
        <v>212</v>
      </c>
      <c r="F97" s="29">
        <f>1.47+1.47</f>
        <v>2.94</v>
      </c>
      <c r="G97" s="24" t="s">
        <v>41</v>
      </c>
      <c r="H97" s="34">
        <v>31</v>
      </c>
      <c r="I97" s="6" t="s">
        <v>36</v>
      </c>
    </row>
    <row r="98" spans="1:9" ht="13.5" customHeight="1">
      <c r="A98" s="9"/>
      <c r="B98" s="9"/>
      <c r="C98" s="10"/>
      <c r="D98" s="17">
        <f>36+6+95+8+4.5+81+38.25</f>
        <v>268.75</v>
      </c>
      <c r="E98" s="18" t="s">
        <v>207</v>
      </c>
      <c r="F98" s="29">
        <v>3.9</v>
      </c>
      <c r="G98" s="24" t="s">
        <v>38</v>
      </c>
      <c r="H98" s="34"/>
      <c r="I98" s="6"/>
    </row>
    <row r="99" spans="1:9" ht="13.5" customHeight="1">
      <c r="A99" s="9"/>
      <c r="B99" s="9"/>
      <c r="C99" s="10" t="s">
        <v>89</v>
      </c>
      <c r="D99" s="17">
        <f>7.74+8.68+7.6+41.8+66</f>
        <v>131.82</v>
      </c>
      <c r="E99" s="18" t="s">
        <v>198</v>
      </c>
      <c r="F99" s="29">
        <v>40</v>
      </c>
      <c r="G99" s="24" t="s">
        <v>44</v>
      </c>
      <c r="H99" s="34">
        <v>56</v>
      </c>
      <c r="I99" s="6" t="s">
        <v>36</v>
      </c>
    </row>
    <row r="100" spans="1:9" ht="13.5" customHeight="1">
      <c r="A100" s="9"/>
      <c r="B100" s="9"/>
      <c r="C100" s="10"/>
      <c r="D100" s="17"/>
      <c r="E100" s="18"/>
      <c r="F100" s="29">
        <v>116</v>
      </c>
      <c r="G100" s="24" t="s">
        <v>41</v>
      </c>
      <c r="H100" s="34"/>
      <c r="I100" s="6"/>
    </row>
    <row r="101" spans="1:9">
      <c r="A101" s="9"/>
      <c r="B101" s="9"/>
      <c r="C101" s="10"/>
      <c r="D101" s="17"/>
      <c r="E101" s="18"/>
      <c r="F101" s="29">
        <v>24.4</v>
      </c>
      <c r="G101" s="24" t="s">
        <v>51</v>
      </c>
      <c r="H101" s="35"/>
      <c r="I101" s="2"/>
    </row>
    <row r="102" spans="1:9">
      <c r="A102" s="9"/>
      <c r="B102" s="9"/>
      <c r="C102" s="10" t="s">
        <v>220</v>
      </c>
      <c r="D102" s="17"/>
      <c r="E102" s="18"/>
      <c r="F102" s="29"/>
      <c r="G102" s="24"/>
      <c r="H102" s="34">
        <f>(361.74+8.47)*2+(87.99+8.47+361.74)</f>
        <v>1198.6200000000001</v>
      </c>
      <c r="I102" s="2"/>
    </row>
    <row r="103" spans="1:9">
      <c r="A103" s="10"/>
      <c r="B103" s="14"/>
      <c r="C103" s="9" t="s">
        <v>219</v>
      </c>
      <c r="D103" s="17"/>
      <c r="E103" s="18"/>
      <c r="F103" s="30"/>
      <c r="G103" s="25"/>
      <c r="H103" s="34">
        <f>(346.09+9)*2+(160.86+9+458.66+9)</f>
        <v>1347.6999999999998</v>
      </c>
      <c r="I103" s="2" t="s">
        <v>225</v>
      </c>
    </row>
    <row r="104" spans="1:9">
      <c r="A104" s="12" t="s">
        <v>4</v>
      </c>
      <c r="B104" s="10"/>
      <c r="C104" s="10"/>
      <c r="D104" s="20">
        <f>SUM(D100:D103)</f>
        <v>0</v>
      </c>
      <c r="E104" s="6"/>
      <c r="F104" s="31">
        <f>SUM(F100:F103)</f>
        <v>140.4</v>
      </c>
      <c r="G104" s="26"/>
      <c r="H104" s="36">
        <f>SUM(H100:H103)</f>
        <v>2546.3199999999997</v>
      </c>
      <c r="I104" s="2"/>
    </row>
    <row r="105" spans="1:9" ht="14.25" customHeight="1" thickBot="1">
      <c r="A105" s="13" t="s">
        <v>5</v>
      </c>
      <c r="B105" s="39">
        <f>SUM(D104+F104+H104)</f>
        <v>2686.72</v>
      </c>
      <c r="C105" s="38"/>
      <c r="D105" s="21"/>
      <c r="E105" s="22"/>
      <c r="F105" s="32"/>
      <c r="G105" s="27"/>
      <c r="H105" s="37"/>
      <c r="I105" s="3"/>
    </row>
    <row r="106" spans="1:9">
      <c r="A106" s="8" t="s">
        <v>190</v>
      </c>
      <c r="B106" s="8" t="s">
        <v>189</v>
      </c>
      <c r="C106" s="11" t="s">
        <v>30</v>
      </c>
      <c r="D106" s="29">
        <f>50+41.2</f>
        <v>91.2</v>
      </c>
      <c r="E106" s="40" t="s">
        <v>199</v>
      </c>
      <c r="F106" s="28">
        <f>1.76+11+8.07+3.1+55+11.74+3.1</f>
        <v>93.77</v>
      </c>
      <c r="G106" s="23" t="s">
        <v>197</v>
      </c>
      <c r="H106" s="33"/>
      <c r="I106" s="5"/>
    </row>
    <row r="107" spans="1:9">
      <c r="A107" s="9"/>
      <c r="B107" s="9"/>
      <c r="C107" s="10"/>
      <c r="D107" s="17">
        <v>120</v>
      </c>
      <c r="E107" s="51" t="s">
        <v>53</v>
      </c>
      <c r="F107" s="29"/>
      <c r="G107" s="24"/>
      <c r="H107" s="34"/>
      <c r="I107" s="6"/>
    </row>
    <row r="108" spans="1:9">
      <c r="A108" s="9"/>
      <c r="B108" s="9"/>
      <c r="C108" s="10" t="s">
        <v>18</v>
      </c>
      <c r="D108" s="17"/>
      <c r="E108" s="51"/>
      <c r="F108" s="29">
        <v>20.3</v>
      </c>
      <c r="G108" s="24" t="s">
        <v>37</v>
      </c>
      <c r="H108" s="34"/>
      <c r="I108" s="6"/>
    </row>
    <row r="109" spans="1:9">
      <c r="A109" s="10"/>
      <c r="B109" s="14"/>
      <c r="C109" s="10" t="s">
        <v>220</v>
      </c>
      <c r="D109" s="19"/>
      <c r="E109" s="6"/>
      <c r="F109" s="30"/>
      <c r="G109" s="25"/>
      <c r="H109" s="35">
        <f>221.1*2</f>
        <v>442.2</v>
      </c>
      <c r="I109" s="6"/>
    </row>
    <row r="110" spans="1:9">
      <c r="A110" s="10"/>
      <c r="B110" s="14"/>
      <c r="C110" s="9" t="s">
        <v>219</v>
      </c>
      <c r="D110" s="19"/>
      <c r="E110" s="6"/>
      <c r="F110" s="30"/>
      <c r="G110" s="25"/>
      <c r="H110" s="35">
        <f>700.25*2</f>
        <v>1400.5</v>
      </c>
      <c r="I110" s="2" t="s">
        <v>221</v>
      </c>
    </row>
    <row r="111" spans="1:9">
      <c r="A111" s="12" t="s">
        <v>4</v>
      </c>
      <c r="B111" s="10"/>
      <c r="C111" s="10"/>
      <c r="D111" s="20">
        <f>SUM(D106:D110)</f>
        <v>211.2</v>
      </c>
      <c r="E111" s="6"/>
      <c r="F111" s="31">
        <f>SUM(F106:F110)</f>
        <v>114.07</v>
      </c>
      <c r="G111" s="26"/>
      <c r="H111" s="36">
        <f>SUM(H106:H110)</f>
        <v>1842.7</v>
      </c>
      <c r="I111" s="2"/>
    </row>
    <row r="112" spans="1:9" ht="15.75" thickBot="1">
      <c r="A112" s="13" t="s">
        <v>5</v>
      </c>
      <c r="B112" s="39">
        <f>SUM(D111+F111+H111)</f>
        <v>2167.9700000000003</v>
      </c>
      <c r="C112" s="38"/>
      <c r="D112" s="21"/>
      <c r="E112" s="22"/>
      <c r="F112" s="32"/>
      <c r="G112" s="27"/>
      <c r="H112" s="37"/>
      <c r="I112" s="3"/>
    </row>
    <row r="113" spans="1:13">
      <c r="A113" s="8" t="s">
        <v>192</v>
      </c>
      <c r="B113" s="8" t="s">
        <v>191</v>
      </c>
      <c r="C113" s="11" t="s">
        <v>21</v>
      </c>
      <c r="D113" s="15">
        <f>57</f>
        <v>57</v>
      </c>
      <c r="E113" s="40" t="s">
        <v>51</v>
      </c>
      <c r="F113" s="28"/>
      <c r="G113" s="23"/>
      <c r="H113" s="33">
        <v>290</v>
      </c>
      <c r="I113" s="5" t="s">
        <v>54</v>
      </c>
    </row>
    <row r="114" spans="1:13">
      <c r="A114" s="9"/>
      <c r="B114" s="9"/>
      <c r="C114" s="10"/>
      <c r="D114" s="17">
        <v>460</v>
      </c>
      <c r="E114" s="51" t="s">
        <v>215</v>
      </c>
      <c r="F114" s="29"/>
      <c r="G114" s="24"/>
      <c r="H114" s="34"/>
      <c r="I114" s="6"/>
    </row>
    <row r="115" spans="1:13">
      <c r="A115" s="10"/>
      <c r="B115" s="14"/>
      <c r="C115" s="10" t="s">
        <v>220</v>
      </c>
      <c r="D115" s="19"/>
      <c r="E115" s="6"/>
      <c r="F115" s="30"/>
      <c r="G115" s="25"/>
      <c r="H115" s="34">
        <v>300</v>
      </c>
      <c r="I115" s="6"/>
    </row>
    <row r="116" spans="1:13">
      <c r="A116" s="12" t="s">
        <v>4</v>
      </c>
      <c r="B116" s="10"/>
      <c r="C116" s="10"/>
      <c r="D116" s="20">
        <f>SUM(D113:D115)</f>
        <v>517</v>
      </c>
      <c r="E116" s="6"/>
      <c r="F116" s="31">
        <f>SUM(F113:F115)</f>
        <v>0</v>
      </c>
      <c r="G116" s="26"/>
      <c r="H116" s="36">
        <f>SUM(H113:H115)</f>
        <v>590</v>
      </c>
      <c r="I116" s="2"/>
    </row>
    <row r="117" spans="1:13" ht="15.75" thickBot="1">
      <c r="A117" s="13" t="s">
        <v>5</v>
      </c>
      <c r="B117" s="39">
        <f>SUM(D116+F116+H116)</f>
        <v>1107</v>
      </c>
      <c r="C117" s="38"/>
      <c r="D117" s="21"/>
      <c r="E117" s="22"/>
      <c r="F117" s="32"/>
      <c r="G117" s="27"/>
      <c r="H117" s="37"/>
      <c r="I117" s="3"/>
    </row>
    <row r="118" spans="1:13" ht="15.75" thickBot="1"/>
    <row r="119" spans="1:13" ht="20.25" thickBot="1">
      <c r="A119" s="41" t="s">
        <v>10</v>
      </c>
      <c r="B119" s="42">
        <f>SUM(B10+B17+B22+B31+B38+B45+B55+B67+B75+B85+B93+B105+B112+B117)</f>
        <v>49220.130000000005</v>
      </c>
    </row>
    <row r="121" spans="1:13">
      <c r="A121" s="45"/>
      <c r="B121" s="43"/>
      <c r="C121" s="43"/>
      <c r="D121" s="47"/>
      <c r="E121" s="47"/>
      <c r="F121" s="46"/>
      <c r="G121" s="48"/>
      <c r="H121" s="43"/>
      <c r="I121" s="46"/>
      <c r="J121" s="49"/>
      <c r="K121" s="50"/>
      <c r="L121" s="50"/>
      <c r="M121" s="5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11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>
      <c r="A2" s="44" t="s">
        <v>256</v>
      </c>
      <c r="B2" s="54" t="s">
        <v>227</v>
      </c>
      <c r="C2" s="8" t="s">
        <v>86</v>
      </c>
      <c r="D2" s="69">
        <v>24.93</v>
      </c>
      <c r="E2" s="16" t="s">
        <v>37</v>
      </c>
      <c r="F2" s="73">
        <v>27.45</v>
      </c>
      <c r="G2" s="23" t="s">
        <v>264</v>
      </c>
      <c r="H2" s="70">
        <v>487.12</v>
      </c>
      <c r="I2" s="80" t="s">
        <v>54</v>
      </c>
    </row>
    <row r="3" spans="1:11" s="1" customFormat="1">
      <c r="A3" s="9"/>
      <c r="B3" s="79" t="s">
        <v>228</v>
      </c>
      <c r="C3" s="9"/>
      <c r="D3" s="74">
        <f>42.27+2</f>
        <v>44.27</v>
      </c>
      <c r="E3" s="18" t="s">
        <v>207</v>
      </c>
      <c r="F3" s="58"/>
      <c r="G3" s="24"/>
      <c r="H3" s="76">
        <v>127.53</v>
      </c>
      <c r="I3" s="81" t="s">
        <v>64</v>
      </c>
    </row>
    <row r="4" spans="1:11" s="1" customFormat="1">
      <c r="A4" s="9"/>
      <c r="B4" s="79"/>
      <c r="C4" s="9"/>
      <c r="D4" s="74"/>
      <c r="E4" s="18"/>
      <c r="F4" s="58"/>
      <c r="G4" s="24"/>
      <c r="H4" s="76"/>
      <c r="I4" s="81"/>
    </row>
    <row r="5" spans="1:11" s="1" customFormat="1">
      <c r="A5" s="10"/>
      <c r="B5" s="43"/>
      <c r="C5" s="9"/>
      <c r="D5" s="55"/>
      <c r="E5" s="18"/>
      <c r="F5" s="71"/>
      <c r="G5" s="24"/>
      <c r="H5" s="34"/>
      <c r="I5" s="6"/>
    </row>
    <row r="6" spans="1:11" s="1" customFormat="1">
      <c r="A6" s="9"/>
      <c r="B6" s="9"/>
      <c r="C6" s="10" t="s">
        <v>89</v>
      </c>
      <c r="D6" s="55"/>
      <c r="E6" s="18"/>
      <c r="F6" s="29"/>
      <c r="G6" s="24"/>
      <c r="H6" s="34">
        <v>366.05</v>
      </c>
      <c r="I6" s="6" t="s">
        <v>54</v>
      </c>
    </row>
    <row r="7" spans="1:11" s="1" customFormat="1">
      <c r="A7" s="9"/>
      <c r="B7" s="9"/>
      <c r="C7" s="10" t="s">
        <v>220</v>
      </c>
      <c r="D7" s="55"/>
      <c r="E7" s="18"/>
      <c r="F7" s="29"/>
      <c r="G7" s="24"/>
      <c r="H7" s="34">
        <v>558.80999999999995</v>
      </c>
      <c r="I7" s="6" t="s">
        <v>429</v>
      </c>
    </row>
    <row r="8" spans="1:11" s="1" customFormat="1">
      <c r="A8" s="9"/>
      <c r="B8" s="9"/>
      <c r="C8" s="10" t="s">
        <v>234</v>
      </c>
      <c r="D8" s="17"/>
      <c r="E8" s="18"/>
      <c r="F8" s="29"/>
      <c r="G8" s="24"/>
      <c r="H8" s="34"/>
      <c r="I8" s="6"/>
    </row>
    <row r="9" spans="1:11" s="1" customFormat="1">
      <c r="A9" s="9"/>
      <c r="B9" s="9"/>
      <c r="C9" s="9"/>
      <c r="D9" s="17"/>
      <c r="E9" s="18"/>
      <c r="F9" s="29"/>
      <c r="G9" s="24"/>
      <c r="H9" s="34"/>
      <c r="I9" s="2"/>
      <c r="K9" s="4"/>
    </row>
    <row r="10" spans="1:11" s="1" customFormat="1">
      <c r="A10" s="12" t="s">
        <v>4</v>
      </c>
      <c r="B10" s="10"/>
      <c r="C10" s="10"/>
      <c r="D10" s="20">
        <f>SUM(D2:D9)</f>
        <v>69.2</v>
      </c>
      <c r="E10" s="6"/>
      <c r="F10" s="31">
        <f>SUM(F2:F9)</f>
        <v>27.45</v>
      </c>
      <c r="G10" s="26"/>
      <c r="H10" s="36">
        <f>SUM(H2:H9)</f>
        <v>1539.51</v>
      </c>
      <c r="I10" s="2"/>
    </row>
    <row r="11" spans="1:11" s="1" customFormat="1" ht="15.75" thickBot="1">
      <c r="A11" s="13" t="s">
        <v>5</v>
      </c>
      <c r="B11" s="39">
        <f>SUM(D10+F10+H10)</f>
        <v>1636.16</v>
      </c>
      <c r="C11" s="38"/>
      <c r="D11" s="21"/>
      <c r="E11" s="22"/>
      <c r="F11" s="32"/>
      <c r="G11" s="27"/>
      <c r="H11" s="37"/>
      <c r="I11" s="3"/>
    </row>
    <row r="12" spans="1:11" s="1" customFormat="1">
      <c r="A12" s="44" t="s">
        <v>269</v>
      </c>
      <c r="B12" s="54" t="s">
        <v>270</v>
      </c>
      <c r="C12" s="8" t="s">
        <v>13</v>
      </c>
      <c r="D12" s="69">
        <v>39.619999999999997</v>
      </c>
      <c r="E12" s="16" t="s">
        <v>37</v>
      </c>
      <c r="F12" s="73"/>
      <c r="G12" s="23"/>
      <c r="H12" s="70">
        <v>1002</v>
      </c>
      <c r="I12" s="80" t="s">
        <v>54</v>
      </c>
    </row>
    <row r="13" spans="1:11" s="1" customFormat="1">
      <c r="A13" s="9"/>
      <c r="B13" s="79"/>
      <c r="C13" s="9"/>
      <c r="D13" s="74">
        <v>673.22</v>
      </c>
      <c r="E13" s="18" t="s">
        <v>207</v>
      </c>
      <c r="F13" s="58"/>
      <c r="G13" s="24"/>
      <c r="H13" s="76">
        <v>2925.95</v>
      </c>
      <c r="I13" s="81" t="s">
        <v>54</v>
      </c>
    </row>
    <row r="14" spans="1:11" s="1" customFormat="1">
      <c r="A14" s="10"/>
      <c r="B14" s="43"/>
      <c r="C14" s="9"/>
      <c r="D14" s="55"/>
      <c r="E14" s="18"/>
      <c r="F14" s="71"/>
      <c r="G14" s="24"/>
      <c r="H14" s="34">
        <v>13693.59</v>
      </c>
      <c r="I14" s="6" t="s">
        <v>65</v>
      </c>
    </row>
    <row r="15" spans="1:11" s="1" customFormat="1">
      <c r="A15" s="9"/>
      <c r="B15" s="9"/>
      <c r="C15" s="10"/>
      <c r="D15" s="55"/>
      <c r="E15" s="18"/>
      <c r="F15" s="29"/>
      <c r="G15" s="24"/>
      <c r="H15" s="34"/>
      <c r="I15" s="6"/>
    </row>
    <row r="16" spans="1:11" s="1" customFormat="1">
      <c r="A16" s="9"/>
      <c r="B16" s="9"/>
      <c r="C16" s="10"/>
      <c r="D16" s="55"/>
      <c r="E16" s="18"/>
      <c r="F16" s="29"/>
      <c r="G16" s="24"/>
      <c r="H16" s="34"/>
      <c r="I16" s="6"/>
    </row>
    <row r="17" spans="1:11" s="1" customFormat="1">
      <c r="A17" s="9"/>
      <c r="B17" s="9"/>
      <c r="C17" s="10"/>
      <c r="D17" s="17"/>
      <c r="E17" s="18"/>
      <c r="F17" s="29"/>
      <c r="G17" s="24"/>
      <c r="H17" s="34"/>
      <c r="I17" s="6"/>
    </row>
    <row r="18" spans="1:11" s="1" customFormat="1">
      <c r="A18" s="9"/>
      <c r="B18" s="9"/>
      <c r="C18" s="9"/>
      <c r="D18" s="17"/>
      <c r="E18" s="18"/>
      <c r="F18" s="29"/>
      <c r="G18" s="24"/>
      <c r="H18" s="34"/>
      <c r="I18" s="2"/>
      <c r="K18" s="4"/>
    </row>
    <row r="19" spans="1:11" s="1" customFormat="1">
      <c r="A19" s="12" t="s">
        <v>4</v>
      </c>
      <c r="B19" s="10"/>
      <c r="C19" s="10"/>
      <c r="D19" s="20">
        <f>SUM(D12:D18)</f>
        <v>712.84</v>
      </c>
      <c r="E19" s="6"/>
      <c r="F19" s="31">
        <f>SUM(F12:F18)</f>
        <v>0</v>
      </c>
      <c r="G19" s="26"/>
      <c r="H19" s="36">
        <f>SUM(H12:H18)</f>
        <v>17621.54</v>
      </c>
      <c r="I19" s="2"/>
    </row>
    <row r="20" spans="1:11" s="1" customFormat="1" ht="15.75" thickBot="1">
      <c r="A20" s="13" t="s">
        <v>5</v>
      </c>
      <c r="B20" s="39">
        <f>SUM(D19+F19+H19)</f>
        <v>18334.38</v>
      </c>
      <c r="C20" s="38"/>
      <c r="D20" s="21"/>
      <c r="E20" s="22"/>
      <c r="F20" s="32"/>
      <c r="G20" s="27"/>
      <c r="H20" s="37"/>
      <c r="I20" s="3"/>
    </row>
    <row r="21" spans="1:11" s="1" customFormat="1">
      <c r="A21" s="82">
        <v>41403</v>
      </c>
      <c r="B21" s="48" t="s">
        <v>229</v>
      </c>
      <c r="C21" s="8" t="s">
        <v>21</v>
      </c>
      <c r="D21" s="15">
        <v>2.57</v>
      </c>
      <c r="E21" s="16" t="s">
        <v>207</v>
      </c>
      <c r="F21" s="28"/>
      <c r="G21" s="23"/>
      <c r="H21" s="33">
        <v>1157.98</v>
      </c>
      <c r="I21" s="5" t="s">
        <v>284</v>
      </c>
    </row>
    <row r="22" spans="1:11" s="1" customFormat="1">
      <c r="A22" s="10"/>
      <c r="B22" s="48" t="s">
        <v>230</v>
      </c>
      <c r="C22" s="9"/>
      <c r="D22" s="17"/>
      <c r="E22" s="18"/>
      <c r="F22" s="29"/>
      <c r="G22" s="24"/>
      <c r="H22" s="34"/>
      <c r="I22" s="6"/>
    </row>
    <row r="23" spans="1:11" s="1" customFormat="1">
      <c r="A23" s="10"/>
      <c r="B23" s="48"/>
      <c r="C23" s="9"/>
      <c r="D23" s="17"/>
      <c r="E23" s="18"/>
      <c r="F23" s="29"/>
      <c r="G23" s="24"/>
      <c r="H23" s="34"/>
      <c r="I23" s="6"/>
    </row>
    <row r="24" spans="1:11" s="1" customFormat="1">
      <c r="A24" s="10"/>
      <c r="B24" s="43"/>
      <c r="C24" s="10"/>
      <c r="D24" s="17"/>
      <c r="E24" s="18"/>
      <c r="F24" s="29"/>
      <c r="G24" s="24"/>
      <c r="H24" s="34"/>
      <c r="I24" s="6"/>
    </row>
    <row r="25" spans="1:11" s="1" customFormat="1">
      <c r="A25" s="9"/>
      <c r="B25" s="9"/>
      <c r="C25" s="9"/>
      <c r="D25" s="17"/>
      <c r="E25" s="18"/>
      <c r="F25" s="29"/>
      <c r="G25" s="24"/>
      <c r="H25" s="34"/>
      <c r="I25" s="2"/>
      <c r="K25" s="4"/>
    </row>
    <row r="26" spans="1:11" s="1" customFormat="1">
      <c r="A26" s="12" t="s">
        <v>4</v>
      </c>
      <c r="B26" s="10"/>
      <c r="C26" s="10"/>
      <c r="D26" s="20">
        <f>SUM(D21:D25)</f>
        <v>2.57</v>
      </c>
      <c r="E26" s="6"/>
      <c r="F26" s="31">
        <f>SUM(F21:F25)</f>
        <v>0</v>
      </c>
      <c r="G26" s="26"/>
      <c r="H26" s="36">
        <f>SUM(H21:H25)</f>
        <v>1157.98</v>
      </c>
      <c r="I26" s="2"/>
    </row>
    <row r="27" spans="1:11" s="1" customFormat="1" ht="15.75" thickBot="1">
      <c r="A27" s="13" t="s">
        <v>5</v>
      </c>
      <c r="B27" s="39">
        <f>SUM(D26+F26+H26)</f>
        <v>1160.55</v>
      </c>
      <c r="C27" s="38"/>
      <c r="D27" s="21"/>
      <c r="E27" s="22"/>
      <c r="F27" s="32"/>
      <c r="G27" s="27"/>
      <c r="H27" s="37"/>
      <c r="I27" s="3"/>
    </row>
    <row r="28" spans="1:11" s="1" customFormat="1">
      <c r="A28" s="10" t="s">
        <v>231</v>
      </c>
      <c r="B28" s="48" t="s">
        <v>232</v>
      </c>
      <c r="C28" s="8" t="s">
        <v>30</v>
      </c>
      <c r="D28" s="15"/>
      <c r="E28" s="16"/>
      <c r="F28" s="28">
        <v>107.46</v>
      </c>
      <c r="G28" s="23" t="s">
        <v>107</v>
      </c>
      <c r="H28" s="33">
        <v>186</v>
      </c>
      <c r="I28" s="5" t="s">
        <v>54</v>
      </c>
    </row>
    <row r="29" spans="1:11" s="1" customFormat="1">
      <c r="A29" s="9"/>
      <c r="B29" s="9" t="s">
        <v>233</v>
      </c>
      <c r="C29" s="9" t="s">
        <v>11</v>
      </c>
      <c r="D29" s="17">
        <v>4</v>
      </c>
      <c r="E29" s="18" t="s">
        <v>207</v>
      </c>
      <c r="F29" s="29"/>
      <c r="G29" s="24"/>
      <c r="H29" s="34"/>
      <c r="I29" s="2"/>
      <c r="K29" s="4"/>
    </row>
    <row r="30" spans="1:11" s="1" customFormat="1">
      <c r="A30" s="9"/>
      <c r="B30" s="9"/>
      <c r="C30" s="9"/>
      <c r="D30" s="17"/>
      <c r="E30" s="18"/>
      <c r="F30" s="29"/>
      <c r="G30" s="24"/>
      <c r="H30" s="34"/>
      <c r="I30" s="2"/>
      <c r="K30" s="4"/>
    </row>
    <row r="31" spans="1:11" s="1" customFormat="1">
      <c r="A31" s="9"/>
      <c r="B31" s="9"/>
      <c r="C31" s="9" t="s">
        <v>220</v>
      </c>
      <c r="D31" s="17"/>
      <c r="E31" s="18"/>
      <c r="F31" s="29"/>
      <c r="G31" s="24"/>
      <c r="H31" s="34"/>
      <c r="I31" s="2"/>
      <c r="K31" s="4"/>
    </row>
    <row r="32" spans="1:11" s="1" customFormat="1" ht="30">
      <c r="A32" s="9"/>
      <c r="B32" s="9"/>
      <c r="C32" s="83" t="s">
        <v>235</v>
      </c>
      <c r="D32" s="17"/>
      <c r="E32" s="18"/>
      <c r="F32" s="29"/>
      <c r="G32" s="24"/>
      <c r="H32" s="34"/>
      <c r="I32" s="2"/>
      <c r="K32" s="4"/>
    </row>
    <row r="33" spans="1:11" s="1" customFormat="1">
      <c r="A33" s="9"/>
      <c r="B33" s="9"/>
      <c r="C33" s="9"/>
      <c r="D33" s="17"/>
      <c r="E33" s="18"/>
      <c r="F33" s="29"/>
      <c r="G33" s="24"/>
      <c r="H33" s="34"/>
      <c r="I33" s="2"/>
      <c r="K33" s="4"/>
    </row>
    <row r="34" spans="1:11" s="1" customFormat="1">
      <c r="A34" s="12" t="s">
        <v>4</v>
      </c>
      <c r="B34" s="10"/>
      <c r="C34" s="10"/>
      <c r="D34" s="20">
        <f>SUM(D28:D33)</f>
        <v>4</v>
      </c>
      <c r="E34" s="6"/>
      <c r="F34" s="31">
        <f>SUM(F28:F33)</f>
        <v>107.46</v>
      </c>
      <c r="G34" s="26"/>
      <c r="H34" s="36">
        <f>SUM(H28:H33)</f>
        <v>186</v>
      </c>
      <c r="I34" s="2"/>
    </row>
    <row r="35" spans="1:11" s="1" customFormat="1" ht="15.75" thickBot="1">
      <c r="A35" s="13" t="s">
        <v>5</v>
      </c>
      <c r="B35" s="39">
        <f>SUM(D34+F34+H34)</f>
        <v>297.45999999999998</v>
      </c>
      <c r="C35" s="38"/>
      <c r="D35" s="21"/>
      <c r="E35" s="22"/>
      <c r="F35" s="32"/>
      <c r="G35" s="27"/>
      <c r="H35" s="37"/>
      <c r="I35" s="3"/>
    </row>
    <row r="36" spans="1:11" s="1" customFormat="1">
      <c r="A36" s="10" t="s">
        <v>265</v>
      </c>
      <c r="B36" s="48" t="s">
        <v>266</v>
      </c>
      <c r="C36" s="8" t="s">
        <v>86</v>
      </c>
      <c r="D36" s="15">
        <f>198.72+20.8</f>
        <v>219.52</v>
      </c>
      <c r="E36" s="16" t="s">
        <v>37</v>
      </c>
      <c r="F36" s="28">
        <v>168.68</v>
      </c>
      <c r="G36" s="23" t="s">
        <v>268</v>
      </c>
      <c r="H36" s="33">
        <v>720.47</v>
      </c>
      <c r="I36" s="5" t="s">
        <v>54</v>
      </c>
    </row>
    <row r="37" spans="1:11" s="1" customFormat="1">
      <c r="A37" s="9"/>
      <c r="B37" s="9" t="s">
        <v>267</v>
      </c>
      <c r="C37" s="9"/>
      <c r="D37" s="17">
        <f>17.25+7.7+135.45</f>
        <v>160.39999999999998</v>
      </c>
      <c r="E37" s="18" t="s">
        <v>207</v>
      </c>
      <c r="F37" s="29">
        <v>183.7</v>
      </c>
      <c r="G37" s="24" t="s">
        <v>159</v>
      </c>
      <c r="H37" s="34">
        <v>1367.1</v>
      </c>
      <c r="I37" s="2" t="s">
        <v>131</v>
      </c>
      <c r="K37" s="4"/>
    </row>
    <row r="38" spans="1:11" s="1" customFormat="1">
      <c r="A38" s="9"/>
      <c r="B38" s="9"/>
      <c r="C38" s="9"/>
      <c r="D38" s="17">
        <f>126.2+54.55</f>
        <v>180.75</v>
      </c>
      <c r="E38" s="18" t="s">
        <v>203</v>
      </c>
      <c r="F38" s="29"/>
      <c r="G38" s="24"/>
      <c r="H38" s="34">
        <v>269.97000000000003</v>
      </c>
      <c r="I38" s="2" t="s">
        <v>64</v>
      </c>
      <c r="K38" s="4"/>
    </row>
    <row r="39" spans="1:11" s="1" customFormat="1">
      <c r="A39" s="9"/>
      <c r="B39" s="9"/>
      <c r="C39" s="9"/>
      <c r="D39" s="17"/>
      <c r="E39" s="18"/>
      <c r="F39" s="29"/>
      <c r="G39" s="24"/>
      <c r="H39" s="34">
        <v>890</v>
      </c>
      <c r="I39" s="2" t="s">
        <v>54</v>
      </c>
      <c r="K39" s="4"/>
    </row>
    <row r="40" spans="1:11" s="1" customFormat="1">
      <c r="A40" s="9"/>
      <c r="B40" s="9"/>
      <c r="C40" s="83"/>
      <c r="D40" s="17"/>
      <c r="E40" s="18"/>
      <c r="F40" s="29"/>
      <c r="G40" s="24"/>
      <c r="H40" s="34"/>
      <c r="I40" s="2"/>
      <c r="K40" s="4"/>
    </row>
    <row r="41" spans="1:11" s="1" customFormat="1">
      <c r="A41" s="9"/>
      <c r="B41" s="9"/>
      <c r="C41" s="9"/>
      <c r="D41" s="17"/>
      <c r="E41" s="18"/>
      <c r="F41" s="29"/>
      <c r="G41" s="24"/>
      <c r="H41" s="34"/>
      <c r="I41" s="2"/>
      <c r="K41" s="4"/>
    </row>
    <row r="42" spans="1:11" s="1" customFormat="1">
      <c r="A42" s="12" t="s">
        <v>4</v>
      </c>
      <c r="B42" s="10"/>
      <c r="C42" s="10"/>
      <c r="D42" s="20">
        <f>SUM(D36:D41)</f>
        <v>560.66999999999996</v>
      </c>
      <c r="E42" s="6"/>
      <c r="F42" s="31">
        <f>SUM(F36:F41)</f>
        <v>352.38</v>
      </c>
      <c r="G42" s="26"/>
      <c r="H42" s="36">
        <f>SUM(H36:H41)</f>
        <v>3247.54</v>
      </c>
      <c r="I42" s="2"/>
    </row>
    <row r="43" spans="1:11" s="1" customFormat="1" ht="15.75" thickBot="1">
      <c r="A43" s="13" t="s">
        <v>5</v>
      </c>
      <c r="B43" s="39">
        <f>SUM(D42+F42+H42)</f>
        <v>4160.59</v>
      </c>
      <c r="C43" s="38"/>
      <c r="D43" s="21"/>
      <c r="E43" s="22"/>
      <c r="F43" s="32"/>
      <c r="G43" s="27"/>
      <c r="H43" s="37"/>
      <c r="I43" s="3"/>
    </row>
    <row r="44" spans="1:11">
      <c r="A44" s="8" t="s">
        <v>236</v>
      </c>
      <c r="B44" s="8" t="s">
        <v>237</v>
      </c>
      <c r="C44" s="11" t="s">
        <v>239</v>
      </c>
      <c r="D44" s="15">
        <f>62.22+208</f>
        <v>270.22000000000003</v>
      </c>
      <c r="E44" s="40" t="s">
        <v>37</v>
      </c>
      <c r="F44" s="28"/>
      <c r="G44" s="23"/>
      <c r="H44" s="33">
        <v>4040</v>
      </c>
      <c r="I44" s="5" t="s">
        <v>54</v>
      </c>
    </row>
    <row r="45" spans="1:11">
      <c r="A45" s="9"/>
      <c r="B45" s="48" t="s">
        <v>238</v>
      </c>
      <c r="C45" s="10"/>
      <c r="D45" s="17">
        <f>330.26+28.4</f>
        <v>358.65999999999997</v>
      </c>
      <c r="E45" s="51" t="s">
        <v>207</v>
      </c>
      <c r="F45" s="29"/>
      <c r="G45" s="24"/>
      <c r="H45" s="34">
        <v>921.04</v>
      </c>
      <c r="I45" s="6" t="s">
        <v>131</v>
      </c>
    </row>
    <row r="46" spans="1:11" s="1" customFormat="1">
      <c r="A46" s="10"/>
      <c r="B46" s="48"/>
      <c r="C46" s="9"/>
      <c r="D46" s="17">
        <v>472.6</v>
      </c>
      <c r="E46" s="51" t="s">
        <v>203</v>
      </c>
      <c r="F46" s="29"/>
      <c r="G46" s="24"/>
      <c r="H46" s="34"/>
      <c r="I46" s="6"/>
    </row>
    <row r="47" spans="1:11" s="1" customFormat="1">
      <c r="A47" s="10"/>
      <c r="B47" s="48"/>
      <c r="C47" s="9" t="s">
        <v>220</v>
      </c>
      <c r="D47" s="17"/>
      <c r="E47" s="18"/>
      <c r="F47" s="29"/>
      <c r="G47" s="24"/>
      <c r="H47" s="34"/>
      <c r="I47" s="6"/>
    </row>
    <row r="48" spans="1:11" s="1" customFormat="1">
      <c r="A48" s="10"/>
      <c r="B48" s="48"/>
      <c r="C48" s="9" t="s">
        <v>240</v>
      </c>
      <c r="D48" s="17"/>
      <c r="E48" s="18"/>
      <c r="F48" s="29"/>
      <c r="G48" s="24"/>
      <c r="H48" s="34"/>
      <c r="I48" s="6"/>
    </row>
    <row r="49" spans="1:9">
      <c r="A49" s="10"/>
      <c r="B49" s="14"/>
      <c r="C49" s="10"/>
      <c r="D49" s="19"/>
      <c r="E49" s="6"/>
      <c r="F49" s="30"/>
      <c r="G49" s="25"/>
      <c r="H49" s="34"/>
      <c r="I49" s="6"/>
    </row>
    <row r="50" spans="1:9">
      <c r="A50" s="10"/>
      <c r="B50" s="14"/>
      <c r="C50" s="9"/>
      <c r="D50" s="19"/>
      <c r="E50" s="6"/>
      <c r="F50" s="30"/>
      <c r="G50" s="25"/>
      <c r="H50" s="34"/>
      <c r="I50" s="2"/>
    </row>
    <row r="51" spans="1:9">
      <c r="A51" s="12" t="s">
        <v>4</v>
      </c>
      <c r="B51" s="10"/>
      <c r="C51" s="10"/>
      <c r="D51" s="20">
        <f>SUM(D44:D50)</f>
        <v>1101.48</v>
      </c>
      <c r="E51" s="6"/>
      <c r="F51" s="31">
        <f>SUM(F44:F50)</f>
        <v>0</v>
      </c>
      <c r="G51" s="26"/>
      <c r="H51" s="36">
        <f>SUM(H44:H50)</f>
        <v>4961.04</v>
      </c>
      <c r="I51" s="2"/>
    </row>
    <row r="52" spans="1:9" ht="15.75" thickBot="1">
      <c r="A52" s="13" t="s">
        <v>5</v>
      </c>
      <c r="B52" s="39">
        <f>SUM(D51+F51+H51)</f>
        <v>6062.52</v>
      </c>
      <c r="C52" s="38"/>
      <c r="D52" s="21"/>
      <c r="E52" s="22"/>
      <c r="F52" s="32"/>
      <c r="G52" s="27"/>
      <c r="H52" s="37"/>
      <c r="I52" s="3"/>
    </row>
    <row r="53" spans="1:9">
      <c r="A53" s="8" t="s">
        <v>244</v>
      </c>
      <c r="B53" s="8" t="s">
        <v>237</v>
      </c>
      <c r="C53" s="11" t="s">
        <v>111</v>
      </c>
      <c r="D53" s="15">
        <v>21.89</v>
      </c>
      <c r="E53" s="40" t="s">
        <v>37</v>
      </c>
      <c r="F53" s="28">
        <v>13.4</v>
      </c>
      <c r="G53" s="23" t="s">
        <v>107</v>
      </c>
      <c r="H53" s="33">
        <v>507.97</v>
      </c>
      <c r="I53" s="5" t="s">
        <v>54</v>
      </c>
    </row>
    <row r="54" spans="1:9">
      <c r="A54" s="9"/>
      <c r="B54" s="9" t="s">
        <v>241</v>
      </c>
      <c r="D54" s="17">
        <f>82.02+7.5</f>
        <v>89.52</v>
      </c>
      <c r="E54" s="51" t="s">
        <v>207</v>
      </c>
      <c r="F54" s="29">
        <f>23.3+58.55</f>
        <v>81.849999999999994</v>
      </c>
      <c r="G54" s="24" t="s">
        <v>263</v>
      </c>
      <c r="H54" s="34">
        <v>1404.57</v>
      </c>
      <c r="I54" s="6" t="s">
        <v>300</v>
      </c>
    </row>
    <row r="55" spans="1:9">
      <c r="A55" s="9"/>
      <c r="B55" s="9"/>
      <c r="D55" s="17"/>
      <c r="E55" s="51"/>
      <c r="F55" s="29"/>
      <c r="G55" s="24"/>
      <c r="H55" s="34">
        <v>52.17</v>
      </c>
      <c r="I55" s="6" t="s">
        <v>64</v>
      </c>
    </row>
    <row r="56" spans="1:9">
      <c r="A56" s="9"/>
      <c r="B56" s="9"/>
      <c r="C56" s="10"/>
      <c r="D56" s="17">
        <v>11.93</v>
      </c>
      <c r="E56" s="18" t="s">
        <v>203</v>
      </c>
      <c r="F56" s="29"/>
      <c r="G56" s="24"/>
      <c r="H56" s="34"/>
      <c r="I56" s="6"/>
    </row>
    <row r="57" spans="1:9">
      <c r="A57" s="10"/>
      <c r="B57" s="14"/>
      <c r="C57" s="10" t="s">
        <v>242</v>
      </c>
      <c r="D57" s="19"/>
      <c r="E57" s="6"/>
      <c r="F57" s="30"/>
      <c r="G57" s="25"/>
      <c r="H57" s="35">
        <v>527.04</v>
      </c>
      <c r="I57" s="6" t="s">
        <v>54</v>
      </c>
    </row>
    <row r="58" spans="1:9">
      <c r="A58" s="10"/>
      <c r="B58" s="14"/>
      <c r="C58" s="10"/>
      <c r="D58" s="19"/>
      <c r="E58" s="6"/>
      <c r="F58" s="30"/>
      <c r="G58" s="25"/>
      <c r="H58" s="35">
        <v>1274.57</v>
      </c>
      <c r="I58" s="6" t="s">
        <v>300</v>
      </c>
    </row>
    <row r="59" spans="1:9">
      <c r="A59" s="10"/>
      <c r="B59" s="14"/>
      <c r="C59" s="10"/>
      <c r="D59" s="19"/>
      <c r="E59" s="6"/>
      <c r="F59" s="30"/>
      <c r="G59" s="25"/>
      <c r="H59" s="35">
        <v>527.04</v>
      </c>
      <c r="I59" s="6" t="s">
        <v>64</v>
      </c>
    </row>
    <row r="60" spans="1:9">
      <c r="A60" s="10"/>
      <c r="B60" s="14"/>
      <c r="C60" s="10"/>
      <c r="D60" s="19"/>
      <c r="E60" s="6"/>
      <c r="F60" s="30"/>
      <c r="G60" s="25"/>
      <c r="H60" s="35"/>
      <c r="I60" s="6"/>
    </row>
    <row r="61" spans="1:9">
      <c r="A61" s="10" t="s">
        <v>250</v>
      </c>
      <c r="B61" s="14"/>
      <c r="C61" s="10" t="s">
        <v>21</v>
      </c>
      <c r="D61" s="19">
        <v>64.45</v>
      </c>
      <c r="E61" s="6" t="s">
        <v>37</v>
      </c>
      <c r="F61" s="30"/>
      <c r="G61" s="25"/>
      <c r="H61" s="35">
        <v>380.04</v>
      </c>
      <c r="I61" s="6" t="s">
        <v>54</v>
      </c>
    </row>
    <row r="62" spans="1:9">
      <c r="A62" s="10"/>
      <c r="B62" s="14"/>
      <c r="C62" s="10"/>
      <c r="D62" s="19">
        <v>93.94</v>
      </c>
      <c r="E62" s="6" t="s">
        <v>207</v>
      </c>
      <c r="F62" s="30"/>
      <c r="G62" s="25"/>
      <c r="H62" s="35">
        <v>664.15</v>
      </c>
      <c r="I62" s="6" t="s">
        <v>131</v>
      </c>
    </row>
    <row r="63" spans="1:9">
      <c r="A63" s="10"/>
      <c r="B63" s="14"/>
      <c r="C63" s="10"/>
      <c r="D63" s="19">
        <v>10.41</v>
      </c>
      <c r="E63" s="6" t="s">
        <v>203</v>
      </c>
      <c r="F63" s="30"/>
      <c r="G63" s="25"/>
      <c r="H63" s="35"/>
      <c r="I63" s="6"/>
    </row>
    <row r="64" spans="1:9">
      <c r="A64" s="10"/>
      <c r="B64" s="14"/>
      <c r="C64" s="9"/>
      <c r="D64" s="19"/>
      <c r="E64" s="6"/>
      <c r="F64" s="30"/>
      <c r="G64" s="25"/>
      <c r="H64" s="35"/>
      <c r="I64" s="2"/>
    </row>
    <row r="65" spans="1:9">
      <c r="A65" s="12" t="s">
        <v>4</v>
      </c>
      <c r="B65" s="10"/>
      <c r="C65" s="10"/>
      <c r="D65" s="20">
        <f>SUM(D53:D64)</f>
        <v>292.14000000000004</v>
      </c>
      <c r="E65" s="6"/>
      <c r="F65" s="31">
        <f>SUM(F53:F64)</f>
        <v>95.25</v>
      </c>
      <c r="G65" s="26"/>
      <c r="H65" s="36">
        <f>SUM(H53:H64)</f>
        <v>5337.5499999999993</v>
      </c>
      <c r="I65" s="2"/>
    </row>
    <row r="66" spans="1:9" ht="15.75" thickBot="1">
      <c r="A66" s="13" t="s">
        <v>5</v>
      </c>
      <c r="B66" s="39">
        <f>SUM(D65+F65+H65)</f>
        <v>5724.94</v>
      </c>
      <c r="C66" s="38"/>
      <c r="D66" s="21"/>
      <c r="E66" s="22"/>
      <c r="F66" s="32"/>
      <c r="G66" s="27"/>
      <c r="H66" s="37"/>
      <c r="I66" s="3"/>
    </row>
    <row r="67" spans="1:9">
      <c r="A67" s="8" t="s">
        <v>243</v>
      </c>
      <c r="B67" s="8" t="s">
        <v>245</v>
      </c>
      <c r="C67" s="11" t="s">
        <v>111</v>
      </c>
      <c r="D67" s="15">
        <v>18.829999999999998</v>
      </c>
      <c r="E67" s="40" t="s">
        <v>37</v>
      </c>
      <c r="F67" s="28"/>
      <c r="G67" s="24"/>
      <c r="H67" s="33">
        <v>487.14</v>
      </c>
      <c r="I67" s="5" t="s">
        <v>54</v>
      </c>
    </row>
    <row r="68" spans="1:9">
      <c r="A68" s="9"/>
      <c r="B68" s="9" t="s">
        <v>246</v>
      </c>
      <c r="C68" s="10"/>
      <c r="D68" s="17">
        <v>7.47</v>
      </c>
      <c r="E68" s="51" t="s">
        <v>203</v>
      </c>
      <c r="F68" s="29"/>
      <c r="G68" s="24"/>
      <c r="H68" s="34">
        <v>621.79999999999995</v>
      </c>
      <c r="I68" s="6" t="s">
        <v>131</v>
      </c>
    </row>
    <row r="69" spans="1:9">
      <c r="A69" s="9"/>
      <c r="C69" s="10"/>
      <c r="D69" s="17"/>
      <c r="E69" s="18"/>
      <c r="F69" s="29"/>
      <c r="G69" s="24"/>
      <c r="H69" s="34"/>
      <c r="I69" s="6"/>
    </row>
    <row r="70" spans="1:9">
      <c r="A70" s="9" t="s">
        <v>247</v>
      </c>
      <c r="B70" s="9"/>
      <c r="C70" s="10" t="s">
        <v>242</v>
      </c>
      <c r="D70" s="17">
        <v>19.579999999999998</v>
      </c>
      <c r="E70" s="18" t="s">
        <v>37</v>
      </c>
      <c r="F70" s="29">
        <v>10</v>
      </c>
      <c r="G70" s="24" t="s">
        <v>258</v>
      </c>
      <c r="H70" s="34">
        <v>2932.95</v>
      </c>
      <c r="I70" s="6" t="s">
        <v>54</v>
      </c>
    </row>
    <row r="71" spans="1:9">
      <c r="A71" s="9"/>
      <c r="B71" s="9"/>
      <c r="C71" s="10"/>
      <c r="D71" s="17">
        <v>29.73</v>
      </c>
      <c r="E71" s="18" t="s">
        <v>207</v>
      </c>
      <c r="F71" s="29"/>
      <c r="G71" s="24"/>
      <c r="H71" s="34">
        <f>818.06+239</f>
        <v>1057.06</v>
      </c>
      <c r="I71" s="6" t="s">
        <v>131</v>
      </c>
    </row>
    <row r="72" spans="1:9">
      <c r="A72" s="9"/>
      <c r="B72" s="9"/>
      <c r="C72" s="10"/>
      <c r="D72" s="17">
        <v>19.84</v>
      </c>
      <c r="E72" s="18" t="s">
        <v>203</v>
      </c>
      <c r="F72" s="29"/>
      <c r="G72" s="24"/>
      <c r="H72" s="34">
        <v>383.66</v>
      </c>
      <c r="I72" s="6" t="s">
        <v>64</v>
      </c>
    </row>
    <row r="73" spans="1:9">
      <c r="A73" s="9"/>
      <c r="B73" s="9"/>
      <c r="C73" s="10"/>
      <c r="D73" s="17"/>
      <c r="E73" s="18"/>
      <c r="F73" s="29"/>
      <c r="G73" s="24"/>
      <c r="H73" s="34"/>
      <c r="I73" s="6"/>
    </row>
    <row r="74" spans="1:9">
      <c r="A74" s="9" t="s">
        <v>285</v>
      </c>
      <c r="B74" s="9"/>
      <c r="C74" s="10" t="s">
        <v>21</v>
      </c>
      <c r="D74" s="17">
        <v>127.25</v>
      </c>
      <c r="E74" s="18" t="s">
        <v>37</v>
      </c>
      <c r="F74" s="29">
        <v>24.89</v>
      </c>
      <c r="G74" s="24" t="s">
        <v>262</v>
      </c>
      <c r="H74" s="34">
        <f>947.76+465.26+1540.6</f>
        <v>2953.62</v>
      </c>
      <c r="I74" s="6" t="s">
        <v>54</v>
      </c>
    </row>
    <row r="75" spans="1:9">
      <c r="A75" s="9"/>
      <c r="B75" s="9"/>
      <c r="C75" s="10"/>
      <c r="D75" s="17">
        <v>558.57000000000005</v>
      </c>
      <c r="E75" s="18" t="s">
        <v>207</v>
      </c>
      <c r="F75" s="29"/>
      <c r="G75" s="24"/>
      <c r="H75" s="34">
        <v>864.8</v>
      </c>
      <c r="I75" s="6" t="s">
        <v>131</v>
      </c>
    </row>
    <row r="76" spans="1:9">
      <c r="A76" s="9"/>
      <c r="B76" s="9"/>
      <c r="C76" s="10"/>
      <c r="D76" s="17">
        <v>6.13</v>
      </c>
      <c r="E76" s="18" t="s">
        <v>203</v>
      </c>
      <c r="F76" s="29"/>
      <c r="G76" s="24"/>
      <c r="H76" s="34">
        <v>128.86000000000001</v>
      </c>
      <c r="I76" s="6" t="s">
        <v>64</v>
      </c>
    </row>
    <row r="77" spans="1:9">
      <c r="A77" s="9"/>
      <c r="B77" s="9"/>
      <c r="C77" s="10"/>
      <c r="D77" s="17"/>
      <c r="E77" s="18"/>
      <c r="F77" s="29"/>
      <c r="G77" s="24"/>
      <c r="H77" s="34"/>
      <c r="I77" s="6"/>
    </row>
    <row r="78" spans="1:9">
      <c r="A78" s="10" t="s">
        <v>248</v>
      </c>
      <c r="B78" s="14"/>
      <c r="C78" s="10" t="s">
        <v>18</v>
      </c>
      <c r="D78" s="19">
        <f>22.72+315.72</f>
        <v>338.44000000000005</v>
      </c>
      <c r="E78" s="6" t="s">
        <v>37</v>
      </c>
      <c r="F78" s="30"/>
      <c r="G78" s="25"/>
      <c r="H78" s="35">
        <v>239.06</v>
      </c>
      <c r="I78" s="6" t="s">
        <v>64</v>
      </c>
    </row>
    <row r="79" spans="1:9">
      <c r="A79" s="10"/>
      <c r="B79" s="14"/>
      <c r="C79" s="10"/>
      <c r="D79" s="19">
        <f>324.52+72.92</f>
        <v>397.44</v>
      </c>
      <c r="E79" s="6" t="s">
        <v>207</v>
      </c>
      <c r="F79" s="30"/>
      <c r="G79" s="25"/>
      <c r="H79" s="35">
        <v>239.28</v>
      </c>
      <c r="I79" s="6" t="s">
        <v>64</v>
      </c>
    </row>
    <row r="80" spans="1:9">
      <c r="A80" s="10"/>
      <c r="B80" s="14"/>
      <c r="C80" s="10"/>
      <c r="D80" s="19">
        <v>2.09</v>
      </c>
      <c r="E80" s="6" t="s">
        <v>203</v>
      </c>
      <c r="F80" s="30"/>
      <c r="G80" s="25"/>
      <c r="H80" s="35">
        <v>437.43</v>
      </c>
      <c r="I80" s="6" t="s">
        <v>54</v>
      </c>
    </row>
    <row r="81" spans="1:9">
      <c r="A81" s="10"/>
      <c r="B81" s="14"/>
      <c r="C81" s="10"/>
      <c r="D81" s="19"/>
      <c r="E81" s="6"/>
      <c r="F81" s="30"/>
      <c r="G81" s="25"/>
      <c r="H81" s="35">
        <v>465.73</v>
      </c>
      <c r="I81" s="6" t="s">
        <v>54</v>
      </c>
    </row>
    <row r="82" spans="1:9">
      <c r="A82" s="10"/>
      <c r="B82" s="14"/>
      <c r="C82" s="9"/>
      <c r="D82" s="19"/>
      <c r="E82" s="6"/>
      <c r="F82" s="30"/>
      <c r="G82" s="25"/>
      <c r="H82" s="35"/>
      <c r="I82" s="2"/>
    </row>
    <row r="83" spans="1:9">
      <c r="A83" s="12" t="s">
        <v>4</v>
      </c>
      <c r="B83" s="10"/>
      <c r="C83" s="10"/>
      <c r="D83" s="20">
        <f>SUM(D67:D82)</f>
        <v>1525.3700000000001</v>
      </c>
      <c r="E83" s="6"/>
      <c r="F83" s="31">
        <f>SUM(F67:F82)</f>
        <v>34.89</v>
      </c>
      <c r="G83" s="26"/>
      <c r="H83" s="36">
        <f>SUM(H67:H82)</f>
        <v>10811.39</v>
      </c>
      <c r="I83" s="2"/>
    </row>
    <row r="84" spans="1:9" ht="15.75" thickBot="1">
      <c r="A84" s="13" t="s">
        <v>5</v>
      </c>
      <c r="B84" s="39">
        <f>SUM(D83+F83+H83)</f>
        <v>12371.65</v>
      </c>
      <c r="C84" s="38"/>
      <c r="D84" s="21"/>
      <c r="E84" s="22"/>
      <c r="F84" s="32"/>
      <c r="G84" s="27"/>
      <c r="H84" s="37"/>
      <c r="I84" s="3"/>
    </row>
    <row r="85" spans="1:9">
      <c r="A85" s="8" t="s">
        <v>249</v>
      </c>
      <c r="B85" s="8" t="s">
        <v>245</v>
      </c>
      <c r="C85" s="11" t="s">
        <v>30</v>
      </c>
      <c r="D85" s="15">
        <v>157.83000000000001</v>
      </c>
      <c r="E85" s="40" t="s">
        <v>37</v>
      </c>
      <c r="F85" s="28">
        <v>63.24</v>
      </c>
      <c r="G85" s="23" t="s">
        <v>107</v>
      </c>
      <c r="H85" s="33">
        <v>579.66</v>
      </c>
      <c r="I85" s="5" t="s">
        <v>54</v>
      </c>
    </row>
    <row r="86" spans="1:9">
      <c r="A86" s="9"/>
      <c r="B86" s="9" t="s">
        <v>246</v>
      </c>
      <c r="C86" s="10"/>
      <c r="D86" s="17">
        <v>885.01</v>
      </c>
      <c r="E86" s="51" t="s">
        <v>207</v>
      </c>
      <c r="F86" s="29">
        <v>151.16999999999999</v>
      </c>
      <c r="G86" s="24" t="s">
        <v>262</v>
      </c>
      <c r="H86" s="35">
        <v>1585</v>
      </c>
      <c r="I86" s="2" t="s">
        <v>131</v>
      </c>
    </row>
    <row r="87" spans="1:9">
      <c r="A87" s="9"/>
      <c r="B87" s="9"/>
      <c r="C87" s="10"/>
      <c r="D87" s="17">
        <v>19.54</v>
      </c>
      <c r="E87" s="18" t="s">
        <v>203</v>
      </c>
      <c r="F87" s="29"/>
      <c r="G87" s="24"/>
      <c r="H87" s="35">
        <v>538.54</v>
      </c>
      <c r="I87" s="2" t="s">
        <v>64</v>
      </c>
    </row>
    <row r="88" spans="1:9">
      <c r="A88" s="9"/>
      <c r="B88" s="9"/>
      <c r="C88" s="10"/>
      <c r="D88" s="17"/>
      <c r="E88" s="51"/>
      <c r="F88" s="29"/>
      <c r="G88" s="24"/>
      <c r="H88" s="34"/>
      <c r="I88" s="6"/>
    </row>
    <row r="89" spans="1:9">
      <c r="A89" s="9"/>
      <c r="B89" s="9"/>
      <c r="C89" s="10"/>
      <c r="D89" s="17"/>
      <c r="E89" s="6"/>
      <c r="F89" s="17"/>
      <c r="G89" s="6"/>
      <c r="H89" s="35"/>
      <c r="I89" s="2"/>
    </row>
    <row r="90" spans="1:9">
      <c r="A90" s="10"/>
      <c r="B90" s="14"/>
      <c r="C90" s="10"/>
      <c r="D90" s="19"/>
      <c r="E90" s="6"/>
      <c r="F90" s="30"/>
      <c r="G90" s="25"/>
      <c r="H90" s="35"/>
      <c r="I90" s="2"/>
    </row>
    <row r="91" spans="1:9">
      <c r="A91" s="10"/>
      <c r="B91" s="14"/>
      <c r="C91" s="9"/>
      <c r="D91" s="19"/>
      <c r="E91" s="6"/>
      <c r="F91" s="30"/>
      <c r="G91" s="25"/>
      <c r="H91" s="34"/>
      <c r="I91" s="2"/>
    </row>
    <row r="92" spans="1:9">
      <c r="A92" s="12" t="s">
        <v>4</v>
      </c>
      <c r="B92" s="10"/>
      <c r="C92" s="10"/>
      <c r="D92" s="20">
        <f>SUM(D85:D91)</f>
        <v>1062.3799999999999</v>
      </c>
      <c r="E92" s="6"/>
      <c r="F92" s="31">
        <f>SUM(F85:F91)</f>
        <v>214.41</v>
      </c>
      <c r="G92" s="26"/>
      <c r="H92" s="36">
        <f>SUM(H85:H91)</f>
        <v>2703.2</v>
      </c>
      <c r="I92" s="2"/>
    </row>
    <row r="93" spans="1:9" ht="15.75" thickBot="1">
      <c r="A93" s="13" t="s">
        <v>5</v>
      </c>
      <c r="B93" s="39">
        <f>SUM(D92+F92+H92)</f>
        <v>3979.99</v>
      </c>
      <c r="C93" s="38"/>
      <c r="D93" s="21"/>
      <c r="E93" s="22"/>
      <c r="F93" s="32"/>
      <c r="G93" s="27"/>
      <c r="H93" s="37"/>
      <c r="I93" s="3"/>
    </row>
    <row r="94" spans="1:9">
      <c r="A94" s="53" t="s">
        <v>251</v>
      </c>
      <c r="B94" s="8" t="s">
        <v>252</v>
      </c>
      <c r="C94" s="77" t="s">
        <v>18</v>
      </c>
      <c r="D94" s="71" t="s">
        <v>259</v>
      </c>
      <c r="E94" s="78" t="s">
        <v>37</v>
      </c>
      <c r="F94" s="71">
        <v>11</v>
      </c>
      <c r="G94" s="67" t="s">
        <v>159</v>
      </c>
      <c r="H94" s="35">
        <v>491.06</v>
      </c>
      <c r="I94" s="2" t="s">
        <v>54</v>
      </c>
    </row>
    <row r="95" spans="1:9">
      <c r="A95" s="62"/>
      <c r="B95" s="9" t="s">
        <v>253</v>
      </c>
      <c r="C95" s="77"/>
      <c r="D95" s="71">
        <v>3.1</v>
      </c>
      <c r="E95" s="78" t="s">
        <v>207</v>
      </c>
      <c r="F95" s="71"/>
      <c r="G95" s="75"/>
      <c r="H95" s="35">
        <v>723.86</v>
      </c>
      <c r="I95" s="2" t="s">
        <v>131</v>
      </c>
    </row>
    <row r="96" spans="1:9">
      <c r="A96" s="62"/>
      <c r="B96" s="9"/>
      <c r="C96" s="77"/>
      <c r="D96" s="71">
        <v>63.29</v>
      </c>
      <c r="E96" s="78" t="s">
        <v>203</v>
      </c>
      <c r="F96" s="71"/>
      <c r="G96" s="75"/>
      <c r="H96" s="35"/>
      <c r="I96" s="2"/>
    </row>
    <row r="97" spans="1:9">
      <c r="A97" s="9"/>
      <c r="B97" s="9"/>
      <c r="C97" s="10"/>
      <c r="D97" s="17"/>
      <c r="E97" s="18"/>
      <c r="F97" s="29"/>
      <c r="G97" s="24"/>
      <c r="H97" s="34"/>
      <c r="I97" s="6"/>
    </row>
    <row r="98" spans="1:9">
      <c r="A98" s="9"/>
      <c r="B98" s="9"/>
      <c r="C98" s="10"/>
      <c r="D98" s="17"/>
      <c r="E98" s="18"/>
      <c r="F98" s="29"/>
      <c r="G98" s="24"/>
      <c r="H98" s="34">
        <v>677.34</v>
      </c>
      <c r="I98" s="6" t="s">
        <v>306</v>
      </c>
    </row>
    <row r="99" spans="1:9">
      <c r="A99" s="9"/>
      <c r="B99" s="9"/>
      <c r="C99" s="10" t="s">
        <v>89</v>
      </c>
      <c r="D99" s="17">
        <v>8.43</v>
      </c>
      <c r="E99" s="18" t="s">
        <v>37</v>
      </c>
      <c r="F99" s="29">
        <v>147.6</v>
      </c>
      <c r="G99" s="24" t="s">
        <v>261</v>
      </c>
      <c r="H99" s="34">
        <v>723.86</v>
      </c>
      <c r="I99" s="6" t="s">
        <v>131</v>
      </c>
    </row>
    <row r="100" spans="1:9">
      <c r="A100" s="9"/>
      <c r="B100" s="9"/>
      <c r="C100" s="10"/>
      <c r="D100" s="17">
        <v>370.86</v>
      </c>
      <c r="E100" s="18" t="s">
        <v>207</v>
      </c>
      <c r="F100" s="29"/>
      <c r="G100" s="24"/>
      <c r="H100" s="34">
        <v>296.60000000000002</v>
      </c>
      <c r="I100" s="6" t="s">
        <v>260</v>
      </c>
    </row>
    <row r="101" spans="1:9">
      <c r="A101" s="9"/>
      <c r="B101" s="9"/>
      <c r="C101" s="10"/>
      <c r="D101" s="17">
        <v>60</v>
      </c>
      <c r="E101" s="18" t="s">
        <v>203</v>
      </c>
      <c r="F101" s="29"/>
      <c r="G101" s="24"/>
      <c r="H101" s="35"/>
      <c r="I101" s="2"/>
    </row>
    <row r="102" spans="1:9">
      <c r="A102" s="9"/>
      <c r="B102" s="9"/>
      <c r="C102" s="10"/>
      <c r="D102" s="17"/>
      <c r="E102" s="18"/>
      <c r="F102" s="29"/>
      <c r="G102" s="24"/>
      <c r="H102" s="34"/>
      <c r="I102" s="2"/>
    </row>
    <row r="103" spans="1:9">
      <c r="A103" s="10"/>
      <c r="B103" s="14"/>
      <c r="C103" s="9"/>
      <c r="D103" s="17"/>
      <c r="E103" s="18"/>
      <c r="F103" s="30"/>
      <c r="G103" s="25"/>
      <c r="H103" s="34"/>
      <c r="I103" s="2"/>
    </row>
    <row r="104" spans="1:9">
      <c r="A104" s="12" t="s">
        <v>4</v>
      </c>
      <c r="B104" s="10"/>
      <c r="C104" s="10"/>
      <c r="D104" s="20">
        <f>SUM(D94:D103)</f>
        <v>505.68</v>
      </c>
      <c r="E104" s="6"/>
      <c r="F104" s="31">
        <f>SUM(F94:F103)</f>
        <v>158.6</v>
      </c>
      <c r="G104" s="26"/>
      <c r="H104" s="36">
        <f>SUM(H94:H103)</f>
        <v>2912.7200000000003</v>
      </c>
      <c r="I104" s="2"/>
    </row>
    <row r="105" spans="1:9" ht="15.75" thickBot="1">
      <c r="A105" s="13" t="s">
        <v>5</v>
      </c>
      <c r="B105" s="39">
        <f>SUM(D104+F104+H104)</f>
        <v>3577</v>
      </c>
      <c r="C105" s="38"/>
      <c r="D105" s="21"/>
      <c r="E105" s="22"/>
      <c r="F105" s="32"/>
      <c r="G105" s="27"/>
      <c r="H105" s="37"/>
      <c r="I105" s="3"/>
    </row>
    <row r="106" spans="1:9">
      <c r="A106" s="8" t="s">
        <v>293</v>
      </c>
      <c r="B106" s="8" t="s">
        <v>252</v>
      </c>
      <c r="C106" s="11" t="s">
        <v>161</v>
      </c>
      <c r="D106" s="29">
        <f>123+57.68+94</f>
        <v>274.68</v>
      </c>
      <c r="E106" s="40" t="s">
        <v>37</v>
      </c>
      <c r="F106" s="28"/>
      <c r="G106" s="23"/>
      <c r="H106" s="33">
        <v>1155.81</v>
      </c>
      <c r="I106" s="5" t="s">
        <v>54</v>
      </c>
    </row>
    <row r="107" spans="1:9">
      <c r="A107" s="9"/>
      <c r="B107" s="9" t="s">
        <v>254</v>
      </c>
      <c r="C107" s="10"/>
      <c r="D107" s="17">
        <v>254.95</v>
      </c>
      <c r="E107" s="51" t="s">
        <v>207</v>
      </c>
      <c r="F107" s="29"/>
      <c r="G107" s="24"/>
      <c r="H107" s="34">
        <v>1580.46</v>
      </c>
      <c r="I107" s="6" t="s">
        <v>131</v>
      </c>
    </row>
    <row r="108" spans="1:9">
      <c r="A108" s="9"/>
      <c r="B108" s="9"/>
      <c r="C108" s="10"/>
      <c r="D108" s="17">
        <f>139+20+50+43.68+4.21</f>
        <v>256.89</v>
      </c>
      <c r="E108" s="51" t="s">
        <v>257</v>
      </c>
      <c r="F108" s="29"/>
      <c r="G108" s="24"/>
      <c r="H108" s="34"/>
      <c r="I108" s="6"/>
    </row>
    <row r="109" spans="1:9">
      <c r="A109" s="9" t="s">
        <v>307</v>
      </c>
      <c r="B109" s="9"/>
      <c r="C109" s="10" t="s">
        <v>26</v>
      </c>
      <c r="D109" s="17">
        <f>17.66+16.99+16.43</f>
        <v>51.08</v>
      </c>
      <c r="E109" s="51" t="s">
        <v>37</v>
      </c>
      <c r="F109" s="29"/>
      <c r="G109" s="24"/>
      <c r="H109" s="34">
        <v>3732.6</v>
      </c>
      <c r="I109" s="6" t="s">
        <v>54</v>
      </c>
    </row>
    <row r="110" spans="1:9">
      <c r="A110" s="9"/>
      <c r="B110" s="9"/>
      <c r="C110" s="10"/>
      <c r="D110" s="17">
        <f>413.43+10.28</f>
        <v>423.71</v>
      </c>
      <c r="E110" s="51" t="s">
        <v>207</v>
      </c>
      <c r="F110" s="29"/>
      <c r="G110" s="24"/>
      <c r="H110" s="34">
        <v>509.26</v>
      </c>
      <c r="I110" s="6" t="s">
        <v>131</v>
      </c>
    </row>
    <row r="111" spans="1:9">
      <c r="A111" s="10"/>
      <c r="B111" s="14"/>
      <c r="C111" s="10" t="s">
        <v>220</v>
      </c>
      <c r="D111" s="19">
        <v>27.18</v>
      </c>
      <c r="E111" s="6" t="s">
        <v>257</v>
      </c>
      <c r="F111" s="30"/>
      <c r="G111" s="25"/>
      <c r="H111" s="35"/>
      <c r="I111" s="6"/>
    </row>
    <row r="112" spans="1:9">
      <c r="A112" s="10"/>
      <c r="B112" s="14"/>
      <c r="C112" s="9" t="s">
        <v>255</v>
      </c>
      <c r="D112" s="19"/>
      <c r="E112" s="6"/>
      <c r="F112" s="30"/>
      <c r="G112" s="25"/>
      <c r="H112" s="35"/>
      <c r="I112" s="2" t="s">
        <v>221</v>
      </c>
    </row>
    <row r="113" spans="1:13">
      <c r="A113" s="12" t="s">
        <v>4</v>
      </c>
      <c r="B113" s="10"/>
      <c r="C113" s="10"/>
      <c r="D113" s="20">
        <f>SUM(D106:D112)</f>
        <v>1288.49</v>
      </c>
      <c r="E113" s="6"/>
      <c r="F113" s="31">
        <f>SUM(F106:F112)</f>
        <v>0</v>
      </c>
      <c r="G113" s="26"/>
      <c r="H113" s="36">
        <f>SUM(H106:H112)</f>
        <v>6978.13</v>
      </c>
      <c r="I113" s="2"/>
    </row>
    <row r="114" spans="1:13" ht="15.75" thickBot="1">
      <c r="A114" s="13" t="s">
        <v>5</v>
      </c>
      <c r="B114" s="39">
        <f>SUM(D113+F113+H113)</f>
        <v>8266.6200000000008</v>
      </c>
      <c r="C114" s="38"/>
      <c r="D114" s="21"/>
      <c r="E114" s="22"/>
      <c r="F114" s="32"/>
      <c r="G114" s="27"/>
      <c r="H114" s="37"/>
      <c r="I114" s="3"/>
    </row>
    <row r="115" spans="1:13">
      <c r="A115" s="9" t="s">
        <v>308</v>
      </c>
      <c r="B115" s="9"/>
      <c r="C115" s="10" t="s">
        <v>27</v>
      </c>
      <c r="D115" s="17"/>
      <c r="E115" s="51"/>
      <c r="F115" s="29"/>
      <c r="G115" s="24"/>
      <c r="H115" s="34">
        <v>478.95</v>
      </c>
      <c r="I115" s="6" t="s">
        <v>54</v>
      </c>
    </row>
    <row r="116" spans="1:13">
      <c r="A116" s="9"/>
      <c r="B116" s="9"/>
      <c r="C116" s="10"/>
      <c r="D116" s="17"/>
      <c r="E116" s="51"/>
      <c r="F116" s="29"/>
      <c r="G116" s="24"/>
      <c r="H116" s="34">
        <v>1029.47</v>
      </c>
      <c r="I116" s="6" t="s">
        <v>131</v>
      </c>
    </row>
    <row r="117" spans="1:13">
      <c r="A117" s="10"/>
      <c r="B117" s="14"/>
      <c r="C117" s="10"/>
      <c r="D117" s="19"/>
      <c r="E117" s="6"/>
      <c r="F117" s="30"/>
      <c r="G117" s="25"/>
      <c r="H117" s="34"/>
      <c r="I117" s="6"/>
    </row>
    <row r="118" spans="1:13">
      <c r="A118" s="12" t="s">
        <v>4</v>
      </c>
      <c r="B118" s="10"/>
      <c r="C118" s="10"/>
      <c r="D118" s="20">
        <f>SUM(D115:D117)</f>
        <v>0</v>
      </c>
      <c r="E118" s="6"/>
      <c r="F118" s="31">
        <f>SUM(F115:F117)</f>
        <v>0</v>
      </c>
      <c r="G118" s="26"/>
      <c r="H118" s="36">
        <f>SUM(H115:H117)</f>
        <v>1508.42</v>
      </c>
      <c r="I118" s="2"/>
    </row>
    <row r="119" spans="1:13" ht="15.75" thickBot="1">
      <c r="A119" s="13" t="s">
        <v>5</v>
      </c>
      <c r="B119" s="39">
        <f>SUM(D118+F118+H118)</f>
        <v>1508.42</v>
      </c>
      <c r="C119" s="38"/>
      <c r="D119" s="21"/>
      <c r="E119" s="22"/>
      <c r="F119" s="32"/>
      <c r="G119" s="27"/>
      <c r="H119" s="37"/>
      <c r="I119" s="3"/>
    </row>
    <row r="120" spans="1:13" ht="15.75" thickBot="1"/>
    <row r="121" spans="1:13" ht="20.25" thickBot="1">
      <c r="A121" s="41" t="s">
        <v>10</v>
      </c>
      <c r="B121" s="42">
        <f>SUM(B11+B20+B27+B35+B52+B43+B66+B84+B93+B105+B114+B119)</f>
        <v>67080.28</v>
      </c>
    </row>
    <row r="123" spans="1:13">
      <c r="A123" s="45"/>
      <c r="B123" s="43"/>
      <c r="C123" s="43"/>
      <c r="D123" s="47"/>
      <c r="E123" s="47"/>
      <c r="F123" s="46"/>
      <c r="G123" s="48"/>
      <c r="H123" s="43"/>
      <c r="I123" s="46"/>
      <c r="J123" s="49"/>
      <c r="K123" s="50"/>
      <c r="L123" s="50"/>
      <c r="M123" s="5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 s="1" customFormat="1">
      <c r="A2" s="44" t="s">
        <v>271</v>
      </c>
      <c r="B2" s="54" t="s">
        <v>272</v>
      </c>
      <c r="C2" s="8" t="s">
        <v>13</v>
      </c>
      <c r="D2" s="69">
        <v>64.09</v>
      </c>
      <c r="E2" s="16" t="s">
        <v>37</v>
      </c>
      <c r="F2" s="73">
        <f>10+11</f>
        <v>21</v>
      </c>
      <c r="G2" s="23" t="s">
        <v>159</v>
      </c>
      <c r="H2" s="70">
        <v>154.46</v>
      </c>
      <c r="I2" s="80" t="s">
        <v>54</v>
      </c>
    </row>
    <row r="3" spans="1:9" s="1" customFormat="1">
      <c r="A3" s="52"/>
      <c r="B3" s="79" t="s">
        <v>277</v>
      </c>
      <c r="C3" s="9"/>
      <c r="D3" s="74">
        <f>903.13+2.6+3.2</f>
        <v>908.93000000000006</v>
      </c>
      <c r="E3" s="18" t="s">
        <v>207</v>
      </c>
      <c r="F3" s="71"/>
      <c r="G3" s="24"/>
      <c r="H3" s="76">
        <v>114.78</v>
      </c>
      <c r="I3" s="81" t="s">
        <v>131</v>
      </c>
    </row>
    <row r="4" spans="1:9" s="1" customFormat="1">
      <c r="A4" s="52"/>
      <c r="B4" s="79"/>
      <c r="C4" s="9"/>
      <c r="D4" s="74"/>
      <c r="E4" s="18"/>
      <c r="F4" s="71"/>
      <c r="G4" s="24"/>
      <c r="H4" s="76"/>
      <c r="I4" s="81"/>
    </row>
    <row r="5" spans="1:9" s="1" customFormat="1">
      <c r="A5" s="52"/>
      <c r="B5" s="79"/>
      <c r="C5" s="9"/>
      <c r="D5" s="74"/>
      <c r="E5" s="18"/>
      <c r="F5" s="71"/>
      <c r="G5" s="24"/>
      <c r="H5" s="76"/>
      <c r="I5" s="81"/>
    </row>
    <row r="6" spans="1:9" s="1" customFormat="1">
      <c r="A6" s="9"/>
      <c r="C6" s="9" t="s">
        <v>30</v>
      </c>
      <c r="D6" s="74">
        <v>129.38</v>
      </c>
      <c r="E6" s="18" t="s">
        <v>37</v>
      </c>
      <c r="F6" s="71">
        <v>23.18</v>
      </c>
      <c r="G6" s="24" t="s">
        <v>107</v>
      </c>
      <c r="H6" s="76">
        <v>133.18</v>
      </c>
      <c r="I6" s="81" t="s">
        <v>54</v>
      </c>
    </row>
    <row r="7" spans="1:9" s="1" customFormat="1">
      <c r="A7" s="9"/>
      <c r="B7" s="79"/>
      <c r="C7" s="9"/>
      <c r="D7" s="1">
        <v>102.59</v>
      </c>
      <c r="E7" s="18" t="s">
        <v>207</v>
      </c>
      <c r="F7" s="71">
        <v>62.1</v>
      </c>
      <c r="G7" s="24" t="s">
        <v>44</v>
      </c>
      <c r="H7" s="76">
        <f>453.5+56</f>
        <v>509.5</v>
      </c>
      <c r="I7" s="81" t="s">
        <v>131</v>
      </c>
    </row>
    <row r="8" spans="1:9" s="1" customFormat="1">
      <c r="A8" s="9"/>
      <c r="B8" s="79"/>
      <c r="C8" s="9"/>
      <c r="D8" s="74">
        <v>10</v>
      </c>
      <c r="E8" s="18" t="s">
        <v>203</v>
      </c>
      <c r="F8" s="71"/>
      <c r="G8" s="24"/>
      <c r="H8" s="76"/>
      <c r="I8" s="81"/>
    </row>
    <row r="9" spans="1:9" s="1" customFormat="1">
      <c r="A9" s="9"/>
      <c r="B9" s="79"/>
      <c r="C9" s="9"/>
      <c r="D9" s="74"/>
      <c r="E9" s="18"/>
      <c r="F9" s="58"/>
      <c r="G9" s="24"/>
      <c r="H9" s="76"/>
      <c r="I9" s="81"/>
    </row>
    <row r="10" spans="1:9" s="1" customFormat="1">
      <c r="A10" s="10"/>
      <c r="B10" s="43"/>
      <c r="C10" s="9" t="s">
        <v>89</v>
      </c>
      <c r="D10" s="74">
        <f>35.3+37.36</f>
        <v>72.66</v>
      </c>
      <c r="E10" s="18" t="s">
        <v>37</v>
      </c>
      <c r="F10" s="71">
        <v>116.2</v>
      </c>
      <c r="G10" s="24" t="s">
        <v>61</v>
      </c>
      <c r="H10" s="34">
        <v>40.96</v>
      </c>
      <c r="I10" s="6" t="s">
        <v>36</v>
      </c>
    </row>
    <row r="11" spans="1:9" s="1" customFormat="1">
      <c r="A11" s="10"/>
      <c r="B11" s="43"/>
      <c r="C11" s="9"/>
      <c r="D11" s="17">
        <v>494.82</v>
      </c>
      <c r="E11" s="18" t="s">
        <v>207</v>
      </c>
      <c r="F11" s="71">
        <v>69</v>
      </c>
      <c r="G11" s="24" t="s">
        <v>44</v>
      </c>
      <c r="H11" s="34"/>
      <c r="I11" s="6"/>
    </row>
    <row r="12" spans="1:9" s="1" customFormat="1">
      <c r="A12" s="10"/>
      <c r="B12" s="43"/>
      <c r="C12" s="9"/>
      <c r="D12" s="17"/>
      <c r="E12" s="18"/>
      <c r="F12" s="71"/>
      <c r="G12" s="24"/>
      <c r="H12" s="34"/>
      <c r="I12" s="6"/>
    </row>
    <row r="13" spans="1:9" s="1" customFormat="1">
      <c r="A13" s="9"/>
      <c r="B13" s="9"/>
      <c r="C13" s="10" t="s">
        <v>273</v>
      </c>
      <c r="D13" s="17">
        <v>210.5</v>
      </c>
      <c r="E13" s="18" t="s">
        <v>207</v>
      </c>
      <c r="F13" s="29">
        <v>93</v>
      </c>
      <c r="G13" s="24" t="s">
        <v>44</v>
      </c>
      <c r="H13" s="34">
        <v>63.04</v>
      </c>
      <c r="I13" s="6" t="s">
        <v>54</v>
      </c>
    </row>
    <row r="14" spans="1:9" s="1" customFormat="1">
      <c r="A14" s="9"/>
      <c r="B14" s="9"/>
      <c r="C14" s="10"/>
      <c r="D14" s="55"/>
      <c r="E14" s="18"/>
      <c r="F14" s="29"/>
      <c r="G14" s="24"/>
      <c r="H14" s="34">
        <v>404.08</v>
      </c>
      <c r="I14" s="6" t="s">
        <v>131</v>
      </c>
    </row>
    <row r="15" spans="1:9" s="1" customFormat="1">
      <c r="A15" s="9"/>
      <c r="B15" s="9"/>
      <c r="C15" s="10"/>
      <c r="D15" s="55"/>
      <c r="E15" s="18"/>
      <c r="F15" s="29"/>
      <c r="G15" s="24"/>
      <c r="H15" s="34"/>
      <c r="I15" s="6"/>
    </row>
    <row r="16" spans="1:9" s="1" customFormat="1">
      <c r="A16" s="9"/>
      <c r="B16" s="9"/>
      <c r="C16" s="10" t="s">
        <v>47</v>
      </c>
      <c r="D16" s="55"/>
      <c r="E16" s="18"/>
      <c r="F16" s="29">
        <v>27.76</v>
      </c>
      <c r="G16" s="24" t="s">
        <v>61</v>
      </c>
      <c r="H16" s="34">
        <v>335.61</v>
      </c>
      <c r="I16" s="6" t="s">
        <v>131</v>
      </c>
    </row>
    <row r="17" spans="1:11" s="1" customFormat="1">
      <c r="A17" s="9"/>
      <c r="B17" s="9"/>
      <c r="C17" s="10"/>
      <c r="D17" s="55"/>
      <c r="E17" s="18"/>
      <c r="F17" s="29">
        <v>51.7</v>
      </c>
      <c r="G17" s="24" t="s">
        <v>44</v>
      </c>
      <c r="H17" s="34"/>
      <c r="I17" s="6"/>
    </row>
    <row r="18" spans="1:11" s="1" customFormat="1">
      <c r="A18" s="9"/>
      <c r="B18" s="9"/>
      <c r="C18" s="10"/>
      <c r="D18" s="55"/>
      <c r="E18" s="18"/>
      <c r="F18" s="29"/>
      <c r="G18" s="24"/>
      <c r="H18" s="34"/>
      <c r="I18" s="6"/>
    </row>
    <row r="19" spans="1:11" s="1" customFormat="1">
      <c r="A19" s="9"/>
      <c r="B19" s="9"/>
      <c r="C19" s="10" t="s">
        <v>32</v>
      </c>
      <c r="D19" s="74">
        <v>22</v>
      </c>
      <c r="E19" s="18" t="s">
        <v>37</v>
      </c>
      <c r="F19" s="29">
        <v>22</v>
      </c>
      <c r="G19" s="24" t="s">
        <v>159</v>
      </c>
      <c r="H19" s="34">
        <f>35.5</f>
        <v>35.5</v>
      </c>
      <c r="I19" s="6" t="s">
        <v>36</v>
      </c>
    </row>
    <row r="20" spans="1:11" s="1" customFormat="1">
      <c r="A20" s="9"/>
      <c r="B20" s="9"/>
      <c r="C20" s="10"/>
      <c r="D20" s="74">
        <f>28.77+5.85</f>
        <v>34.619999999999997</v>
      </c>
      <c r="E20" s="18" t="s">
        <v>207</v>
      </c>
      <c r="F20" s="29"/>
      <c r="G20" s="24"/>
      <c r="H20" s="34"/>
      <c r="I20" s="6"/>
    </row>
    <row r="21" spans="1:11" s="1" customFormat="1">
      <c r="A21" s="9"/>
      <c r="B21" s="9"/>
      <c r="C21" s="10"/>
      <c r="D21" s="55"/>
      <c r="E21" s="18"/>
      <c r="F21" s="29"/>
      <c r="G21" s="24"/>
      <c r="H21" s="34"/>
      <c r="I21" s="6"/>
    </row>
    <row r="22" spans="1:11" s="1" customFormat="1">
      <c r="A22" s="9"/>
      <c r="B22" s="9"/>
      <c r="C22" s="10" t="s">
        <v>274</v>
      </c>
      <c r="D22" s="17">
        <v>36.5</v>
      </c>
      <c r="E22" s="18" t="s">
        <v>37</v>
      </c>
      <c r="F22" s="29">
        <v>22</v>
      </c>
      <c r="G22" s="24" t="s">
        <v>159</v>
      </c>
      <c r="H22" s="34">
        <v>28.48</v>
      </c>
      <c r="I22" s="6" t="s">
        <v>36</v>
      </c>
    </row>
    <row r="23" spans="1:11" s="1" customFormat="1">
      <c r="A23" s="9"/>
      <c r="B23" s="9"/>
      <c r="C23" s="10"/>
      <c r="D23" s="17">
        <v>4.29</v>
      </c>
      <c r="E23" s="18" t="s">
        <v>207</v>
      </c>
      <c r="F23" s="29"/>
      <c r="G23" s="24"/>
      <c r="H23" s="34">
        <v>44</v>
      </c>
      <c r="I23" s="6" t="s">
        <v>131</v>
      </c>
    </row>
    <row r="24" spans="1:11" s="1" customFormat="1">
      <c r="A24" s="9"/>
      <c r="B24" s="9"/>
      <c r="C24" s="10"/>
      <c r="D24" s="17"/>
      <c r="E24" s="18"/>
      <c r="F24" s="29"/>
      <c r="G24" s="24"/>
      <c r="H24" s="34"/>
      <c r="I24" s="6"/>
    </row>
    <row r="25" spans="1:11" s="1" customFormat="1">
      <c r="A25" s="9"/>
      <c r="B25" s="9"/>
      <c r="C25" s="9" t="s">
        <v>161</v>
      </c>
      <c r="D25" s="17">
        <v>111.8</v>
      </c>
      <c r="E25" s="18" t="s">
        <v>37</v>
      </c>
      <c r="F25" s="29">
        <v>13.27</v>
      </c>
      <c r="G25" s="24" t="s">
        <v>61</v>
      </c>
      <c r="H25" s="34">
        <v>25.36</v>
      </c>
      <c r="I25" s="2" t="s">
        <v>54</v>
      </c>
      <c r="K25" s="4"/>
    </row>
    <row r="26" spans="1:11" s="1" customFormat="1">
      <c r="A26" s="9"/>
      <c r="B26" s="9"/>
      <c r="C26" s="9"/>
      <c r="D26" s="17">
        <v>3.7</v>
      </c>
      <c r="E26" s="18" t="s">
        <v>207</v>
      </c>
      <c r="F26" s="29">
        <v>3.2</v>
      </c>
      <c r="G26" s="24" t="s">
        <v>107</v>
      </c>
      <c r="H26" s="34">
        <v>404.08</v>
      </c>
      <c r="I26" s="2" t="s">
        <v>131</v>
      </c>
      <c r="K26" s="4"/>
    </row>
    <row r="27" spans="1:11" s="1" customFormat="1">
      <c r="A27" s="9"/>
      <c r="B27" s="9"/>
      <c r="C27" s="9"/>
      <c r="D27" s="17"/>
      <c r="E27" s="18"/>
      <c r="F27" s="29"/>
      <c r="G27" s="24"/>
      <c r="H27" s="34"/>
      <c r="I27" s="2"/>
      <c r="K27" s="4"/>
    </row>
    <row r="28" spans="1:11" s="1" customFormat="1">
      <c r="A28" s="9"/>
      <c r="B28" s="9"/>
      <c r="C28" s="9"/>
      <c r="D28" s="17"/>
      <c r="E28" s="18"/>
      <c r="F28" s="29"/>
      <c r="G28" s="24"/>
      <c r="H28" s="34"/>
      <c r="I28" s="2"/>
      <c r="K28" s="4"/>
    </row>
    <row r="29" spans="1:11" s="1" customFormat="1">
      <c r="A29" s="12" t="s">
        <v>4</v>
      </c>
      <c r="B29" s="10"/>
      <c r="C29" s="10"/>
      <c r="D29" s="20">
        <f>SUM(D2:D26)</f>
        <v>2205.88</v>
      </c>
      <c r="E29" s="6"/>
      <c r="F29" s="31">
        <f>SUM(F2:F26)</f>
        <v>524.41000000000008</v>
      </c>
      <c r="G29" s="26"/>
      <c r="H29" s="36">
        <f>SUM(H2:H25)</f>
        <v>1888.95</v>
      </c>
      <c r="I29" s="2"/>
    </row>
    <row r="30" spans="1:11" s="1" customFormat="1" ht="15.75" thickBot="1">
      <c r="A30" s="13" t="s">
        <v>5</v>
      </c>
      <c r="B30" s="39">
        <f>SUM(D29+F29+H29)</f>
        <v>4619.24</v>
      </c>
      <c r="C30" s="38"/>
      <c r="D30" s="21"/>
      <c r="E30" s="22"/>
      <c r="F30" s="32"/>
      <c r="G30" s="27"/>
      <c r="H30" s="37"/>
      <c r="I30" s="3"/>
    </row>
    <row r="31" spans="1:11">
      <c r="A31" s="8" t="s">
        <v>297</v>
      </c>
      <c r="B31" s="8" t="s">
        <v>298</v>
      </c>
      <c r="C31" s="11" t="s">
        <v>26</v>
      </c>
      <c r="D31" s="15">
        <v>39.53</v>
      </c>
      <c r="E31" s="40" t="s">
        <v>37</v>
      </c>
      <c r="F31" s="28"/>
      <c r="G31" s="23"/>
      <c r="H31" s="33">
        <v>770.68</v>
      </c>
      <c r="I31" s="5" t="s">
        <v>131</v>
      </c>
    </row>
    <row r="32" spans="1:11">
      <c r="A32" s="9"/>
      <c r="B32" s="9" t="s">
        <v>299</v>
      </c>
      <c r="D32" s="17">
        <v>18.18</v>
      </c>
      <c r="E32" s="51" t="s">
        <v>207</v>
      </c>
      <c r="F32" s="29"/>
      <c r="G32" s="24"/>
      <c r="H32" s="34">
        <v>133.27000000000001</v>
      </c>
      <c r="I32" s="6" t="s">
        <v>36</v>
      </c>
    </row>
    <row r="33" spans="1:9">
      <c r="A33" s="9"/>
      <c r="B33" s="9"/>
      <c r="C33" s="10"/>
      <c r="D33" s="17"/>
      <c r="E33" s="18"/>
      <c r="F33" s="29"/>
      <c r="G33" s="24"/>
      <c r="H33" s="34"/>
      <c r="I33" s="6"/>
    </row>
    <row r="34" spans="1:9">
      <c r="A34" s="10"/>
      <c r="B34" s="14"/>
      <c r="C34" s="10" t="s">
        <v>27</v>
      </c>
      <c r="D34" s="19">
        <v>29.09</v>
      </c>
      <c r="E34" s="6" t="s">
        <v>37</v>
      </c>
      <c r="F34" s="30"/>
      <c r="G34" s="25"/>
      <c r="H34" s="35"/>
      <c r="I34" s="6"/>
    </row>
    <row r="35" spans="1:9">
      <c r="A35" s="10"/>
      <c r="B35" s="14"/>
      <c r="C35" s="10"/>
      <c r="D35" s="19">
        <v>56.68</v>
      </c>
      <c r="E35" s="51" t="s">
        <v>207</v>
      </c>
      <c r="F35" s="30"/>
      <c r="G35" s="25"/>
      <c r="H35" s="35"/>
      <c r="I35" s="6"/>
    </row>
    <row r="36" spans="1:9">
      <c r="A36" s="10"/>
      <c r="B36" s="14"/>
      <c r="C36" s="9"/>
      <c r="D36" s="19"/>
      <c r="E36" s="6"/>
      <c r="F36" s="30"/>
      <c r="G36" s="25"/>
      <c r="H36" s="35"/>
      <c r="I36" s="2"/>
    </row>
    <row r="37" spans="1:9">
      <c r="A37" s="12" t="s">
        <v>4</v>
      </c>
      <c r="B37" s="10"/>
      <c r="C37" s="10"/>
      <c r="D37" s="20">
        <f>SUM(D31:D36)</f>
        <v>143.47999999999999</v>
      </c>
      <c r="E37" s="6"/>
      <c r="F37" s="31">
        <f>SUM(F31:F36)</f>
        <v>0</v>
      </c>
      <c r="G37" s="26"/>
      <c r="H37" s="36">
        <f>SUM(H31:H36)</f>
        <v>903.94999999999993</v>
      </c>
      <c r="I37" s="2"/>
    </row>
    <row r="38" spans="1:9" ht="15.75" thickBot="1">
      <c r="A38" s="13" t="s">
        <v>5</v>
      </c>
      <c r="B38" s="39">
        <f>SUM(D37+F37+H37)</f>
        <v>1047.4299999999998</v>
      </c>
      <c r="C38" s="38"/>
      <c r="D38" s="21"/>
      <c r="E38" s="22"/>
      <c r="F38" s="32"/>
      <c r="G38" s="27"/>
      <c r="H38" s="37"/>
      <c r="I38" s="3"/>
    </row>
    <row r="39" spans="1:9">
      <c r="A39" s="44" t="s">
        <v>302</v>
      </c>
      <c r="B39" s="8" t="s">
        <v>237</v>
      </c>
      <c r="C39" s="11" t="s">
        <v>18</v>
      </c>
      <c r="D39" s="15">
        <v>90</v>
      </c>
      <c r="E39" s="40" t="s">
        <v>37</v>
      </c>
      <c r="F39" s="28"/>
      <c r="G39" s="23"/>
      <c r="H39" s="33">
        <v>2182.06</v>
      </c>
      <c r="I39" s="5" t="s">
        <v>54</v>
      </c>
    </row>
    <row r="40" spans="1:9">
      <c r="A40" s="9"/>
      <c r="B40" s="48" t="s">
        <v>296</v>
      </c>
      <c r="C40" s="10"/>
      <c r="D40" s="17"/>
      <c r="E40" s="51"/>
      <c r="F40" s="29"/>
      <c r="G40" s="24"/>
      <c r="H40" s="34">
        <v>1809.68</v>
      </c>
      <c r="I40" s="6" t="s">
        <v>131</v>
      </c>
    </row>
    <row r="41" spans="1:9" s="1" customFormat="1">
      <c r="A41" s="10"/>
      <c r="B41" s="48"/>
      <c r="C41" s="9"/>
      <c r="D41" s="17"/>
      <c r="E41" s="51"/>
      <c r="F41" s="29"/>
      <c r="G41" s="24"/>
      <c r="H41" s="34"/>
      <c r="I41" s="6"/>
    </row>
    <row r="42" spans="1:9" s="1" customFormat="1">
      <c r="A42" s="10"/>
      <c r="B42" s="48"/>
      <c r="C42" s="9" t="s">
        <v>21</v>
      </c>
      <c r="D42" s="17">
        <f>128.58+106.52</f>
        <v>235.10000000000002</v>
      </c>
      <c r="E42" s="18" t="s">
        <v>37</v>
      </c>
      <c r="F42" s="29"/>
      <c r="G42" s="24"/>
      <c r="H42" s="34">
        <v>234</v>
      </c>
      <c r="I42" s="6" t="s">
        <v>131</v>
      </c>
    </row>
    <row r="43" spans="1:9" s="1" customFormat="1">
      <c r="A43" s="10"/>
      <c r="B43" s="48"/>
      <c r="C43" s="9"/>
      <c r="D43" s="17">
        <v>609.25</v>
      </c>
      <c r="E43" s="18" t="s">
        <v>207</v>
      </c>
      <c r="F43" s="29"/>
      <c r="G43" s="24"/>
      <c r="H43" s="34">
        <v>1728.73</v>
      </c>
      <c r="I43" s="6" t="s">
        <v>54</v>
      </c>
    </row>
    <row r="44" spans="1:9">
      <c r="A44" s="10"/>
      <c r="B44" s="14"/>
      <c r="C44" s="10"/>
      <c r="D44" s="19"/>
      <c r="E44" s="6"/>
      <c r="F44" s="30"/>
      <c r="G44" s="25"/>
      <c r="H44" s="34">
        <v>182.24</v>
      </c>
      <c r="I44" s="6" t="s">
        <v>64</v>
      </c>
    </row>
    <row r="45" spans="1:9">
      <c r="A45" s="10"/>
      <c r="B45" s="14"/>
      <c r="C45" s="9"/>
      <c r="D45" s="19"/>
      <c r="E45" s="6"/>
      <c r="F45" s="30"/>
      <c r="G45" s="25"/>
      <c r="H45" s="34"/>
      <c r="I45" s="2"/>
    </row>
    <row r="46" spans="1:9">
      <c r="A46" s="12" t="s">
        <v>4</v>
      </c>
      <c r="B46" s="10"/>
      <c r="C46" s="10"/>
      <c r="D46" s="20">
        <f>SUM(D39:D45)</f>
        <v>934.35</v>
      </c>
      <c r="E46" s="6"/>
      <c r="F46" s="31">
        <f>SUM(F39:F45)</f>
        <v>0</v>
      </c>
      <c r="G46" s="26"/>
      <c r="H46" s="36">
        <f>SUM(H39:H45)</f>
        <v>6136.7099999999991</v>
      </c>
      <c r="I46" s="2"/>
    </row>
    <row r="47" spans="1:9" ht="15.75" thickBot="1">
      <c r="A47" s="13" t="s">
        <v>5</v>
      </c>
      <c r="B47" s="39">
        <f>SUM(D46+F46+H46)</f>
        <v>7071.0599999999995</v>
      </c>
      <c r="C47" s="38"/>
      <c r="D47" s="21"/>
      <c r="E47" s="22"/>
      <c r="F47" s="32"/>
      <c r="G47" s="27"/>
      <c r="H47" s="37"/>
      <c r="I47" s="3"/>
    </row>
    <row r="48" spans="1:9" s="1" customFormat="1">
      <c r="A48" s="44" t="s">
        <v>287</v>
      </c>
      <c r="B48" s="54" t="s">
        <v>288</v>
      </c>
      <c r="C48" s="8" t="s">
        <v>11</v>
      </c>
      <c r="D48" s="69">
        <v>101.43</v>
      </c>
      <c r="E48" s="16" t="s">
        <v>37</v>
      </c>
      <c r="F48" s="73"/>
      <c r="G48" s="23"/>
      <c r="H48" s="70">
        <f>136.4+585.12</f>
        <v>721.52</v>
      </c>
      <c r="I48" s="80" t="s">
        <v>131</v>
      </c>
    </row>
    <row r="49" spans="1:11" s="1" customFormat="1">
      <c r="A49" s="9"/>
      <c r="B49" s="79" t="s">
        <v>289</v>
      </c>
      <c r="C49" s="9"/>
      <c r="D49" s="74">
        <v>7.43</v>
      </c>
      <c r="E49" s="18" t="s">
        <v>207</v>
      </c>
      <c r="F49" s="71"/>
      <c r="G49" s="24"/>
      <c r="H49" s="76">
        <v>145.84</v>
      </c>
      <c r="I49" s="81" t="s">
        <v>54</v>
      </c>
    </row>
    <row r="50" spans="1:11" s="1" customFormat="1">
      <c r="A50" s="10"/>
      <c r="B50" s="43"/>
      <c r="C50" s="9"/>
      <c r="D50" s="74">
        <v>30.47</v>
      </c>
      <c r="E50" s="18" t="s">
        <v>203</v>
      </c>
      <c r="F50" s="71"/>
      <c r="G50" s="24"/>
      <c r="H50" s="34"/>
      <c r="I50" s="6"/>
    </row>
    <row r="51" spans="1:11" s="1" customFormat="1">
      <c r="A51" s="9"/>
      <c r="B51" s="9"/>
      <c r="C51" s="10"/>
      <c r="D51" s="55"/>
      <c r="E51" s="18"/>
      <c r="F51" s="29"/>
      <c r="G51" s="24"/>
      <c r="H51" s="34"/>
      <c r="I51" s="6"/>
    </row>
    <row r="52" spans="1:11" s="1" customFormat="1">
      <c r="A52" s="9"/>
      <c r="B52" s="9"/>
      <c r="C52" s="10"/>
      <c r="D52" s="55"/>
      <c r="E52" s="18"/>
      <c r="F52" s="29"/>
      <c r="G52" s="24"/>
      <c r="H52" s="34"/>
      <c r="I52" s="6"/>
    </row>
    <row r="53" spans="1:11" s="1" customFormat="1">
      <c r="A53" s="9"/>
      <c r="B53" s="9"/>
      <c r="C53" s="10"/>
      <c r="D53" s="17"/>
      <c r="E53" s="18"/>
      <c r="F53" s="29"/>
      <c r="G53" s="24"/>
      <c r="H53" s="34"/>
      <c r="I53" s="6"/>
    </row>
    <row r="54" spans="1:11" s="1" customFormat="1">
      <c r="A54" s="9"/>
      <c r="B54" s="9"/>
      <c r="C54" s="9"/>
      <c r="D54" s="17"/>
      <c r="E54" s="18"/>
      <c r="F54" s="29"/>
      <c r="G54" s="24"/>
      <c r="H54" s="34"/>
      <c r="I54" s="2"/>
      <c r="K54" s="4"/>
    </row>
    <row r="55" spans="1:11" s="1" customFormat="1">
      <c r="A55" s="12" t="s">
        <v>4</v>
      </c>
      <c r="B55" s="10"/>
      <c r="C55" s="10"/>
      <c r="D55" s="20">
        <f>SUM(D48:D54)</f>
        <v>139.33000000000001</v>
      </c>
      <c r="E55" s="6"/>
      <c r="F55" s="31">
        <f>SUM(F48:F54)</f>
        <v>0</v>
      </c>
      <c r="G55" s="26"/>
      <c r="H55" s="36">
        <f>SUM(H48:H54)</f>
        <v>867.36</v>
      </c>
      <c r="I55" s="2"/>
    </row>
    <row r="56" spans="1:11" s="1" customFormat="1" ht="15.75" thickBot="1">
      <c r="A56" s="13" t="s">
        <v>5</v>
      </c>
      <c r="B56" s="39">
        <f>SUM(D55+F55+H55)</f>
        <v>1006.69</v>
      </c>
      <c r="C56" s="38"/>
      <c r="D56" s="21"/>
      <c r="E56" s="22"/>
      <c r="F56" s="32"/>
      <c r="G56" s="27"/>
      <c r="H56" s="37"/>
      <c r="I56" s="3"/>
    </row>
    <row r="57" spans="1:11" s="1" customFormat="1">
      <c r="A57" s="44" t="s">
        <v>303</v>
      </c>
      <c r="B57" s="54" t="s">
        <v>304</v>
      </c>
      <c r="C57" s="8" t="s">
        <v>161</v>
      </c>
      <c r="D57" s="69">
        <v>196.52</v>
      </c>
      <c r="E57" s="16" t="s">
        <v>37</v>
      </c>
      <c r="F57" s="73"/>
      <c r="G57" s="23"/>
      <c r="H57" s="70">
        <v>204.13</v>
      </c>
      <c r="I57" s="80" t="s">
        <v>54</v>
      </c>
    </row>
    <row r="58" spans="1:11" s="1" customFormat="1">
      <c r="A58" s="9"/>
      <c r="B58" s="79" t="s">
        <v>305</v>
      </c>
      <c r="C58" s="9"/>
      <c r="D58" s="74">
        <v>38.25</v>
      </c>
      <c r="E58" s="18" t="s">
        <v>207</v>
      </c>
      <c r="F58" s="71"/>
      <c r="G58" s="24"/>
      <c r="H58" s="76">
        <v>318.12</v>
      </c>
      <c r="I58" s="81" t="s">
        <v>131</v>
      </c>
    </row>
    <row r="59" spans="1:11" s="1" customFormat="1">
      <c r="A59" s="10"/>
      <c r="B59" s="43"/>
      <c r="C59" s="9"/>
      <c r="D59" s="55"/>
      <c r="E59" s="18"/>
      <c r="F59" s="71"/>
      <c r="G59" s="24"/>
      <c r="H59" s="34"/>
      <c r="I59" s="6"/>
    </row>
    <row r="60" spans="1:11" s="1" customFormat="1">
      <c r="A60" s="9"/>
      <c r="B60" s="9"/>
      <c r="C60" s="10" t="s">
        <v>84</v>
      </c>
      <c r="D60" s="74"/>
      <c r="E60" s="18"/>
      <c r="F60" s="29">
        <v>104</v>
      </c>
      <c r="G60" s="24" t="s">
        <v>44</v>
      </c>
      <c r="H60" s="34">
        <v>318.12</v>
      </c>
      <c r="I60" s="6" t="s">
        <v>300</v>
      </c>
    </row>
    <row r="61" spans="1:11" s="1" customFormat="1">
      <c r="A61" s="9"/>
      <c r="B61" s="9"/>
      <c r="C61" s="10"/>
      <c r="D61" s="55"/>
      <c r="E61" s="18"/>
      <c r="F61" s="29"/>
      <c r="G61" s="24"/>
      <c r="H61" s="34">
        <v>204.13</v>
      </c>
      <c r="I61" s="6" t="s">
        <v>54</v>
      </c>
    </row>
    <row r="62" spans="1:11" s="1" customFormat="1">
      <c r="A62" s="9"/>
      <c r="B62" s="9"/>
      <c r="C62" s="10"/>
      <c r="D62" s="17"/>
      <c r="E62" s="18"/>
      <c r="F62" s="29"/>
      <c r="G62" s="24"/>
      <c r="H62" s="34"/>
      <c r="I62" s="6"/>
    </row>
    <row r="63" spans="1:11" s="1" customFormat="1">
      <c r="A63" s="9"/>
      <c r="B63" s="9"/>
      <c r="C63" s="9"/>
      <c r="D63" s="17"/>
      <c r="E63" s="18"/>
      <c r="F63" s="29"/>
      <c r="G63" s="24"/>
      <c r="H63" s="34"/>
      <c r="I63" s="2"/>
      <c r="K63" s="4"/>
    </row>
    <row r="64" spans="1:11" s="1" customFormat="1">
      <c r="A64" s="12" t="s">
        <v>4</v>
      </c>
      <c r="B64" s="10"/>
      <c r="C64" s="10"/>
      <c r="D64" s="20">
        <f>SUM(D57:D63)</f>
        <v>234.77</v>
      </c>
      <c r="E64" s="6"/>
      <c r="F64" s="31">
        <f>SUM(F57:F63)</f>
        <v>104</v>
      </c>
      <c r="G64" s="26"/>
      <c r="H64" s="36">
        <f>SUM(H57:H63)</f>
        <v>1044.5</v>
      </c>
      <c r="I64" s="2"/>
    </row>
    <row r="65" spans="1:11" s="1" customFormat="1" ht="15.75" thickBot="1">
      <c r="A65" s="13" t="s">
        <v>5</v>
      </c>
      <c r="B65" s="39">
        <f>SUM(D64+F64+H64)</f>
        <v>1383.27</v>
      </c>
      <c r="C65" s="38"/>
      <c r="D65" s="21"/>
      <c r="E65" s="22"/>
      <c r="F65" s="32"/>
      <c r="G65" s="27"/>
      <c r="H65" s="37"/>
      <c r="I65" s="3"/>
    </row>
    <row r="66" spans="1:11" s="1" customFormat="1">
      <c r="A66" s="44" t="s">
        <v>303</v>
      </c>
      <c r="B66" s="54" t="s">
        <v>292</v>
      </c>
      <c r="C66" s="8" t="s">
        <v>27</v>
      </c>
      <c r="D66" s="69"/>
      <c r="E66" s="16"/>
      <c r="F66" s="73"/>
      <c r="G66" s="23"/>
      <c r="H66" s="70">
        <v>201.56</v>
      </c>
      <c r="I66" s="80" t="s">
        <v>54</v>
      </c>
    </row>
    <row r="67" spans="1:11" s="1" customFormat="1">
      <c r="A67" s="9"/>
      <c r="B67" s="79" t="s">
        <v>299</v>
      </c>
      <c r="C67" s="9"/>
      <c r="D67" s="74"/>
      <c r="E67" s="18"/>
      <c r="F67" s="71"/>
      <c r="G67" s="24"/>
      <c r="H67" s="76"/>
      <c r="I67" s="81"/>
    </row>
    <row r="68" spans="1:11" s="1" customFormat="1">
      <c r="A68" s="10"/>
      <c r="B68" s="43"/>
      <c r="C68" s="9" t="s">
        <v>26</v>
      </c>
      <c r="D68" s="55"/>
      <c r="E68" s="18"/>
      <c r="F68" s="71"/>
      <c r="G68" s="24"/>
      <c r="H68" s="34">
        <v>201.57</v>
      </c>
      <c r="I68" s="6" t="s">
        <v>54</v>
      </c>
    </row>
    <row r="69" spans="1:11" s="1" customFormat="1">
      <c r="A69" s="9"/>
      <c r="B69" s="9"/>
      <c r="C69" s="9"/>
      <c r="D69" s="17"/>
      <c r="E69" s="18"/>
      <c r="F69" s="29"/>
      <c r="G69" s="24"/>
      <c r="H69" s="34"/>
      <c r="I69" s="2"/>
      <c r="K69" s="4"/>
    </row>
    <row r="70" spans="1:11" s="1" customFormat="1">
      <c r="A70" s="12" t="s">
        <v>4</v>
      </c>
      <c r="B70" s="10"/>
      <c r="C70" s="10"/>
      <c r="D70" s="20">
        <f>SUM(D66:D69)</f>
        <v>0</v>
      </c>
      <c r="E70" s="6"/>
      <c r="F70" s="31">
        <f>SUM(F66:F69)</f>
        <v>0</v>
      </c>
      <c r="G70" s="26"/>
      <c r="H70" s="36">
        <f>SUM(H66:H69)</f>
        <v>403.13</v>
      </c>
      <c r="I70" s="2"/>
    </row>
    <row r="71" spans="1:11" s="1" customFormat="1" ht="15.75" thickBot="1">
      <c r="A71" s="13" t="s">
        <v>5</v>
      </c>
      <c r="B71" s="39">
        <f>SUM(D70+F70+H70)</f>
        <v>403.13</v>
      </c>
      <c r="C71" s="38"/>
      <c r="D71" s="21"/>
      <c r="E71" s="22"/>
      <c r="F71" s="32"/>
      <c r="G71" s="27"/>
      <c r="H71" s="37"/>
      <c r="I71" s="3"/>
    </row>
    <row r="72" spans="1:11" s="1" customFormat="1">
      <c r="A72" s="44" t="s">
        <v>275</v>
      </c>
      <c r="B72" s="54" t="s">
        <v>245</v>
      </c>
      <c r="C72" s="8" t="s">
        <v>89</v>
      </c>
      <c r="D72" s="69">
        <v>116.01</v>
      </c>
      <c r="E72" s="16" t="s">
        <v>207</v>
      </c>
      <c r="F72" s="73">
        <v>116.2</v>
      </c>
      <c r="G72" s="23" t="s">
        <v>61</v>
      </c>
      <c r="H72" s="70">
        <v>1183.3900000000001</v>
      </c>
      <c r="I72" s="80" t="s">
        <v>54</v>
      </c>
    </row>
    <row r="73" spans="1:11" s="1" customFormat="1">
      <c r="A73" s="9"/>
      <c r="B73" s="79" t="s">
        <v>276</v>
      </c>
      <c r="C73" s="9"/>
      <c r="D73" s="74"/>
      <c r="E73" s="18"/>
      <c r="F73" s="71">
        <v>23.8</v>
      </c>
      <c r="G73" s="24" t="s">
        <v>44</v>
      </c>
      <c r="H73" s="76">
        <v>496.35</v>
      </c>
      <c r="I73" s="81" t="s">
        <v>131</v>
      </c>
    </row>
    <row r="74" spans="1:11" s="1" customFormat="1">
      <c r="A74" s="10"/>
      <c r="B74" s="43"/>
      <c r="C74" s="9"/>
      <c r="D74" s="55"/>
      <c r="E74" s="18"/>
      <c r="F74" s="71"/>
      <c r="G74" s="24"/>
      <c r="H74" s="34"/>
      <c r="I74" s="6"/>
    </row>
    <row r="75" spans="1:11" s="1" customFormat="1">
      <c r="A75" s="9"/>
      <c r="B75" s="9"/>
      <c r="C75" s="10" t="s">
        <v>18</v>
      </c>
      <c r="D75" s="74">
        <v>222.7</v>
      </c>
      <c r="E75" s="18" t="s">
        <v>37</v>
      </c>
      <c r="F75" s="29"/>
      <c r="G75" s="24"/>
      <c r="H75" s="34">
        <v>496.35</v>
      </c>
      <c r="I75" s="6" t="s">
        <v>131</v>
      </c>
    </row>
    <row r="76" spans="1:11" s="1" customFormat="1">
      <c r="A76" s="9"/>
      <c r="B76" s="9"/>
      <c r="C76" s="10"/>
      <c r="D76" s="55"/>
      <c r="E76" s="18"/>
      <c r="F76" s="29"/>
      <c r="G76" s="24"/>
      <c r="H76" s="34"/>
      <c r="I76" s="6"/>
    </row>
    <row r="77" spans="1:11" s="1" customFormat="1">
      <c r="A77" s="9"/>
      <c r="B77" s="9"/>
      <c r="C77" s="10"/>
      <c r="D77" s="17"/>
      <c r="E77" s="18"/>
      <c r="F77" s="29"/>
      <c r="G77" s="24"/>
      <c r="H77" s="34"/>
      <c r="I77" s="6"/>
    </row>
    <row r="78" spans="1:11" s="1" customFormat="1">
      <c r="A78" s="9"/>
      <c r="B78" s="9"/>
      <c r="C78" s="9"/>
      <c r="D78" s="17"/>
      <c r="E78" s="18"/>
      <c r="F78" s="29"/>
      <c r="G78" s="24"/>
      <c r="H78" s="34"/>
      <c r="I78" s="2"/>
      <c r="K78" s="4"/>
    </row>
    <row r="79" spans="1:11" s="1" customFormat="1">
      <c r="A79" s="12" t="s">
        <v>4</v>
      </c>
      <c r="B79" s="10"/>
      <c r="C79" s="10"/>
      <c r="D79" s="20">
        <f>SUM(D72:D78)</f>
        <v>338.71</v>
      </c>
      <c r="E79" s="6"/>
      <c r="F79" s="31">
        <f>SUM(F72:F78)</f>
        <v>140</v>
      </c>
      <c r="G79" s="26"/>
      <c r="H79" s="36">
        <f>SUM(H72:H78)</f>
        <v>2176.09</v>
      </c>
      <c r="I79" s="2"/>
    </row>
    <row r="80" spans="1:11" s="1" customFormat="1" ht="15.75" thickBot="1">
      <c r="A80" s="13" t="s">
        <v>5</v>
      </c>
      <c r="B80" s="39">
        <f>SUM(D79+F79+H79)</f>
        <v>2654.8</v>
      </c>
      <c r="C80" s="38"/>
      <c r="D80" s="21"/>
      <c r="E80" s="22"/>
      <c r="F80" s="32"/>
      <c r="G80" s="27"/>
      <c r="H80" s="37"/>
      <c r="I80" s="3"/>
    </row>
    <row r="81" spans="1:11" s="1" customFormat="1">
      <c r="A81" s="82" t="s">
        <v>278</v>
      </c>
      <c r="B81" s="48" t="s">
        <v>237</v>
      </c>
      <c r="C81" s="8" t="s">
        <v>86</v>
      </c>
      <c r="D81" s="15">
        <v>45.97</v>
      </c>
      <c r="E81" s="16" t="s">
        <v>37</v>
      </c>
      <c r="F81" s="28">
        <v>74.680000000000007</v>
      </c>
      <c r="G81" s="23" t="s">
        <v>61</v>
      </c>
      <c r="H81" s="33">
        <v>134.30000000000001</v>
      </c>
      <c r="I81" s="5" t="s">
        <v>344</v>
      </c>
    </row>
    <row r="82" spans="1:11" s="1" customFormat="1">
      <c r="A82" s="10"/>
      <c r="B82" s="48" t="s">
        <v>228</v>
      </c>
      <c r="C82" s="9"/>
      <c r="D82" s="17">
        <v>30.73</v>
      </c>
      <c r="E82" s="18" t="s">
        <v>207</v>
      </c>
      <c r="F82" s="29">
        <v>10</v>
      </c>
      <c r="G82" s="24" t="s">
        <v>286</v>
      </c>
      <c r="H82" s="34">
        <v>741.69</v>
      </c>
      <c r="I82" s="6" t="s">
        <v>131</v>
      </c>
    </row>
    <row r="83" spans="1:11" s="1" customFormat="1">
      <c r="A83" s="10"/>
      <c r="B83" s="48"/>
      <c r="C83" s="9"/>
      <c r="D83" s="17"/>
      <c r="E83" s="18"/>
      <c r="F83" s="29">
        <v>44.1</v>
      </c>
      <c r="G83" s="24" t="s">
        <v>44</v>
      </c>
      <c r="H83" s="34">
        <v>558.61</v>
      </c>
      <c r="I83" s="6" t="s">
        <v>54</v>
      </c>
    </row>
    <row r="84" spans="1:11" s="1" customFormat="1">
      <c r="A84" s="10"/>
      <c r="B84" s="43"/>
      <c r="C84" s="10"/>
      <c r="D84" s="17"/>
      <c r="E84" s="18"/>
      <c r="F84" s="29"/>
      <c r="G84" s="24"/>
      <c r="H84" s="34"/>
      <c r="I84" s="6"/>
    </row>
    <row r="85" spans="1:11" s="1" customFormat="1">
      <c r="A85" s="9"/>
      <c r="B85" s="9"/>
      <c r="C85" s="9"/>
      <c r="D85" s="17"/>
      <c r="E85" s="18"/>
      <c r="F85" s="29"/>
      <c r="G85" s="24"/>
      <c r="H85" s="34"/>
      <c r="I85" s="2"/>
      <c r="K85" s="4"/>
    </row>
    <row r="86" spans="1:11" s="1" customFormat="1">
      <c r="A86" s="12" t="s">
        <v>4</v>
      </c>
      <c r="B86" s="10"/>
      <c r="C86" s="10"/>
      <c r="D86" s="20">
        <f>SUM(D81:D85)</f>
        <v>76.7</v>
      </c>
      <c r="E86" s="6"/>
      <c r="F86" s="31">
        <f>SUM(F81:F85)</f>
        <v>128.78</v>
      </c>
      <c r="G86" s="26"/>
      <c r="H86" s="36">
        <f>SUM(H81:H85)</f>
        <v>1434.6</v>
      </c>
      <c r="I86" s="2"/>
    </row>
    <row r="87" spans="1:11" s="1" customFormat="1" ht="15.75" thickBot="1">
      <c r="A87" s="13" t="s">
        <v>5</v>
      </c>
      <c r="B87" s="39">
        <f>SUM(D86+F86+H86)</f>
        <v>1640.08</v>
      </c>
      <c r="C87" s="38"/>
      <c r="D87" s="21"/>
      <c r="E87" s="22"/>
      <c r="F87" s="32"/>
      <c r="G87" s="27"/>
      <c r="H87" s="37"/>
      <c r="I87" s="3"/>
    </row>
    <row r="88" spans="1:11" s="1" customFormat="1">
      <c r="A88" s="82" t="s">
        <v>290</v>
      </c>
      <c r="B88" s="48" t="s">
        <v>292</v>
      </c>
      <c r="C88" s="8" t="s">
        <v>11</v>
      </c>
      <c r="D88" s="15">
        <v>119.54</v>
      </c>
      <c r="E88" s="16" t="s">
        <v>37</v>
      </c>
      <c r="F88" s="28"/>
      <c r="G88" s="23"/>
      <c r="H88" s="33">
        <v>76.41</v>
      </c>
      <c r="I88" s="5" t="s">
        <v>36</v>
      </c>
    </row>
    <row r="89" spans="1:11" s="1" customFormat="1">
      <c r="A89" s="10"/>
      <c r="B89" s="48" t="s">
        <v>291</v>
      </c>
      <c r="C89" s="9"/>
      <c r="D89" s="17">
        <v>359.12</v>
      </c>
      <c r="E89" s="18" t="s">
        <v>207</v>
      </c>
      <c r="F89" s="29"/>
      <c r="G89" s="24"/>
      <c r="H89" s="34">
        <v>3108.33</v>
      </c>
      <c r="I89" s="6" t="s">
        <v>131</v>
      </c>
    </row>
    <row r="90" spans="1:11" s="1" customFormat="1">
      <c r="A90" s="10"/>
      <c r="B90" s="48"/>
      <c r="C90" s="9"/>
      <c r="D90" s="17"/>
      <c r="E90" s="18"/>
      <c r="F90" s="29"/>
      <c r="G90" s="24"/>
      <c r="H90" s="34">
        <v>434.2</v>
      </c>
      <c r="I90" s="6" t="s">
        <v>54</v>
      </c>
    </row>
    <row r="91" spans="1:11" s="1" customFormat="1">
      <c r="A91" s="10"/>
      <c r="B91" s="48"/>
      <c r="C91" s="9"/>
      <c r="D91" s="17"/>
      <c r="E91" s="18"/>
      <c r="F91" s="29"/>
      <c r="G91" s="24"/>
      <c r="H91" s="34"/>
      <c r="I91" s="6"/>
    </row>
    <row r="92" spans="1:11" s="1" customFormat="1">
      <c r="A92" s="10"/>
      <c r="B92" s="43"/>
      <c r="C92" s="10" t="s">
        <v>13</v>
      </c>
      <c r="D92" s="17"/>
      <c r="E92" s="18"/>
      <c r="F92" s="29"/>
      <c r="G92" s="24"/>
      <c r="H92" s="34">
        <v>3108.33</v>
      </c>
      <c r="I92" s="6" t="s">
        <v>131</v>
      </c>
    </row>
    <row r="93" spans="1:11" s="1" customFormat="1">
      <c r="A93" s="9"/>
      <c r="B93" s="9"/>
      <c r="C93" s="9"/>
      <c r="D93" s="17"/>
      <c r="E93" s="18"/>
      <c r="F93" s="29"/>
      <c r="G93" s="24"/>
      <c r="H93" s="34">
        <v>434.2</v>
      </c>
      <c r="I93" s="2" t="s">
        <v>54</v>
      </c>
      <c r="K93" s="4"/>
    </row>
    <row r="94" spans="1:11" s="1" customFormat="1">
      <c r="A94" s="12" t="s">
        <v>4</v>
      </c>
      <c r="B94" s="10"/>
      <c r="C94" s="10"/>
      <c r="D94" s="20">
        <f>SUM(D88:D93)</f>
        <v>478.66</v>
      </c>
      <c r="E94" s="6"/>
      <c r="F94" s="31">
        <f>SUM(F88:F93)</f>
        <v>0</v>
      </c>
      <c r="G94" s="26"/>
      <c r="H94" s="36">
        <f>SUM(H88:H93)</f>
        <v>7161.4699999999993</v>
      </c>
      <c r="I94" s="2"/>
    </row>
    <row r="95" spans="1:11" s="1" customFormat="1" ht="15.75" thickBot="1">
      <c r="A95" s="13" t="s">
        <v>5</v>
      </c>
      <c r="B95" s="39">
        <f>SUM(D94+F94+H94)</f>
        <v>7640.1299999999992</v>
      </c>
      <c r="C95" s="38"/>
      <c r="D95" s="21"/>
      <c r="E95" s="22"/>
      <c r="F95" s="32"/>
      <c r="G95" s="27"/>
      <c r="H95" s="37"/>
      <c r="I95" s="3"/>
    </row>
    <row r="96" spans="1:11" s="1" customFormat="1">
      <c r="A96" s="10" t="s">
        <v>279</v>
      </c>
      <c r="B96" s="48" t="s">
        <v>280</v>
      </c>
      <c r="C96" s="8" t="s">
        <v>71</v>
      </c>
      <c r="D96" s="15">
        <f>51.6+36.67</f>
        <v>88.27000000000001</v>
      </c>
      <c r="E96" s="16" t="s">
        <v>37</v>
      </c>
      <c r="F96" s="28"/>
      <c r="G96" s="23"/>
      <c r="H96" s="33">
        <v>199.69</v>
      </c>
      <c r="I96" s="5" t="s">
        <v>36</v>
      </c>
    </row>
    <row r="97" spans="1:11" s="1" customFormat="1">
      <c r="A97" s="9"/>
      <c r="B97" s="9" t="s">
        <v>238</v>
      </c>
      <c r="C97" s="9"/>
      <c r="D97" s="17">
        <f>53+54.02</f>
        <v>107.02000000000001</v>
      </c>
      <c r="E97" s="18" t="s">
        <v>207</v>
      </c>
      <c r="F97" s="29"/>
      <c r="G97" s="24"/>
      <c r="H97" s="34">
        <v>1063.48</v>
      </c>
      <c r="I97" s="2" t="s">
        <v>54</v>
      </c>
      <c r="K97" s="4"/>
    </row>
    <row r="98" spans="1:11" s="1" customFormat="1">
      <c r="A98" s="9"/>
      <c r="B98" s="9"/>
      <c r="C98" s="9"/>
      <c r="D98" s="17"/>
      <c r="E98" s="18"/>
      <c r="F98" s="29"/>
      <c r="G98" s="24"/>
      <c r="H98" s="34">
        <v>1008.47</v>
      </c>
      <c r="I98" s="2" t="s">
        <v>131</v>
      </c>
      <c r="K98" s="4"/>
    </row>
    <row r="99" spans="1:11" s="1" customFormat="1">
      <c r="A99" s="9"/>
      <c r="B99" s="9"/>
      <c r="C99" s="9"/>
      <c r="D99" s="17"/>
      <c r="E99" s="18"/>
      <c r="F99" s="29"/>
      <c r="G99" s="24"/>
      <c r="H99" s="34"/>
      <c r="I99" s="2"/>
      <c r="K99" s="4"/>
    </row>
    <row r="100" spans="1:11" s="1" customFormat="1">
      <c r="A100" s="9"/>
      <c r="B100" s="9"/>
      <c r="C100" s="83"/>
      <c r="D100" s="17"/>
      <c r="E100" s="18"/>
      <c r="F100" s="29"/>
      <c r="G100" s="24"/>
      <c r="H100" s="34"/>
      <c r="I100" s="2"/>
      <c r="K100" s="4"/>
    </row>
    <row r="101" spans="1:11" s="1" customFormat="1">
      <c r="A101" s="9"/>
      <c r="B101" s="9"/>
      <c r="C101" s="9"/>
      <c r="D101" s="17"/>
      <c r="E101" s="18"/>
      <c r="F101" s="29"/>
      <c r="G101" s="24"/>
      <c r="H101" s="34"/>
      <c r="I101" s="2"/>
      <c r="K101" s="4"/>
    </row>
    <row r="102" spans="1:11" s="1" customFormat="1">
      <c r="A102" s="12" t="s">
        <v>4</v>
      </c>
      <c r="B102" s="10"/>
      <c r="C102" s="10"/>
      <c r="D102" s="20">
        <f>SUM(D96:D101)</f>
        <v>195.29000000000002</v>
      </c>
      <c r="E102" s="6"/>
      <c r="F102" s="31">
        <f>SUM(F96:F101)</f>
        <v>0</v>
      </c>
      <c r="G102" s="26"/>
      <c r="H102" s="36">
        <f>SUM(H96:H101)</f>
        <v>2271.6400000000003</v>
      </c>
      <c r="I102" s="2"/>
    </row>
    <row r="103" spans="1:11" s="1" customFormat="1" ht="15.75" thickBot="1">
      <c r="A103" s="13" t="s">
        <v>5</v>
      </c>
      <c r="B103" s="39">
        <f>SUM(D102+F102+H102)</f>
        <v>2466.9300000000003</v>
      </c>
      <c r="C103" s="38"/>
      <c r="D103" s="21"/>
      <c r="E103" s="22"/>
      <c r="F103" s="32"/>
      <c r="G103" s="27"/>
      <c r="H103" s="37"/>
      <c r="I103" s="3"/>
    </row>
    <row r="104" spans="1:11" s="1" customFormat="1">
      <c r="A104" s="10" t="s">
        <v>281</v>
      </c>
      <c r="B104" s="48" t="s">
        <v>282</v>
      </c>
      <c r="C104" s="8" t="s">
        <v>30</v>
      </c>
      <c r="D104" s="15">
        <v>15.75</v>
      </c>
      <c r="E104" s="16" t="s">
        <v>37</v>
      </c>
      <c r="F104" s="28">
        <v>22.58</v>
      </c>
      <c r="G104" s="23" t="s">
        <v>107</v>
      </c>
      <c r="H104" s="76">
        <v>235.58</v>
      </c>
      <c r="I104" s="81" t="s">
        <v>131</v>
      </c>
    </row>
    <row r="105" spans="1:11" s="1" customFormat="1">
      <c r="A105" s="9"/>
      <c r="B105" s="9" t="s">
        <v>283</v>
      </c>
      <c r="C105" s="9"/>
      <c r="D105" s="17"/>
      <c r="E105" s="18"/>
      <c r="F105" s="29">
        <v>34.200000000000003</v>
      </c>
      <c r="G105" s="24" t="s">
        <v>44</v>
      </c>
      <c r="H105" s="34">
        <v>46.85</v>
      </c>
      <c r="I105" s="2" t="s">
        <v>64</v>
      </c>
      <c r="K105" s="4"/>
    </row>
    <row r="106" spans="1:11" s="1" customFormat="1">
      <c r="A106" s="9"/>
      <c r="B106" s="9"/>
      <c r="C106" s="9"/>
      <c r="D106" s="17"/>
      <c r="E106" s="18"/>
      <c r="F106" s="29"/>
      <c r="G106" s="24"/>
      <c r="H106" s="34">
        <v>152.91999999999999</v>
      </c>
      <c r="I106" s="2" t="s">
        <v>54</v>
      </c>
      <c r="K106" s="4"/>
    </row>
    <row r="107" spans="1:11" s="1" customFormat="1">
      <c r="A107" s="9"/>
      <c r="B107" s="9"/>
      <c r="C107" s="9"/>
      <c r="D107" s="17"/>
      <c r="E107" s="18"/>
      <c r="F107" s="29"/>
      <c r="G107" s="24"/>
      <c r="H107" s="34"/>
      <c r="I107" s="2"/>
      <c r="K107" s="4"/>
    </row>
    <row r="108" spans="1:11" s="1" customFormat="1">
      <c r="A108" s="9"/>
      <c r="B108" s="9"/>
      <c r="C108" s="83"/>
      <c r="D108" s="17"/>
      <c r="E108" s="18"/>
      <c r="F108" s="29"/>
      <c r="G108" s="24"/>
      <c r="H108" s="34"/>
      <c r="I108" s="2"/>
      <c r="K108" s="4"/>
    </row>
    <row r="109" spans="1:11" s="1" customFormat="1">
      <c r="A109" s="9"/>
      <c r="B109" s="9"/>
      <c r="C109" s="9"/>
      <c r="D109" s="17"/>
      <c r="E109" s="18"/>
      <c r="F109" s="29"/>
      <c r="G109" s="24"/>
      <c r="H109" s="34"/>
      <c r="I109" s="2"/>
      <c r="K109" s="4"/>
    </row>
    <row r="110" spans="1:11" s="1" customFormat="1">
      <c r="A110" s="12" t="s">
        <v>4</v>
      </c>
      <c r="B110" s="10"/>
      <c r="C110" s="10"/>
      <c r="D110" s="20">
        <f>SUM(D104:D109)</f>
        <v>15.75</v>
      </c>
      <c r="E110" s="6"/>
      <c r="F110" s="31">
        <f>SUM(F104:F109)</f>
        <v>56.78</v>
      </c>
      <c r="G110" s="26"/>
      <c r="H110" s="36">
        <f>SUM(H104:H109)</f>
        <v>435.35</v>
      </c>
      <c r="I110" s="2"/>
    </row>
    <row r="111" spans="1:11" s="1" customFormat="1" ht="15.75" thickBot="1">
      <c r="A111" s="13" t="s">
        <v>5</v>
      </c>
      <c r="B111" s="39">
        <f>SUM(D110+F110+H110)</f>
        <v>507.88</v>
      </c>
      <c r="C111" s="38"/>
      <c r="D111" s="21"/>
      <c r="E111" s="22"/>
      <c r="F111" s="32"/>
      <c r="G111" s="27"/>
      <c r="H111" s="37"/>
      <c r="I111" s="3"/>
    </row>
    <row r="112" spans="1:11" ht="15.75" thickBot="1"/>
    <row r="113" spans="1:13" ht="20.25" thickBot="1">
      <c r="A113" s="41" t="s">
        <v>10</v>
      </c>
      <c r="B113" s="42">
        <f>SUM(B30,B38,B47,B56,B65,B71,B80,B87,B95,B103,B111)</f>
        <v>30440.639999999996</v>
      </c>
    </row>
    <row r="115" spans="1:13">
      <c r="A115" s="45"/>
      <c r="B115" s="43"/>
      <c r="C115" s="43"/>
      <c r="D115" s="47"/>
      <c r="E115" s="47"/>
      <c r="F115" s="46"/>
      <c r="G115" s="48"/>
      <c r="H115" s="43"/>
      <c r="I115" s="46"/>
      <c r="J115" s="49"/>
      <c r="K115" s="50"/>
      <c r="L115" s="50"/>
      <c r="M115" s="5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topLeftCell="A109" workbookViewId="0">
      <selection activeCell="B20" sqref="B20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11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11" s="1" customFormat="1">
      <c r="A2" s="44" t="s">
        <v>328</v>
      </c>
      <c r="B2" s="54" t="s">
        <v>292</v>
      </c>
      <c r="C2" s="8" t="s">
        <v>11</v>
      </c>
      <c r="D2" s="69">
        <f>35.8+14.5+30+22.2</f>
        <v>102.5</v>
      </c>
      <c r="E2" s="16" t="s">
        <v>207</v>
      </c>
      <c r="F2" s="73">
        <v>36.5</v>
      </c>
      <c r="G2" s="23" t="s">
        <v>44</v>
      </c>
      <c r="H2" s="70">
        <v>130</v>
      </c>
      <c r="I2" s="80" t="s">
        <v>54</v>
      </c>
    </row>
    <row r="3" spans="1:11" s="1" customFormat="1">
      <c r="A3" s="52"/>
      <c r="B3" s="79"/>
      <c r="C3" s="9"/>
      <c r="D3" s="74">
        <v>11.25</v>
      </c>
      <c r="E3" s="18" t="s">
        <v>203</v>
      </c>
      <c r="F3" s="71"/>
      <c r="G3" s="24"/>
      <c r="H3" s="76">
        <v>404.08</v>
      </c>
      <c r="I3" s="81" t="s">
        <v>131</v>
      </c>
    </row>
    <row r="4" spans="1:11" s="1" customFormat="1">
      <c r="A4" s="52"/>
      <c r="B4" s="79"/>
      <c r="C4" s="9"/>
      <c r="D4" s="74"/>
      <c r="E4" s="18"/>
      <c r="F4" s="71"/>
      <c r="G4" s="24"/>
      <c r="H4" s="76"/>
      <c r="I4" s="81"/>
    </row>
    <row r="5" spans="1:11" s="1" customFormat="1">
      <c r="A5" s="9"/>
      <c r="B5" s="79" t="s">
        <v>329</v>
      </c>
      <c r="C5" s="9" t="s">
        <v>84</v>
      </c>
      <c r="D5" s="74">
        <v>15</v>
      </c>
      <c r="E5" s="18" t="s">
        <v>207</v>
      </c>
      <c r="F5" s="71">
        <v>12.46</v>
      </c>
      <c r="G5" s="24" t="s">
        <v>61</v>
      </c>
      <c r="H5" s="76"/>
      <c r="I5" s="81"/>
    </row>
    <row r="6" spans="1:11" s="1" customFormat="1">
      <c r="A6" s="9"/>
      <c r="B6" s="79"/>
      <c r="C6" s="9"/>
      <c r="D6" s="74"/>
      <c r="E6" s="18"/>
      <c r="F6" s="71">
        <v>2.7</v>
      </c>
      <c r="G6" s="24" t="s">
        <v>107</v>
      </c>
      <c r="H6" s="76"/>
      <c r="I6" s="81"/>
    </row>
    <row r="7" spans="1:11" s="1" customFormat="1">
      <c r="A7" s="9"/>
      <c r="B7" s="79"/>
      <c r="C7" s="9"/>
      <c r="D7" s="74"/>
      <c r="E7" s="18"/>
      <c r="F7" s="71">
        <v>52.5</v>
      </c>
      <c r="G7" s="24" t="s">
        <v>44</v>
      </c>
      <c r="H7" s="76"/>
      <c r="I7" s="81"/>
    </row>
    <row r="8" spans="1:11" s="1" customFormat="1">
      <c r="A8" s="10"/>
      <c r="B8" s="48"/>
      <c r="C8" s="9" t="s">
        <v>161</v>
      </c>
      <c r="D8" s="84">
        <v>209</v>
      </c>
      <c r="E8" s="18" t="s">
        <v>37</v>
      </c>
      <c r="F8" s="71"/>
      <c r="G8" s="24"/>
      <c r="H8" s="34">
        <v>130</v>
      </c>
      <c r="I8" s="6" t="s">
        <v>54</v>
      </c>
    </row>
    <row r="9" spans="1:11" s="1" customFormat="1">
      <c r="A9" s="10"/>
      <c r="B9" s="48"/>
      <c r="C9" s="9"/>
      <c r="D9" s="55"/>
      <c r="E9" s="18"/>
      <c r="F9" s="71"/>
      <c r="G9" s="24"/>
      <c r="H9" s="34"/>
      <c r="I9" s="6"/>
    </row>
    <row r="10" spans="1:11" s="1" customFormat="1">
      <c r="A10" s="9"/>
      <c r="B10" s="9"/>
      <c r="C10" s="9"/>
      <c r="D10" s="17"/>
      <c r="E10" s="18"/>
      <c r="F10" s="29"/>
      <c r="G10" s="24"/>
      <c r="H10" s="34"/>
      <c r="I10" s="2"/>
      <c r="K10" s="4"/>
    </row>
    <row r="11" spans="1:11" s="1" customFormat="1">
      <c r="A11" s="12" t="s">
        <v>4</v>
      </c>
      <c r="B11" s="10"/>
      <c r="C11" s="10"/>
      <c r="D11" s="20">
        <f>SUM(D2:D10)</f>
        <v>337.75</v>
      </c>
      <c r="E11" s="6"/>
      <c r="F11" s="31">
        <f>SUM(F2:F10)</f>
        <v>104.16</v>
      </c>
      <c r="G11" s="26"/>
      <c r="H11" s="36">
        <f>SUM(H2:H10)</f>
        <v>664.07999999999993</v>
      </c>
      <c r="I11" s="2"/>
    </row>
    <row r="12" spans="1:11" s="1" customFormat="1" ht="15.75" thickBot="1">
      <c r="A12" s="13" t="s">
        <v>5</v>
      </c>
      <c r="B12" s="39">
        <f>SUM(D11+F11+H11)</f>
        <v>1105.9899999999998</v>
      </c>
      <c r="C12" s="38"/>
      <c r="D12" s="21"/>
      <c r="E12" s="22"/>
      <c r="F12" s="32"/>
      <c r="G12" s="27"/>
      <c r="H12" s="37"/>
      <c r="I12" s="3"/>
    </row>
    <row r="13" spans="1:11" s="1" customFormat="1">
      <c r="A13" s="44">
        <v>41458</v>
      </c>
      <c r="B13" s="54" t="s">
        <v>294</v>
      </c>
      <c r="C13" s="8" t="s">
        <v>18</v>
      </c>
      <c r="D13" s="69">
        <v>45.5</v>
      </c>
      <c r="E13" s="16" t="s">
        <v>37</v>
      </c>
      <c r="F13" s="73"/>
      <c r="G13" s="23"/>
      <c r="H13" s="70">
        <v>1328.3</v>
      </c>
      <c r="I13" s="80" t="s">
        <v>131</v>
      </c>
    </row>
    <row r="14" spans="1:11" s="1" customFormat="1">
      <c r="A14" s="52"/>
      <c r="B14" s="79" t="s">
        <v>295</v>
      </c>
      <c r="C14" s="9"/>
      <c r="D14" s="74">
        <v>4.5199999999999996</v>
      </c>
      <c r="E14" s="18" t="s">
        <v>203</v>
      </c>
      <c r="F14" s="71"/>
      <c r="G14" s="24"/>
      <c r="H14" s="76">
        <v>248.95</v>
      </c>
      <c r="I14" s="81" t="s">
        <v>64</v>
      </c>
    </row>
    <row r="15" spans="1:11" s="1" customFormat="1">
      <c r="A15" s="52"/>
      <c r="B15" s="79"/>
      <c r="C15" s="9"/>
      <c r="D15" s="74"/>
      <c r="E15" s="18"/>
      <c r="F15" s="71"/>
      <c r="G15" s="24"/>
      <c r="H15" s="76">
        <v>980.38</v>
      </c>
      <c r="I15" s="81" t="s">
        <v>54</v>
      </c>
    </row>
    <row r="16" spans="1:11" s="1" customFormat="1">
      <c r="A16" s="9"/>
      <c r="B16" s="9"/>
      <c r="C16" s="9"/>
      <c r="D16" s="17"/>
      <c r="E16" s="18"/>
      <c r="F16" s="29"/>
      <c r="G16" s="24"/>
      <c r="H16" s="34"/>
      <c r="I16" s="2"/>
      <c r="K16" s="4"/>
    </row>
    <row r="17" spans="1:11" s="1" customFormat="1">
      <c r="A17" s="12" t="s">
        <v>4</v>
      </c>
      <c r="B17" s="10"/>
      <c r="C17" s="10"/>
      <c r="D17" s="20">
        <f>SUM(D13:D15)</f>
        <v>50.019999999999996</v>
      </c>
      <c r="E17" s="6"/>
      <c r="F17" s="31">
        <f>SUM(F13:F15)</f>
        <v>0</v>
      </c>
      <c r="G17" s="26"/>
      <c r="H17" s="36">
        <f>SUM(H13:H15)</f>
        <v>2557.63</v>
      </c>
      <c r="I17" s="2"/>
    </row>
    <row r="18" spans="1:11" s="1" customFormat="1" ht="15.75" thickBot="1">
      <c r="A18" s="13" t="s">
        <v>5</v>
      </c>
      <c r="B18" s="39">
        <f>SUM(D17+F17+H17)</f>
        <v>2607.65</v>
      </c>
      <c r="C18" s="38"/>
      <c r="D18" s="21"/>
      <c r="E18" s="22"/>
      <c r="F18" s="32"/>
      <c r="G18" s="27"/>
      <c r="H18" s="37"/>
      <c r="I18" s="3"/>
    </row>
    <row r="19" spans="1:11" s="1" customFormat="1">
      <c r="A19" s="44">
        <v>41458</v>
      </c>
      <c r="B19" s="54" t="s">
        <v>292</v>
      </c>
      <c r="C19" s="8" t="s">
        <v>13</v>
      </c>
      <c r="D19" s="69"/>
      <c r="E19" s="16"/>
      <c r="F19" s="73"/>
      <c r="G19" s="23"/>
      <c r="H19" s="70">
        <v>945.36</v>
      </c>
      <c r="I19" s="80" t="s">
        <v>131</v>
      </c>
    </row>
    <row r="20" spans="1:11" s="1" customFormat="1">
      <c r="A20" s="52"/>
      <c r="B20" s="79" t="s">
        <v>342</v>
      </c>
      <c r="C20" s="9"/>
      <c r="D20" s="74"/>
      <c r="E20" s="18"/>
      <c r="F20" s="71"/>
      <c r="G20" s="24"/>
      <c r="H20" s="76"/>
      <c r="I20" s="81"/>
    </row>
    <row r="21" spans="1:11" s="1" customFormat="1">
      <c r="A21" s="52"/>
      <c r="B21" s="79"/>
      <c r="C21" s="9"/>
      <c r="D21" s="74"/>
      <c r="E21" s="18"/>
      <c r="F21" s="71"/>
      <c r="G21" s="24"/>
      <c r="H21" s="76"/>
      <c r="I21" s="81"/>
    </row>
    <row r="22" spans="1:11" s="1" customFormat="1">
      <c r="A22" s="9"/>
      <c r="B22" s="9"/>
      <c r="C22" s="9"/>
      <c r="D22" s="17"/>
      <c r="E22" s="18"/>
      <c r="F22" s="29"/>
      <c r="G22" s="24"/>
      <c r="H22" s="34"/>
      <c r="I22" s="2"/>
      <c r="K22" s="4"/>
    </row>
    <row r="23" spans="1:11" s="1" customFormat="1">
      <c r="A23" s="12" t="s">
        <v>4</v>
      </c>
      <c r="B23" s="10"/>
      <c r="C23" s="10"/>
      <c r="D23" s="20">
        <f>SUM(D19:D21)</f>
        <v>0</v>
      </c>
      <c r="E23" s="6"/>
      <c r="F23" s="31">
        <f>SUM(F19:F21)</f>
        <v>0</v>
      </c>
      <c r="G23" s="26"/>
      <c r="H23" s="36">
        <f>SUM(H19:H21)</f>
        <v>945.36</v>
      </c>
      <c r="I23" s="2"/>
    </row>
    <row r="24" spans="1:11" s="1" customFormat="1" ht="15.75" thickBot="1">
      <c r="A24" s="13" t="s">
        <v>5</v>
      </c>
      <c r="B24" s="39">
        <f>SUM(D23+F23+H23)</f>
        <v>945.36</v>
      </c>
      <c r="C24" s="38"/>
      <c r="D24" s="21"/>
      <c r="E24" s="22"/>
      <c r="F24" s="32"/>
      <c r="G24" s="27"/>
      <c r="H24" s="37"/>
      <c r="I24" s="3"/>
    </row>
    <row r="25" spans="1:11" s="1" customFormat="1">
      <c r="A25" s="44" t="s">
        <v>309</v>
      </c>
      <c r="B25" s="54" t="s">
        <v>310</v>
      </c>
      <c r="C25" s="8" t="s">
        <v>86</v>
      </c>
      <c r="D25" s="69">
        <f>55.56+29.47+153.45</f>
        <v>238.48</v>
      </c>
      <c r="E25" s="16" t="s">
        <v>37</v>
      </c>
      <c r="F25" s="73">
        <v>74.680000000000007</v>
      </c>
      <c r="G25" s="23" t="s">
        <v>61</v>
      </c>
      <c r="H25" s="70">
        <f>19.56+2.95+20.21</f>
        <v>42.72</v>
      </c>
      <c r="I25" s="80" t="s">
        <v>64</v>
      </c>
    </row>
    <row r="26" spans="1:11" s="1" customFormat="1">
      <c r="A26" s="9"/>
      <c r="B26" s="79" t="s">
        <v>296</v>
      </c>
      <c r="C26" s="9"/>
      <c r="D26" s="74">
        <f>17.92+14.73+114.13</f>
        <v>146.78</v>
      </c>
      <c r="E26" s="18" t="s">
        <v>207</v>
      </c>
      <c r="F26" s="71">
        <v>10</v>
      </c>
      <c r="G26" s="24" t="s">
        <v>107</v>
      </c>
      <c r="H26" s="76">
        <f>1586.45+916.25+347.3</f>
        <v>2850</v>
      </c>
      <c r="I26" s="81" t="s">
        <v>131</v>
      </c>
    </row>
    <row r="27" spans="1:11" s="1" customFormat="1">
      <c r="A27" s="10"/>
      <c r="B27" s="48" t="s">
        <v>311</v>
      </c>
      <c r="C27" s="9"/>
      <c r="D27" s="84">
        <v>10.79</v>
      </c>
      <c r="E27" s="18" t="s">
        <v>203</v>
      </c>
      <c r="F27" s="71">
        <v>68.400000000000006</v>
      </c>
      <c r="G27" s="24" t="s">
        <v>44</v>
      </c>
      <c r="H27" s="34">
        <f>393+231.57+588.86</f>
        <v>1213.4299999999998</v>
      </c>
      <c r="I27" s="6" t="s">
        <v>54</v>
      </c>
    </row>
    <row r="28" spans="1:11" s="1" customFormat="1">
      <c r="A28" s="10"/>
      <c r="B28" s="48" t="s">
        <v>230</v>
      </c>
      <c r="C28" s="9"/>
      <c r="D28" s="55"/>
      <c r="E28" s="18"/>
      <c r="F28" s="71"/>
      <c r="G28" s="24"/>
      <c r="H28" s="34"/>
      <c r="I28" s="6"/>
    </row>
    <row r="29" spans="1:11" s="1" customFormat="1">
      <c r="A29" s="10"/>
      <c r="B29" s="48"/>
      <c r="C29" s="9" t="s">
        <v>21</v>
      </c>
      <c r="D29" s="84">
        <f>156.81+31.19</f>
        <v>188</v>
      </c>
      <c r="E29" s="18" t="s">
        <v>37</v>
      </c>
      <c r="F29" s="71"/>
      <c r="G29" s="24"/>
      <c r="H29" s="34">
        <f>396.08+916.25+347.3+257.89</f>
        <v>1917.52</v>
      </c>
      <c r="I29" s="6" t="s">
        <v>131</v>
      </c>
    </row>
    <row r="30" spans="1:11" s="1" customFormat="1">
      <c r="A30" s="10"/>
      <c r="B30" s="48"/>
      <c r="C30" s="9"/>
      <c r="D30" s="84">
        <f>324.63+88.02</f>
        <v>412.65</v>
      </c>
      <c r="E30" s="18" t="s">
        <v>207</v>
      </c>
      <c r="F30" s="71"/>
      <c r="G30" s="24"/>
      <c r="H30" s="34">
        <f>262+228.36+378.42</f>
        <v>868.78</v>
      </c>
      <c r="I30" s="6" t="s">
        <v>54</v>
      </c>
    </row>
    <row r="31" spans="1:11" s="1" customFormat="1">
      <c r="A31" s="10"/>
      <c r="B31" s="48"/>
      <c r="C31" s="9"/>
      <c r="D31" s="55"/>
      <c r="E31" s="18"/>
      <c r="F31" s="71"/>
      <c r="G31" s="24"/>
      <c r="H31" s="34">
        <f>78.57+255.15</f>
        <v>333.72</v>
      </c>
      <c r="I31" s="6" t="s">
        <v>64</v>
      </c>
    </row>
    <row r="32" spans="1:11" s="1" customFormat="1">
      <c r="A32" s="9"/>
      <c r="B32" s="9"/>
      <c r="C32" s="9"/>
      <c r="D32" s="17"/>
      <c r="E32" s="18"/>
      <c r="F32" s="29"/>
      <c r="G32" s="24"/>
      <c r="H32" s="34"/>
      <c r="I32" s="2"/>
      <c r="K32" s="4"/>
    </row>
    <row r="33" spans="1:11" s="1" customFormat="1">
      <c r="A33" s="12" t="s">
        <v>4</v>
      </c>
      <c r="B33" s="10"/>
      <c r="C33" s="10"/>
      <c r="D33" s="20">
        <f>SUM(D25:D32)</f>
        <v>996.69999999999993</v>
      </c>
      <c r="E33" s="6"/>
      <c r="F33" s="31">
        <f>SUM(F25:F32)</f>
        <v>153.08000000000001</v>
      </c>
      <c r="G33" s="26"/>
      <c r="H33" s="36">
        <f>SUM(H25:H32)</f>
        <v>7226.17</v>
      </c>
      <c r="I33" s="2"/>
    </row>
    <row r="34" spans="1:11" s="1" customFormat="1" ht="15.75" thickBot="1">
      <c r="A34" s="13" t="s">
        <v>5</v>
      </c>
      <c r="B34" s="39">
        <f>SUM(D33+F33+H33)</f>
        <v>8375.9500000000007</v>
      </c>
      <c r="C34" s="38"/>
      <c r="D34" s="21"/>
      <c r="E34" s="22"/>
      <c r="F34" s="32"/>
      <c r="G34" s="27"/>
      <c r="H34" s="37"/>
      <c r="I34" s="3"/>
    </row>
    <row r="35" spans="1:11" s="1" customFormat="1">
      <c r="A35" s="44" t="s">
        <v>315</v>
      </c>
      <c r="B35" s="54" t="s">
        <v>313</v>
      </c>
      <c r="C35" s="8" t="s">
        <v>30</v>
      </c>
      <c r="D35" s="69">
        <v>12</v>
      </c>
      <c r="E35" s="16" t="s">
        <v>37</v>
      </c>
      <c r="F35" s="73">
        <f>8.56+70.07+70.07</f>
        <v>148.69999999999999</v>
      </c>
      <c r="G35" s="23" t="s">
        <v>61</v>
      </c>
      <c r="H35" s="70">
        <v>363.75</v>
      </c>
      <c r="I35" s="80" t="s">
        <v>54</v>
      </c>
    </row>
    <row r="36" spans="1:11" s="1" customFormat="1">
      <c r="A36" s="9"/>
      <c r="B36" s="79" t="s">
        <v>301</v>
      </c>
      <c r="C36" s="9"/>
      <c r="D36" s="74"/>
      <c r="E36" s="18"/>
      <c r="F36" s="71">
        <f>8.56+5+26.4+74.7+23.1+26.4</f>
        <v>164.16</v>
      </c>
      <c r="G36" s="24" t="s">
        <v>107</v>
      </c>
      <c r="H36" s="76">
        <f>166.8+56.3</f>
        <v>223.10000000000002</v>
      </c>
      <c r="I36" s="81" t="s">
        <v>333</v>
      </c>
    </row>
    <row r="37" spans="1:11" s="1" customFormat="1">
      <c r="A37" s="9"/>
      <c r="B37" s="79"/>
      <c r="C37" s="9"/>
      <c r="D37" s="74"/>
      <c r="E37" s="18"/>
      <c r="F37" s="71">
        <v>35.200000000000003</v>
      </c>
      <c r="G37" s="24" t="s">
        <v>44</v>
      </c>
      <c r="H37" s="76"/>
      <c r="I37" s="81"/>
    </row>
    <row r="38" spans="1:11" s="1" customFormat="1">
      <c r="A38" s="10"/>
      <c r="B38" s="43"/>
      <c r="C38" s="9" t="s">
        <v>84</v>
      </c>
      <c r="D38" s="74"/>
      <c r="E38" s="18"/>
      <c r="F38" s="71"/>
      <c r="G38" s="24"/>
      <c r="H38" s="34">
        <v>363.75</v>
      </c>
      <c r="I38" s="6" t="s">
        <v>54</v>
      </c>
    </row>
    <row r="39" spans="1:11" s="1" customFormat="1">
      <c r="A39" s="9"/>
      <c r="B39" s="9"/>
      <c r="C39" s="10"/>
      <c r="D39" s="55"/>
      <c r="E39" s="18"/>
      <c r="F39" s="29"/>
      <c r="G39" s="24"/>
      <c r="H39" s="34"/>
      <c r="I39" s="6"/>
    </row>
    <row r="40" spans="1:11" s="1" customFormat="1">
      <c r="A40" s="9"/>
      <c r="B40" s="9"/>
      <c r="C40" s="9"/>
      <c r="D40" s="17"/>
      <c r="E40" s="18"/>
      <c r="F40" s="29"/>
      <c r="G40" s="24"/>
      <c r="H40" s="34"/>
      <c r="I40" s="2"/>
      <c r="K40" s="4"/>
    </row>
    <row r="41" spans="1:11" s="1" customFormat="1">
      <c r="A41" s="12" t="s">
        <v>4</v>
      </c>
      <c r="B41" s="10"/>
      <c r="C41" s="10"/>
      <c r="D41" s="20">
        <f>SUM(D35:D40)</f>
        <v>12</v>
      </c>
      <c r="E41" s="6"/>
      <c r="F41" s="31">
        <f>SUM(F35:F40)</f>
        <v>348.06</v>
      </c>
      <c r="G41" s="26"/>
      <c r="H41" s="36">
        <f>SUM(H35:H40)</f>
        <v>950.6</v>
      </c>
      <c r="I41" s="2"/>
    </row>
    <row r="42" spans="1:11" s="1" customFormat="1" ht="15.75" thickBot="1">
      <c r="A42" s="13" t="s">
        <v>5</v>
      </c>
      <c r="B42" s="39">
        <f>SUM(D41+F41+H41)</f>
        <v>1310.6600000000001</v>
      </c>
      <c r="C42" s="38"/>
      <c r="D42" s="21"/>
      <c r="E42" s="22"/>
      <c r="F42" s="32"/>
      <c r="G42" s="27"/>
      <c r="H42" s="37"/>
      <c r="I42" s="3"/>
    </row>
    <row r="43" spans="1:11" s="1" customFormat="1">
      <c r="A43" s="82" t="s">
        <v>314</v>
      </c>
      <c r="B43" s="48" t="s">
        <v>292</v>
      </c>
      <c r="C43" s="8" t="s">
        <v>89</v>
      </c>
      <c r="D43" s="15">
        <v>20.29</v>
      </c>
      <c r="E43" s="16" t="s">
        <v>37</v>
      </c>
      <c r="F43" s="28">
        <v>116.2</v>
      </c>
      <c r="G43" s="23" t="s">
        <v>61</v>
      </c>
      <c r="H43" s="33">
        <v>1192.47</v>
      </c>
      <c r="I43" s="5" t="s">
        <v>54</v>
      </c>
    </row>
    <row r="44" spans="1:11" s="1" customFormat="1">
      <c r="A44" s="10"/>
      <c r="B44" s="48" t="s">
        <v>312</v>
      </c>
      <c r="C44" s="9"/>
      <c r="D44" s="17"/>
      <c r="E44" s="18"/>
      <c r="F44" s="29">
        <v>41.6</v>
      </c>
      <c r="G44" s="24" t="s">
        <v>44</v>
      </c>
      <c r="H44" s="34">
        <v>743.31</v>
      </c>
      <c r="I44" s="6" t="s">
        <v>131</v>
      </c>
    </row>
    <row r="45" spans="1:11" s="1" customFormat="1">
      <c r="A45" s="10"/>
      <c r="B45" s="48"/>
      <c r="C45" s="9"/>
      <c r="D45" s="17"/>
      <c r="E45" s="18"/>
      <c r="F45" s="29"/>
      <c r="G45" s="24"/>
      <c r="H45" s="34"/>
      <c r="I45" s="6"/>
    </row>
    <row r="46" spans="1:11" s="1" customFormat="1">
      <c r="A46" s="10"/>
      <c r="B46" s="48"/>
      <c r="C46" s="9" t="s">
        <v>32</v>
      </c>
      <c r="D46" s="17">
        <f>21.1+27.38</f>
        <v>48.480000000000004</v>
      </c>
      <c r="E46" s="18" t="s">
        <v>37</v>
      </c>
      <c r="F46" s="29">
        <v>22</v>
      </c>
      <c r="G46" s="24" t="s">
        <v>159</v>
      </c>
      <c r="H46" s="34"/>
      <c r="I46" s="6"/>
    </row>
    <row r="47" spans="1:11" s="1" customFormat="1">
      <c r="A47" s="10"/>
      <c r="B47" s="43"/>
      <c r="C47" s="10"/>
      <c r="D47" s="17">
        <f>22.1+598.16</f>
        <v>620.26</v>
      </c>
      <c r="E47" s="18" t="s">
        <v>207</v>
      </c>
      <c r="F47" s="29"/>
      <c r="G47" s="24"/>
      <c r="H47" s="34"/>
      <c r="I47" s="6"/>
    </row>
    <row r="48" spans="1:11" s="1" customFormat="1">
      <c r="A48" s="9"/>
      <c r="B48" s="9"/>
      <c r="C48" s="9"/>
      <c r="D48" s="17"/>
      <c r="E48" s="18"/>
      <c r="F48" s="29"/>
      <c r="G48" s="24"/>
      <c r="H48" s="34"/>
      <c r="I48" s="2"/>
      <c r="K48" s="4"/>
    </row>
    <row r="49" spans="1:11" s="1" customFormat="1">
      <c r="A49" s="12" t="s">
        <v>4</v>
      </c>
      <c r="B49" s="10"/>
      <c r="C49" s="10"/>
      <c r="D49" s="20">
        <f>SUM(D43:D48)</f>
        <v>689.03</v>
      </c>
      <c r="E49" s="6"/>
      <c r="F49" s="31">
        <f>SUM(F43:F48)</f>
        <v>179.8</v>
      </c>
      <c r="G49" s="26"/>
      <c r="H49" s="36">
        <f>SUM(H43:H48)</f>
        <v>1935.78</v>
      </c>
      <c r="I49" s="2"/>
    </row>
    <row r="50" spans="1:11" s="1" customFormat="1" ht="15.75" thickBot="1">
      <c r="A50" s="13" t="s">
        <v>5</v>
      </c>
      <c r="B50" s="39">
        <f>SUM(D49+F49+H49)</f>
        <v>2804.6099999999997</v>
      </c>
      <c r="C50" s="38"/>
      <c r="D50" s="21"/>
      <c r="E50" s="22"/>
      <c r="F50" s="32"/>
      <c r="G50" s="27"/>
      <c r="H50" s="37"/>
      <c r="I50" s="3"/>
    </row>
    <row r="51" spans="1:11" s="1" customFormat="1">
      <c r="A51" s="82" t="s">
        <v>316</v>
      </c>
      <c r="B51" s="48" t="s">
        <v>317</v>
      </c>
      <c r="C51" s="8" t="s">
        <v>84</v>
      </c>
      <c r="D51" s="15">
        <v>138.51</v>
      </c>
      <c r="E51" s="16" t="s">
        <v>37</v>
      </c>
      <c r="F51" s="28">
        <v>12.46</v>
      </c>
      <c r="G51" s="23" t="s">
        <v>61</v>
      </c>
      <c r="H51" s="33">
        <v>10.76</v>
      </c>
      <c r="I51" s="5" t="s">
        <v>158</v>
      </c>
    </row>
    <row r="52" spans="1:11" s="1" customFormat="1">
      <c r="A52" s="10"/>
      <c r="B52" s="48" t="s">
        <v>318</v>
      </c>
      <c r="C52" s="9"/>
      <c r="D52" s="17">
        <v>452.01</v>
      </c>
      <c r="E52" s="18" t="s">
        <v>207</v>
      </c>
      <c r="F52" s="29">
        <v>99</v>
      </c>
      <c r="G52" s="24" t="s">
        <v>44</v>
      </c>
      <c r="H52" s="34">
        <v>3.8</v>
      </c>
      <c r="I52" s="6" t="s">
        <v>64</v>
      </c>
    </row>
    <row r="53" spans="1:11" s="1" customFormat="1">
      <c r="A53" s="10"/>
      <c r="B53" s="48"/>
      <c r="C53" s="9"/>
      <c r="D53" s="17">
        <v>2.9</v>
      </c>
      <c r="E53" s="18" t="s">
        <v>203</v>
      </c>
      <c r="F53" s="29"/>
      <c r="G53" s="24"/>
      <c r="H53" s="34"/>
      <c r="I53" s="6"/>
    </row>
    <row r="54" spans="1:11" s="1" customFormat="1">
      <c r="A54" s="10"/>
      <c r="B54" s="48"/>
      <c r="C54" s="9"/>
      <c r="D54" s="17"/>
      <c r="E54" s="18"/>
      <c r="F54" s="29"/>
      <c r="G54" s="24"/>
      <c r="H54" s="34"/>
      <c r="I54" s="6"/>
    </row>
    <row r="55" spans="1:11" s="1" customFormat="1">
      <c r="A55" s="10"/>
      <c r="B55" s="48"/>
      <c r="C55" s="9" t="s">
        <v>32</v>
      </c>
      <c r="D55" s="17">
        <f>20+41.84</f>
        <v>61.84</v>
      </c>
      <c r="E55" s="18" t="s">
        <v>37</v>
      </c>
      <c r="F55" s="29">
        <v>22</v>
      </c>
      <c r="G55" s="24" t="s">
        <v>159</v>
      </c>
      <c r="H55" s="34">
        <v>293.85000000000002</v>
      </c>
      <c r="I55" s="6" t="s">
        <v>64</v>
      </c>
    </row>
    <row r="56" spans="1:11" s="1" customFormat="1">
      <c r="A56" s="10"/>
      <c r="B56" s="43"/>
      <c r="C56" s="10"/>
      <c r="D56" s="17">
        <f>8.6+119.67</f>
        <v>128.27000000000001</v>
      </c>
      <c r="E56" s="18" t="s">
        <v>207</v>
      </c>
      <c r="F56" s="29"/>
      <c r="G56" s="24"/>
      <c r="H56" s="34">
        <v>2831.42</v>
      </c>
      <c r="I56" s="6" t="s">
        <v>54</v>
      </c>
    </row>
    <row r="57" spans="1:11" s="1" customFormat="1">
      <c r="A57" s="10"/>
      <c r="B57" s="43"/>
      <c r="C57" s="10"/>
      <c r="D57" s="17"/>
      <c r="E57" s="18"/>
      <c r="F57" s="29"/>
      <c r="G57" s="24"/>
      <c r="H57" s="34"/>
      <c r="I57" s="6"/>
    </row>
    <row r="58" spans="1:11" s="1" customFormat="1">
      <c r="A58" s="9"/>
      <c r="B58" s="9"/>
      <c r="C58" s="9" t="s">
        <v>21</v>
      </c>
      <c r="D58" s="17">
        <f>133.7+186.47</f>
        <v>320.16999999999996</v>
      </c>
      <c r="E58" s="18" t="s">
        <v>37</v>
      </c>
      <c r="F58" s="29"/>
      <c r="G58" s="24"/>
      <c r="H58" s="34">
        <v>335.55</v>
      </c>
      <c r="I58" s="2" t="s">
        <v>131</v>
      </c>
      <c r="K58" s="4"/>
    </row>
    <row r="59" spans="1:11" s="1" customFormat="1">
      <c r="A59" s="9"/>
      <c r="B59" s="9"/>
      <c r="C59" s="9"/>
      <c r="D59" s="17">
        <v>115.25</v>
      </c>
      <c r="E59" s="18" t="s">
        <v>207</v>
      </c>
      <c r="F59" s="29"/>
      <c r="G59" s="24"/>
      <c r="H59" s="34"/>
      <c r="I59" s="2"/>
      <c r="K59" s="4"/>
    </row>
    <row r="60" spans="1:11" s="1" customFormat="1">
      <c r="A60" s="9"/>
      <c r="B60" s="9"/>
      <c r="C60" s="9"/>
      <c r="D60" s="17">
        <v>52.35</v>
      </c>
      <c r="E60" s="18" t="s">
        <v>257</v>
      </c>
      <c r="F60" s="29"/>
      <c r="G60" s="24"/>
      <c r="H60" s="34">
        <f>37.46+206.21</f>
        <v>243.67000000000002</v>
      </c>
      <c r="I60" s="2" t="s">
        <v>64</v>
      </c>
      <c r="K60" s="4"/>
    </row>
    <row r="61" spans="1:11" s="1" customFormat="1">
      <c r="A61" s="9"/>
      <c r="B61" s="9"/>
      <c r="C61" s="9"/>
      <c r="D61" s="17">
        <v>2593.2800000000002</v>
      </c>
      <c r="E61" s="18" t="s">
        <v>351</v>
      </c>
      <c r="F61" s="29"/>
      <c r="G61" s="24"/>
      <c r="H61" s="34"/>
      <c r="I61" s="2"/>
      <c r="K61" s="4"/>
    </row>
    <row r="62" spans="1:11" s="1" customFormat="1">
      <c r="A62" s="9"/>
      <c r="B62" s="9"/>
      <c r="C62" s="9"/>
      <c r="D62" s="17"/>
      <c r="E62" s="18"/>
      <c r="F62" s="29"/>
      <c r="G62" s="24"/>
      <c r="H62" s="34"/>
      <c r="I62" s="2"/>
      <c r="K62" s="4"/>
    </row>
    <row r="63" spans="1:11" s="1" customFormat="1">
      <c r="A63" s="12" t="s">
        <v>4</v>
      </c>
      <c r="B63" s="10"/>
      <c r="C63" s="10"/>
      <c r="D63" s="20">
        <f>SUM(D51:D58)</f>
        <v>1103.6999999999998</v>
      </c>
      <c r="E63" s="6"/>
      <c r="F63" s="31">
        <f>SUM(F51:F58)</f>
        <v>133.46</v>
      </c>
      <c r="G63" s="26"/>
      <c r="H63" s="36">
        <f>SUM(H51:H60)</f>
        <v>3719.05</v>
      </c>
      <c r="I63" s="2"/>
    </row>
    <row r="64" spans="1:11" s="1" customFormat="1" ht="15.75" thickBot="1">
      <c r="A64" s="13" t="s">
        <v>5</v>
      </c>
      <c r="B64" s="39">
        <f>SUM(D63+F63+H63)</f>
        <v>4956.21</v>
      </c>
      <c r="C64" s="38"/>
      <c r="D64" s="21"/>
      <c r="E64" s="22"/>
      <c r="F64" s="32"/>
      <c r="G64" s="27"/>
      <c r="H64" s="37"/>
      <c r="I64" s="3"/>
    </row>
    <row r="65" spans="1:11" s="1" customFormat="1">
      <c r="A65" s="82" t="s">
        <v>316</v>
      </c>
      <c r="B65" s="48" t="s">
        <v>292</v>
      </c>
      <c r="C65" s="8" t="s">
        <v>89</v>
      </c>
      <c r="D65" s="15">
        <f>26.5+41.64</f>
        <v>68.14</v>
      </c>
      <c r="E65" s="16" t="s">
        <v>207</v>
      </c>
      <c r="F65" s="28">
        <v>116.2</v>
      </c>
      <c r="G65" s="23" t="s">
        <v>61</v>
      </c>
      <c r="H65" s="33">
        <v>446.41</v>
      </c>
      <c r="I65" s="5" t="s">
        <v>54</v>
      </c>
    </row>
    <row r="66" spans="1:11" s="1" customFormat="1">
      <c r="A66" s="10"/>
      <c r="B66" s="48" t="s">
        <v>330</v>
      </c>
      <c r="C66" s="9"/>
      <c r="D66" s="17">
        <v>9.92</v>
      </c>
      <c r="E66" s="18" t="s">
        <v>257</v>
      </c>
      <c r="F66" s="29">
        <v>36.5</v>
      </c>
      <c r="G66" s="24" t="s">
        <v>44</v>
      </c>
      <c r="H66" s="34"/>
      <c r="I66" s="6"/>
    </row>
    <row r="67" spans="1:11" s="1" customFormat="1">
      <c r="A67" s="9"/>
      <c r="B67" s="9"/>
      <c r="C67" s="9"/>
      <c r="D67" s="17"/>
      <c r="E67" s="18"/>
      <c r="F67" s="29"/>
      <c r="G67" s="24"/>
      <c r="H67" s="34"/>
      <c r="I67" s="2"/>
      <c r="K67" s="4"/>
    </row>
    <row r="68" spans="1:11" s="1" customFormat="1">
      <c r="A68" s="12" t="s">
        <v>4</v>
      </c>
      <c r="B68" s="10"/>
      <c r="C68" s="10"/>
      <c r="D68" s="20">
        <f>SUM(D65:D67)</f>
        <v>78.06</v>
      </c>
      <c r="E68" s="6"/>
      <c r="F68" s="31">
        <f>SUM(F65:F67)</f>
        <v>152.69999999999999</v>
      </c>
      <c r="G68" s="26"/>
      <c r="H68" s="36">
        <f>SUM(H65:H67)</f>
        <v>446.41</v>
      </c>
      <c r="I68" s="2"/>
    </row>
    <row r="69" spans="1:11" s="1" customFormat="1" ht="15.75" thickBot="1">
      <c r="A69" s="13" t="s">
        <v>5</v>
      </c>
      <c r="B69" s="39">
        <f>SUM(D68+F68+H68)</f>
        <v>677.17000000000007</v>
      </c>
      <c r="C69" s="38"/>
      <c r="D69" s="21"/>
      <c r="E69" s="22"/>
      <c r="F69" s="32"/>
      <c r="G69" s="27"/>
      <c r="H69" s="37"/>
      <c r="I69" s="3"/>
    </row>
    <row r="70" spans="1:11" s="1" customFormat="1">
      <c r="A70" s="82" t="s">
        <v>331</v>
      </c>
      <c r="B70" s="48" t="s">
        <v>252</v>
      </c>
      <c r="C70" s="8" t="s">
        <v>26</v>
      </c>
      <c r="D70" s="15">
        <f>28.91+9.82</f>
        <v>38.730000000000004</v>
      </c>
      <c r="E70" s="16" t="s">
        <v>37</v>
      </c>
      <c r="F70" s="28"/>
      <c r="G70" s="23"/>
      <c r="H70" s="33">
        <v>485.06</v>
      </c>
      <c r="I70" s="5" t="s">
        <v>64</v>
      </c>
    </row>
    <row r="71" spans="1:11" s="1" customFormat="1">
      <c r="A71" s="10"/>
      <c r="B71" s="48" t="s">
        <v>299</v>
      </c>
      <c r="C71" s="9"/>
      <c r="D71" s="17">
        <f>7.58+37.48</f>
        <v>45.059999999999995</v>
      </c>
      <c r="E71" s="18" t="s">
        <v>207</v>
      </c>
      <c r="F71" s="29"/>
      <c r="G71" s="24"/>
      <c r="H71" s="34">
        <v>112.34</v>
      </c>
      <c r="I71" s="6" t="s">
        <v>64</v>
      </c>
    </row>
    <row r="72" spans="1:11" s="1" customFormat="1">
      <c r="A72" s="10"/>
      <c r="B72" s="48"/>
      <c r="C72" s="9"/>
      <c r="D72" s="17">
        <v>3.68</v>
      </c>
      <c r="E72" s="18" t="s">
        <v>203</v>
      </c>
      <c r="F72" s="29"/>
      <c r="G72" s="24"/>
      <c r="H72" s="34">
        <v>167.7</v>
      </c>
      <c r="I72" s="6" t="s">
        <v>131</v>
      </c>
    </row>
    <row r="73" spans="1:11" s="1" customFormat="1">
      <c r="A73" s="10"/>
      <c r="B73" s="48"/>
      <c r="C73" s="9"/>
      <c r="D73" s="17"/>
      <c r="E73" s="18"/>
      <c r="F73" s="29"/>
      <c r="G73" s="24"/>
      <c r="H73" s="34">
        <v>388.63</v>
      </c>
      <c r="I73" s="6" t="s">
        <v>54</v>
      </c>
    </row>
    <row r="74" spans="1:11" s="1" customFormat="1">
      <c r="A74" s="10"/>
      <c r="B74" s="43"/>
      <c r="C74" s="10"/>
      <c r="D74" s="17"/>
      <c r="E74" s="18"/>
      <c r="F74" s="29"/>
      <c r="G74" s="24"/>
      <c r="H74" s="34"/>
      <c r="I74" s="6"/>
    </row>
    <row r="75" spans="1:11" s="1" customFormat="1">
      <c r="A75" s="9"/>
      <c r="B75" s="9"/>
      <c r="C75" s="9" t="s">
        <v>27</v>
      </c>
      <c r="D75" s="17">
        <f>12.11+10.81+8.12+7.53+4.82</f>
        <v>43.39</v>
      </c>
      <c r="E75" s="18"/>
      <c r="F75" s="29"/>
      <c r="G75" s="24"/>
      <c r="H75" s="34">
        <v>414.83</v>
      </c>
      <c r="I75" s="2" t="s">
        <v>131</v>
      </c>
      <c r="K75" s="4"/>
    </row>
    <row r="76" spans="1:11" s="1" customFormat="1">
      <c r="A76" s="9"/>
      <c r="B76" s="9"/>
      <c r="C76" s="9"/>
      <c r="D76" s="17">
        <f>11.5</f>
        <v>11.5</v>
      </c>
      <c r="E76" s="18"/>
      <c r="F76" s="29"/>
      <c r="G76" s="24"/>
      <c r="H76" s="34">
        <v>103.96</v>
      </c>
      <c r="I76" s="2" t="s">
        <v>64</v>
      </c>
      <c r="K76" s="4"/>
    </row>
    <row r="77" spans="1:11" s="1" customFormat="1">
      <c r="A77" s="9"/>
      <c r="B77" s="9"/>
      <c r="C77" s="9"/>
      <c r="D77" s="17"/>
      <c r="E77" s="18"/>
      <c r="F77" s="29"/>
      <c r="G77" s="24"/>
      <c r="H77" s="34"/>
      <c r="I77" s="2"/>
      <c r="K77" s="4"/>
    </row>
    <row r="78" spans="1:11" s="1" customFormat="1">
      <c r="A78" s="12" t="s">
        <v>4</v>
      </c>
      <c r="B78" s="10"/>
      <c r="C78" s="10"/>
      <c r="D78" s="20">
        <f>SUM(D70:D75)</f>
        <v>130.86000000000001</v>
      </c>
      <c r="E78" s="6"/>
      <c r="F78" s="31">
        <f>SUM(F70:F75)</f>
        <v>0</v>
      </c>
      <c r="G78" s="26"/>
      <c r="H78" s="36">
        <f>SUM(H70:H75)</f>
        <v>1568.56</v>
      </c>
      <c r="I78" s="2"/>
    </row>
    <row r="79" spans="1:11" s="1" customFormat="1" ht="15.75" thickBot="1">
      <c r="A79" s="13" t="s">
        <v>5</v>
      </c>
      <c r="B79" s="39">
        <f>SUM(D78+F78+H78)</f>
        <v>1699.42</v>
      </c>
      <c r="C79" s="38"/>
      <c r="D79" s="21"/>
      <c r="E79" s="22"/>
      <c r="F79" s="32"/>
      <c r="G79" s="27"/>
      <c r="H79" s="37"/>
      <c r="I79" s="3"/>
    </row>
    <row r="80" spans="1:11">
      <c r="A80" s="44">
        <v>41473</v>
      </c>
      <c r="B80" s="8" t="s">
        <v>252</v>
      </c>
      <c r="C80" s="11" t="s">
        <v>27</v>
      </c>
      <c r="D80" s="15"/>
      <c r="E80" s="40"/>
      <c r="F80" s="28"/>
      <c r="G80" s="24"/>
      <c r="H80" s="33">
        <v>554.25</v>
      </c>
      <c r="I80" s="5" t="s">
        <v>131</v>
      </c>
    </row>
    <row r="81" spans="1:11">
      <c r="A81" s="9"/>
      <c r="C81" s="10"/>
      <c r="D81" s="17"/>
      <c r="E81" s="18"/>
      <c r="F81" s="29"/>
      <c r="G81" s="24"/>
      <c r="H81" s="34"/>
      <c r="I81" s="6"/>
    </row>
    <row r="82" spans="1:11">
      <c r="A82" s="12" t="s">
        <v>4</v>
      </c>
      <c r="B82" s="10"/>
      <c r="C82" s="10"/>
      <c r="D82" s="20">
        <f>SUM(D80:D81)</f>
        <v>0</v>
      </c>
      <c r="E82" s="6"/>
      <c r="F82" s="31">
        <f>SUM(F80:F81)</f>
        <v>0</v>
      </c>
      <c r="G82" s="26"/>
      <c r="H82" s="36">
        <f>SUM(H80:H81)</f>
        <v>554.25</v>
      </c>
      <c r="I82" s="2"/>
    </row>
    <row r="83" spans="1:11" ht="15.75" thickBot="1">
      <c r="A83" s="13" t="s">
        <v>5</v>
      </c>
      <c r="B83" s="39">
        <f>SUM(D82+F82+H82)</f>
        <v>554.25</v>
      </c>
      <c r="C83" s="38"/>
      <c r="D83" s="21"/>
      <c r="E83" s="22"/>
      <c r="F83" s="32"/>
      <c r="G83" s="27"/>
      <c r="H83" s="37"/>
      <c r="I83" s="3"/>
    </row>
    <row r="84" spans="1:11" s="1" customFormat="1">
      <c r="A84" s="10" t="s">
        <v>319</v>
      </c>
      <c r="B84" s="48" t="s">
        <v>320</v>
      </c>
      <c r="C84" s="8" t="s">
        <v>84</v>
      </c>
      <c r="D84" s="15">
        <v>70.23</v>
      </c>
      <c r="E84" s="16" t="s">
        <v>37</v>
      </c>
      <c r="F84" s="28"/>
      <c r="G84" s="23"/>
      <c r="H84" s="33">
        <v>2831.42</v>
      </c>
      <c r="I84" s="5" t="s">
        <v>131</v>
      </c>
    </row>
    <row r="85" spans="1:11" s="1" customFormat="1">
      <c r="A85" s="9"/>
      <c r="B85" s="9"/>
      <c r="C85" s="9"/>
      <c r="D85" s="17">
        <v>159.18</v>
      </c>
      <c r="E85" s="18" t="s">
        <v>207</v>
      </c>
      <c r="F85" s="29"/>
      <c r="G85" s="24"/>
      <c r="H85" s="34">
        <v>328.57</v>
      </c>
      <c r="I85" s="2" t="s">
        <v>54</v>
      </c>
      <c r="K85" s="4"/>
    </row>
    <row r="86" spans="1:11" s="1" customFormat="1">
      <c r="A86" s="9"/>
      <c r="B86" s="9"/>
      <c r="C86" s="9"/>
      <c r="D86" s="17"/>
      <c r="E86" s="18"/>
      <c r="F86" s="29"/>
      <c r="G86" s="24"/>
      <c r="H86" s="34"/>
      <c r="I86" s="2"/>
      <c r="K86" s="4"/>
    </row>
    <row r="87" spans="1:11" s="1" customFormat="1">
      <c r="A87" s="9"/>
      <c r="B87" s="9"/>
      <c r="C87" s="9" t="s">
        <v>32</v>
      </c>
      <c r="D87" s="17"/>
      <c r="E87" s="18"/>
      <c r="F87" s="29"/>
      <c r="G87" s="24"/>
      <c r="H87" s="34">
        <f>717+1805.9</f>
        <v>2522.9</v>
      </c>
      <c r="I87" s="2" t="s">
        <v>131</v>
      </c>
      <c r="K87" s="4"/>
    </row>
    <row r="88" spans="1:11" s="1" customFormat="1">
      <c r="A88" s="9"/>
      <c r="B88" s="9"/>
      <c r="C88" s="9"/>
      <c r="D88" s="17"/>
      <c r="E88" s="18"/>
      <c r="F88" s="29"/>
      <c r="G88" s="24"/>
      <c r="H88" s="34">
        <v>427.14</v>
      </c>
      <c r="I88" s="2" t="s">
        <v>54</v>
      </c>
      <c r="K88" s="4"/>
    </row>
    <row r="89" spans="1:11" s="1" customFormat="1">
      <c r="A89" s="9"/>
      <c r="B89" s="9"/>
      <c r="C89" s="9"/>
      <c r="D89" s="17"/>
      <c r="E89" s="18"/>
      <c r="F89" s="29"/>
      <c r="G89" s="24"/>
      <c r="H89" s="34"/>
      <c r="I89" s="2"/>
      <c r="K89" s="4"/>
    </row>
    <row r="90" spans="1:11" s="1" customFormat="1">
      <c r="A90" s="12" t="s">
        <v>4</v>
      </c>
      <c r="B90" s="10"/>
      <c r="C90" s="10"/>
      <c r="D90" s="20">
        <f>SUM(D84:D89)</f>
        <v>229.41000000000003</v>
      </c>
      <c r="E90" s="6"/>
      <c r="F90" s="31">
        <f>SUM(F84:F89)</f>
        <v>0</v>
      </c>
      <c r="G90" s="26"/>
      <c r="H90" s="36">
        <f>SUM(H84:H89)</f>
        <v>6110.0300000000007</v>
      </c>
      <c r="I90" s="2"/>
    </row>
    <row r="91" spans="1:11" s="1" customFormat="1" ht="15.75" thickBot="1">
      <c r="A91" s="13" t="s">
        <v>5</v>
      </c>
      <c r="B91" s="39">
        <f>SUM(D90+F90+H90)</f>
        <v>6339.4400000000005</v>
      </c>
      <c r="C91" s="38"/>
      <c r="D91" s="21"/>
      <c r="E91" s="22"/>
      <c r="F91" s="32"/>
      <c r="G91" s="27"/>
      <c r="H91" s="37"/>
      <c r="I91" s="3"/>
    </row>
    <row r="92" spans="1:11" s="1" customFormat="1">
      <c r="A92" s="10" t="s">
        <v>321</v>
      </c>
      <c r="B92" s="48" t="s">
        <v>292</v>
      </c>
      <c r="C92" s="8" t="s">
        <v>18</v>
      </c>
      <c r="D92" s="15">
        <v>90</v>
      </c>
      <c r="E92" s="16" t="s">
        <v>37</v>
      </c>
      <c r="F92" s="28"/>
      <c r="G92" s="23"/>
      <c r="H92" s="76">
        <v>2277.85</v>
      </c>
      <c r="I92" s="81" t="s">
        <v>131</v>
      </c>
    </row>
    <row r="93" spans="1:11" s="1" customFormat="1">
      <c r="A93" s="9"/>
      <c r="B93" s="9" t="s">
        <v>322</v>
      </c>
      <c r="C93" s="9"/>
      <c r="D93" s="17"/>
      <c r="E93" s="18"/>
      <c r="F93" s="29"/>
      <c r="G93" s="24"/>
      <c r="H93" s="34">
        <v>243.14</v>
      </c>
      <c r="I93" s="2" t="s">
        <v>54</v>
      </c>
      <c r="K93" s="4"/>
    </row>
    <row r="94" spans="1:11" s="1" customFormat="1">
      <c r="A94" s="9"/>
      <c r="B94" s="9"/>
      <c r="C94" s="9"/>
      <c r="D94" s="17"/>
      <c r="E94" s="18"/>
      <c r="F94" s="29"/>
      <c r="G94" s="24"/>
      <c r="H94" s="34">
        <v>15.88</v>
      </c>
      <c r="I94" s="2" t="s">
        <v>64</v>
      </c>
      <c r="K94" s="4"/>
    </row>
    <row r="95" spans="1:11" s="1" customFormat="1">
      <c r="A95" s="9"/>
      <c r="B95" s="9"/>
      <c r="C95" s="9"/>
      <c r="D95" s="17"/>
      <c r="E95" s="18"/>
      <c r="F95" s="29"/>
      <c r="G95" s="24"/>
      <c r="H95" s="34"/>
      <c r="I95" s="2"/>
      <c r="K95" s="4"/>
    </row>
    <row r="96" spans="1:11" s="1" customFormat="1">
      <c r="A96" s="9"/>
      <c r="B96" s="9"/>
      <c r="C96" s="9" t="s">
        <v>21</v>
      </c>
      <c r="D96" s="17"/>
      <c r="E96" s="18"/>
      <c r="F96" s="29"/>
      <c r="G96" s="24"/>
      <c r="H96" s="34">
        <v>3592.05</v>
      </c>
      <c r="I96" s="2" t="s">
        <v>131</v>
      </c>
      <c r="K96" s="4"/>
    </row>
    <row r="97" spans="1:11" s="1" customFormat="1">
      <c r="A97" s="9"/>
      <c r="B97" s="9"/>
      <c r="C97" s="9"/>
      <c r="D97" s="17"/>
      <c r="E97" s="18"/>
      <c r="F97" s="29"/>
      <c r="G97" s="24"/>
      <c r="H97" s="34">
        <v>243.14</v>
      </c>
      <c r="I97" s="2" t="s">
        <v>54</v>
      </c>
      <c r="K97" s="4"/>
    </row>
    <row r="98" spans="1:11" s="1" customFormat="1">
      <c r="A98" s="9"/>
      <c r="B98" s="9"/>
      <c r="C98" s="9"/>
      <c r="D98" s="17"/>
      <c r="E98" s="18"/>
      <c r="F98" s="29"/>
      <c r="G98" s="24"/>
      <c r="H98" s="34"/>
      <c r="I98" s="2"/>
      <c r="K98" s="4"/>
    </row>
    <row r="99" spans="1:11" s="1" customFormat="1">
      <c r="A99" s="12" t="s">
        <v>4</v>
      </c>
      <c r="B99" s="10"/>
      <c r="C99" s="10"/>
      <c r="D99" s="20">
        <f>SUM(D92:D98)</f>
        <v>90</v>
      </c>
      <c r="E99" s="6"/>
      <c r="F99" s="31">
        <f>SUM(F92:F98)</f>
        <v>0</v>
      </c>
      <c r="G99" s="26"/>
      <c r="H99" s="36">
        <f>SUM(H92:H98)</f>
        <v>6372.06</v>
      </c>
      <c r="I99" s="2"/>
    </row>
    <row r="100" spans="1:11" s="1" customFormat="1" ht="15.75" thickBot="1">
      <c r="A100" s="13" t="s">
        <v>5</v>
      </c>
      <c r="B100" s="39">
        <f>SUM(D99+F99+H99)</f>
        <v>6462.06</v>
      </c>
      <c r="C100" s="38"/>
      <c r="D100" s="21"/>
      <c r="E100" s="22"/>
      <c r="F100" s="32"/>
      <c r="G100" s="27"/>
      <c r="H100" s="37"/>
      <c r="I100" s="3"/>
    </row>
    <row r="101" spans="1:11">
      <c r="A101" s="8" t="s">
        <v>323</v>
      </c>
      <c r="B101" s="8" t="s">
        <v>292</v>
      </c>
      <c r="C101" s="11" t="s">
        <v>18</v>
      </c>
      <c r="D101" s="15">
        <v>85.25</v>
      </c>
      <c r="E101" s="40" t="s">
        <v>207</v>
      </c>
      <c r="F101" s="28"/>
      <c r="G101" s="23"/>
      <c r="H101" s="33">
        <v>738.12</v>
      </c>
      <c r="I101" s="5" t="s">
        <v>131</v>
      </c>
    </row>
    <row r="102" spans="1:11">
      <c r="A102" s="9"/>
      <c r="B102" s="48" t="s">
        <v>324</v>
      </c>
      <c r="C102" s="10"/>
      <c r="D102" s="17">
        <v>25</v>
      </c>
      <c r="E102" s="51" t="s">
        <v>37</v>
      </c>
      <c r="F102" s="29"/>
      <c r="G102" s="24"/>
      <c r="H102" s="34">
        <v>96.66</v>
      </c>
      <c r="I102" s="6" t="s">
        <v>64</v>
      </c>
    </row>
    <row r="103" spans="1:11">
      <c r="A103" s="9"/>
      <c r="B103" s="48"/>
      <c r="C103" s="10"/>
      <c r="D103" s="17"/>
      <c r="E103" s="51"/>
      <c r="F103" s="29"/>
      <c r="G103" s="24"/>
      <c r="H103" s="34"/>
      <c r="I103" s="6"/>
    </row>
    <row r="104" spans="1:11" s="1" customFormat="1">
      <c r="A104" s="10"/>
      <c r="B104" s="48"/>
      <c r="C104" s="9" t="s">
        <v>21</v>
      </c>
      <c r="D104" s="17">
        <v>81.430000000000007</v>
      </c>
      <c r="E104" s="51" t="s">
        <v>207</v>
      </c>
      <c r="F104" s="29"/>
      <c r="G104" s="24"/>
      <c r="H104" s="34">
        <v>405.44</v>
      </c>
      <c r="I104" s="6" t="s">
        <v>54</v>
      </c>
    </row>
    <row r="105" spans="1:11" s="1" customFormat="1">
      <c r="A105" s="10"/>
      <c r="B105" s="48"/>
      <c r="C105" s="9"/>
      <c r="D105" s="17"/>
      <c r="E105" s="18"/>
      <c r="F105" s="29"/>
      <c r="G105" s="24"/>
      <c r="H105" s="34"/>
      <c r="I105" s="6"/>
    </row>
    <row r="106" spans="1:11" s="1" customFormat="1">
      <c r="A106" s="10"/>
      <c r="B106" s="48"/>
      <c r="C106" s="9"/>
      <c r="D106" s="17"/>
      <c r="E106" s="18"/>
      <c r="F106" s="29"/>
      <c r="G106" s="24"/>
      <c r="H106" s="34"/>
      <c r="I106" s="6"/>
    </row>
    <row r="107" spans="1:11">
      <c r="A107" s="10"/>
      <c r="B107" s="14"/>
      <c r="C107" s="10"/>
      <c r="D107" s="19"/>
      <c r="E107" s="6"/>
      <c r="F107" s="30"/>
      <c r="G107" s="25"/>
      <c r="H107" s="34"/>
      <c r="I107" s="6"/>
    </row>
    <row r="108" spans="1:11">
      <c r="A108" s="10"/>
      <c r="B108" s="14"/>
      <c r="C108" s="9"/>
      <c r="D108" s="19"/>
      <c r="E108" s="6"/>
      <c r="F108" s="30"/>
      <c r="G108" s="25"/>
      <c r="H108" s="34"/>
      <c r="I108" s="2"/>
    </row>
    <row r="109" spans="1:11">
      <c r="A109" s="12" t="s">
        <v>4</v>
      </c>
      <c r="B109" s="10"/>
      <c r="C109" s="10"/>
      <c r="D109" s="20">
        <f>SUM(D101:D108)</f>
        <v>191.68</v>
      </c>
      <c r="E109" s="6"/>
      <c r="F109" s="31">
        <f>SUM(F101:F108)</f>
        <v>0</v>
      </c>
      <c r="G109" s="26"/>
      <c r="H109" s="36">
        <f>SUM(H101:H108)</f>
        <v>1240.22</v>
      </c>
      <c r="I109" s="2"/>
    </row>
    <row r="110" spans="1:11" ht="15.75" thickBot="1">
      <c r="A110" s="13" t="s">
        <v>5</v>
      </c>
      <c r="B110" s="39">
        <f>SUM(D109+F109+H109)</f>
        <v>1431.9</v>
      </c>
      <c r="C110" s="38"/>
      <c r="D110" s="21"/>
      <c r="E110" s="22"/>
      <c r="F110" s="32"/>
      <c r="G110" s="27"/>
      <c r="H110" s="37"/>
      <c r="I110" s="3"/>
    </row>
    <row r="111" spans="1:11" ht="30">
      <c r="A111" s="8" t="s">
        <v>325</v>
      </c>
      <c r="B111" s="8" t="s">
        <v>326</v>
      </c>
      <c r="C111" s="11" t="s">
        <v>30</v>
      </c>
      <c r="D111" s="15">
        <f>37.41+41.96+38.02+65.2</f>
        <v>182.59000000000003</v>
      </c>
      <c r="E111" s="40" t="s">
        <v>37</v>
      </c>
      <c r="F111" s="28">
        <v>14.02</v>
      </c>
      <c r="G111" s="23" t="s">
        <v>61</v>
      </c>
      <c r="H111" s="33">
        <f>171.89+47.05</f>
        <v>218.94</v>
      </c>
      <c r="I111" s="5" t="s">
        <v>332</v>
      </c>
    </row>
    <row r="112" spans="1:11">
      <c r="A112" s="9"/>
      <c r="B112" s="9"/>
      <c r="C112" s="77"/>
      <c r="D112" s="17">
        <f>186.2+463.52</f>
        <v>649.72</v>
      </c>
      <c r="E112" s="51" t="s">
        <v>207</v>
      </c>
      <c r="F112" s="29">
        <v>29.1</v>
      </c>
      <c r="G112" s="24" t="s">
        <v>107</v>
      </c>
      <c r="H112" s="34">
        <v>2390.27</v>
      </c>
      <c r="I112" s="6" t="s">
        <v>131</v>
      </c>
    </row>
    <row r="113" spans="1:9">
      <c r="A113" s="9"/>
      <c r="B113" s="9"/>
      <c r="C113" s="77"/>
      <c r="D113" s="17">
        <f>13.58</f>
        <v>13.58</v>
      </c>
      <c r="E113" s="51" t="s">
        <v>203</v>
      </c>
      <c r="F113" s="29">
        <v>79.8</v>
      </c>
      <c r="G113" s="24" t="s">
        <v>44</v>
      </c>
      <c r="H113" s="34"/>
      <c r="I113" s="6"/>
    </row>
    <row r="114" spans="1:9">
      <c r="A114" s="9"/>
      <c r="B114" s="9"/>
      <c r="C114" s="77"/>
      <c r="D114" s="17"/>
      <c r="E114" s="51"/>
      <c r="F114" s="29"/>
      <c r="G114" s="24"/>
      <c r="H114" s="34"/>
      <c r="I114" s="6"/>
    </row>
    <row r="115" spans="1:9">
      <c r="A115" s="9"/>
      <c r="B115" s="9" t="s">
        <v>327</v>
      </c>
      <c r="C115" s="1" t="s">
        <v>31</v>
      </c>
      <c r="D115" s="17">
        <v>170.8</v>
      </c>
      <c r="E115" s="51" t="s">
        <v>37</v>
      </c>
      <c r="F115" s="29"/>
      <c r="G115" s="24"/>
      <c r="H115" s="34">
        <v>31.79</v>
      </c>
      <c r="I115" s="6" t="s">
        <v>64</v>
      </c>
    </row>
    <row r="116" spans="1:9">
      <c r="A116" s="9"/>
      <c r="B116" s="9"/>
      <c r="C116" s="1"/>
      <c r="D116" s="17">
        <v>35.89</v>
      </c>
      <c r="E116" s="51" t="s">
        <v>207</v>
      </c>
      <c r="F116" s="29"/>
      <c r="G116" s="24"/>
      <c r="H116" s="34">
        <v>2390.27</v>
      </c>
      <c r="I116" s="6" t="s">
        <v>131</v>
      </c>
    </row>
    <row r="117" spans="1:9">
      <c r="A117" s="9"/>
      <c r="B117" s="9"/>
      <c r="C117" s="1"/>
      <c r="D117" s="17"/>
      <c r="E117" s="51"/>
      <c r="F117" s="29"/>
      <c r="G117" s="24"/>
      <c r="H117" s="34"/>
      <c r="I117" s="6"/>
    </row>
    <row r="118" spans="1:9">
      <c r="A118" s="9"/>
      <c r="B118" s="9"/>
      <c r="C118" s="10" t="s">
        <v>47</v>
      </c>
      <c r="D118" s="17"/>
      <c r="E118" s="18"/>
      <c r="F118" s="29">
        <v>10.9</v>
      </c>
      <c r="G118" s="24" t="s">
        <v>61</v>
      </c>
      <c r="H118" s="34">
        <v>2388.21</v>
      </c>
      <c r="I118" s="6" t="s">
        <v>131</v>
      </c>
    </row>
    <row r="119" spans="1:9">
      <c r="A119" s="9"/>
      <c r="B119" s="9"/>
      <c r="C119" s="10"/>
      <c r="D119" s="17"/>
      <c r="E119" s="18"/>
      <c r="F119" s="29">
        <v>75</v>
      </c>
      <c r="G119" s="24" t="s">
        <v>44</v>
      </c>
      <c r="H119" s="34"/>
      <c r="I119" s="6" t="s">
        <v>54</v>
      </c>
    </row>
    <row r="120" spans="1:9">
      <c r="A120" s="9"/>
      <c r="B120" s="9"/>
      <c r="C120" s="10"/>
      <c r="D120" s="17"/>
      <c r="E120" s="18"/>
      <c r="F120" s="29"/>
      <c r="G120" s="24"/>
      <c r="H120" s="34"/>
      <c r="I120" s="6" t="s">
        <v>64</v>
      </c>
    </row>
    <row r="121" spans="1:9">
      <c r="A121" s="9"/>
      <c r="B121" s="9"/>
      <c r="C121" s="10"/>
      <c r="D121" s="17"/>
      <c r="E121" s="18"/>
      <c r="F121" s="29"/>
      <c r="G121" s="24"/>
      <c r="H121" s="34"/>
      <c r="I121" s="6"/>
    </row>
    <row r="122" spans="1:9">
      <c r="A122" s="9"/>
      <c r="B122" s="9"/>
      <c r="C122" s="10" t="s">
        <v>21</v>
      </c>
      <c r="D122" s="17">
        <f>113.5+20.3</f>
        <v>133.80000000000001</v>
      </c>
      <c r="E122" s="18" t="s">
        <v>37</v>
      </c>
      <c r="F122" s="29"/>
      <c r="G122" s="24"/>
      <c r="H122" s="34">
        <f>293.27+2062.27</f>
        <v>2355.54</v>
      </c>
      <c r="I122" s="6" t="s">
        <v>131</v>
      </c>
    </row>
    <row r="123" spans="1:9">
      <c r="A123" s="9"/>
      <c r="B123" s="9"/>
      <c r="C123" s="10"/>
      <c r="D123" s="17">
        <v>29.47</v>
      </c>
      <c r="E123" s="18" t="s">
        <v>350</v>
      </c>
      <c r="F123" s="29"/>
      <c r="G123" s="24"/>
      <c r="H123" s="34"/>
      <c r="I123" s="6" t="s">
        <v>54</v>
      </c>
    </row>
    <row r="124" spans="1:9">
      <c r="A124" s="9"/>
      <c r="B124" s="9"/>
      <c r="C124" s="10"/>
      <c r="D124" s="17"/>
      <c r="E124" s="18"/>
      <c r="F124" s="29"/>
      <c r="G124" s="24"/>
      <c r="H124" s="34"/>
      <c r="I124" s="6"/>
    </row>
    <row r="125" spans="1:9">
      <c r="A125" s="10"/>
      <c r="B125" s="14"/>
      <c r="C125" s="10" t="s">
        <v>32</v>
      </c>
      <c r="D125" s="19">
        <v>471.98</v>
      </c>
      <c r="E125" s="6" t="s">
        <v>207</v>
      </c>
      <c r="F125" s="30"/>
      <c r="G125" s="25"/>
      <c r="H125" s="35">
        <v>145.88999999999999</v>
      </c>
      <c r="I125" s="6" t="s">
        <v>64</v>
      </c>
    </row>
    <row r="126" spans="1:9">
      <c r="A126" s="10"/>
      <c r="B126" s="14"/>
      <c r="C126" s="10"/>
      <c r="D126" s="19"/>
      <c r="E126" s="6"/>
      <c r="F126" s="30"/>
      <c r="G126" s="25"/>
      <c r="H126" s="35"/>
      <c r="I126" s="6"/>
    </row>
    <row r="127" spans="1:9">
      <c r="A127" s="10"/>
      <c r="B127" s="14"/>
      <c r="C127" s="10"/>
      <c r="D127" s="19"/>
      <c r="E127" s="6"/>
      <c r="F127" s="30"/>
      <c r="G127" s="25"/>
      <c r="H127" s="35"/>
      <c r="I127" s="6"/>
    </row>
    <row r="128" spans="1:9">
      <c r="A128" s="10"/>
      <c r="B128" s="14"/>
      <c r="C128" s="9" t="s">
        <v>84</v>
      </c>
      <c r="D128" s="19">
        <v>17</v>
      </c>
      <c r="E128" s="6" t="s">
        <v>207</v>
      </c>
      <c r="F128" s="30"/>
      <c r="G128" s="25"/>
      <c r="H128" s="35">
        <v>99.56</v>
      </c>
      <c r="I128" s="2" t="s">
        <v>64</v>
      </c>
    </row>
    <row r="129" spans="1:13">
      <c r="A129" s="10"/>
      <c r="B129" s="14"/>
      <c r="C129" s="9"/>
      <c r="D129" s="19"/>
      <c r="E129" s="6"/>
      <c r="F129" s="30"/>
      <c r="G129" s="25"/>
      <c r="H129" s="35">
        <f>1805.9+717</f>
        <v>2522.9</v>
      </c>
      <c r="I129" s="2" t="s">
        <v>131</v>
      </c>
    </row>
    <row r="130" spans="1:13">
      <c r="A130" s="10"/>
      <c r="B130" s="14"/>
      <c r="C130" s="9"/>
      <c r="D130" s="19"/>
      <c r="E130" s="6"/>
      <c r="F130" s="30"/>
      <c r="G130" s="25"/>
      <c r="H130" s="35"/>
      <c r="I130" s="2"/>
    </row>
    <row r="131" spans="1:13">
      <c r="A131" s="12" t="s">
        <v>4</v>
      </c>
      <c r="B131" s="10"/>
      <c r="C131" s="10"/>
      <c r="D131" s="20">
        <f>SUM(D111:D128)</f>
        <v>1704.8300000000002</v>
      </c>
      <c r="E131" s="6"/>
      <c r="F131" s="31">
        <f>SUM(F111:F128)</f>
        <v>208.82</v>
      </c>
      <c r="G131" s="26"/>
      <c r="H131" s="36">
        <f>SUM(H111:H128)</f>
        <v>10020.469999999999</v>
      </c>
      <c r="I131" s="2"/>
    </row>
    <row r="132" spans="1:13" ht="15.75" thickBot="1">
      <c r="A132" s="13" t="s">
        <v>5</v>
      </c>
      <c r="B132" s="39">
        <f>SUM(D131+F131+H131)</f>
        <v>11934.119999999999</v>
      </c>
      <c r="C132" s="38"/>
      <c r="D132" s="21"/>
      <c r="E132" s="22"/>
      <c r="F132" s="32"/>
      <c r="G132" s="27"/>
      <c r="H132" s="37"/>
      <c r="I132" s="3"/>
    </row>
    <row r="133" spans="1:13">
      <c r="A133" s="44" t="s">
        <v>343</v>
      </c>
      <c r="B133" s="8" t="s">
        <v>237</v>
      </c>
      <c r="C133" s="11" t="s">
        <v>26</v>
      </c>
      <c r="D133" s="15"/>
      <c r="E133" s="40"/>
      <c r="F133" s="28"/>
      <c r="G133" s="23"/>
      <c r="H133" s="33">
        <v>908.77</v>
      </c>
      <c r="I133" s="5" t="s">
        <v>131</v>
      </c>
    </row>
    <row r="134" spans="1:13">
      <c r="A134" s="9"/>
      <c r="B134" s="9" t="s">
        <v>299</v>
      </c>
      <c r="C134" s="10"/>
      <c r="D134" s="17"/>
      <c r="E134" s="51"/>
      <c r="F134" s="29"/>
      <c r="G134" s="24"/>
      <c r="H134" s="34"/>
      <c r="I134" s="6"/>
    </row>
    <row r="135" spans="1:13">
      <c r="A135" s="12" t="s">
        <v>4</v>
      </c>
      <c r="B135" s="10"/>
      <c r="C135" s="10"/>
      <c r="D135" s="20">
        <f>SUM(D133:D134)</f>
        <v>0</v>
      </c>
      <c r="E135" s="6"/>
      <c r="F135" s="31">
        <f>SUM(F133:F134)</f>
        <v>0</v>
      </c>
      <c r="G135" s="26"/>
      <c r="H135" s="36">
        <f>SUM(H133:H134)</f>
        <v>908.77</v>
      </c>
      <c r="I135" s="2"/>
    </row>
    <row r="136" spans="1:13" ht="15.75" thickBot="1">
      <c r="A136" s="13" t="s">
        <v>5</v>
      </c>
      <c r="B136" s="39">
        <f>SUM(D135+F135+H135)</f>
        <v>908.77</v>
      </c>
      <c r="C136" s="38"/>
      <c r="D136" s="21"/>
      <c r="E136" s="22"/>
      <c r="F136" s="32"/>
      <c r="G136" s="27"/>
      <c r="H136" s="37"/>
      <c r="I136" s="3"/>
    </row>
    <row r="137" spans="1:13">
      <c r="A137" s="44">
        <v>41484</v>
      </c>
      <c r="B137" s="8" t="s">
        <v>292</v>
      </c>
      <c r="C137" s="11" t="s">
        <v>14</v>
      </c>
      <c r="D137" s="15"/>
      <c r="E137" s="40"/>
      <c r="F137" s="28"/>
      <c r="G137" s="23"/>
      <c r="H137" s="33">
        <v>1221.1099999999999</v>
      </c>
      <c r="I137" s="5" t="s">
        <v>131</v>
      </c>
    </row>
    <row r="138" spans="1:13">
      <c r="A138" s="9"/>
      <c r="B138" s="9" t="s">
        <v>341</v>
      </c>
      <c r="C138" s="10"/>
      <c r="D138" s="17"/>
      <c r="E138" s="51"/>
      <c r="F138" s="29"/>
      <c r="G138" s="24"/>
      <c r="H138" s="34"/>
      <c r="I138" s="6"/>
    </row>
    <row r="139" spans="1:13">
      <c r="A139" s="12" t="s">
        <v>4</v>
      </c>
      <c r="B139" s="10"/>
      <c r="C139" s="10"/>
      <c r="D139" s="20">
        <f>SUM(D137:D138)</f>
        <v>0</v>
      </c>
      <c r="E139" s="6"/>
      <c r="F139" s="31">
        <f>SUM(F137:F138)</f>
        <v>0</v>
      </c>
      <c r="G139" s="26"/>
      <c r="H139" s="36">
        <f>SUM(H137:H138)</f>
        <v>1221.1099999999999</v>
      </c>
      <c r="I139" s="2"/>
    </row>
    <row r="140" spans="1:13" ht="15.75" thickBot="1">
      <c r="A140" s="13" t="s">
        <v>5</v>
      </c>
      <c r="B140" s="39">
        <f>SUM(D139+F139+H139)</f>
        <v>1221.1099999999999</v>
      </c>
      <c r="C140" s="38"/>
      <c r="D140" s="21"/>
      <c r="E140" s="22"/>
      <c r="F140" s="32"/>
      <c r="G140" s="27"/>
      <c r="H140" s="37"/>
      <c r="I140" s="3"/>
    </row>
    <row r="141" spans="1:13" ht="15.75" thickBot="1"/>
    <row r="142" spans="1:13" ht="20.25" thickBot="1">
      <c r="A142" s="41" t="s">
        <v>10</v>
      </c>
      <c r="B142" s="42">
        <f>SUM(B12,B18,B24,B34,B42,B50,B64,B69,B79,B83,B91,B100,B110,B132,B136,B140)</f>
        <v>53334.669999999991</v>
      </c>
    </row>
    <row r="144" spans="1:13">
      <c r="A144" s="45"/>
      <c r="B144" s="43"/>
      <c r="C144" s="43"/>
      <c r="D144" s="47"/>
      <c r="E144" s="47"/>
      <c r="F144" s="46"/>
      <c r="G144" s="48"/>
      <c r="H144" s="43"/>
      <c r="I144" s="46"/>
      <c r="J144" s="49"/>
      <c r="K144" s="50"/>
      <c r="L144" s="50"/>
      <c r="M144" s="50"/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topLeftCell="A31" workbookViewId="0">
      <selection activeCell="D45" sqref="D45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>
      <c r="A2" s="8" t="s">
        <v>347</v>
      </c>
      <c r="B2" s="8" t="s">
        <v>252</v>
      </c>
      <c r="C2" s="11" t="s">
        <v>161</v>
      </c>
      <c r="D2" s="15">
        <f>16.2+4.2+13</f>
        <v>33.4</v>
      </c>
      <c r="E2" s="40" t="s">
        <v>207</v>
      </c>
      <c r="F2" s="28">
        <f>10.07+10.07</f>
        <v>20.14</v>
      </c>
      <c r="G2" s="23" t="s">
        <v>61</v>
      </c>
      <c r="H2" s="33">
        <v>2947.66</v>
      </c>
      <c r="I2" s="5" t="s">
        <v>131</v>
      </c>
    </row>
    <row r="3" spans="1:9">
      <c r="A3" s="9"/>
      <c r="B3" s="9" t="s">
        <v>338</v>
      </c>
      <c r="C3" s="10"/>
      <c r="D3" s="17"/>
      <c r="E3" s="51"/>
      <c r="F3" s="29"/>
      <c r="G3" s="24"/>
      <c r="H3" s="34">
        <v>292.68</v>
      </c>
      <c r="I3" s="6" t="s">
        <v>54</v>
      </c>
    </row>
    <row r="4" spans="1:9">
      <c r="A4" s="9"/>
      <c r="B4" s="9"/>
      <c r="C4" s="10"/>
      <c r="D4" s="17"/>
      <c r="E4" s="18"/>
      <c r="F4" s="29"/>
      <c r="G4" s="24"/>
      <c r="H4" s="34">
        <v>122.9</v>
      </c>
      <c r="I4" s="6" t="s">
        <v>64</v>
      </c>
    </row>
    <row r="5" spans="1:9">
      <c r="A5" s="9"/>
      <c r="B5" s="9"/>
      <c r="C5" s="10"/>
      <c r="D5" s="17"/>
      <c r="E5" s="51"/>
      <c r="F5" s="29"/>
      <c r="G5" s="24"/>
      <c r="H5" s="34"/>
      <c r="I5" s="6"/>
    </row>
    <row r="6" spans="1:9">
      <c r="A6" s="9"/>
      <c r="B6" s="9"/>
      <c r="C6" s="10"/>
      <c r="D6" s="17"/>
      <c r="E6" s="6"/>
      <c r="F6" s="17"/>
      <c r="G6" s="6"/>
      <c r="H6" s="35"/>
      <c r="I6" s="2"/>
    </row>
    <row r="7" spans="1:9">
      <c r="A7" s="10"/>
      <c r="B7" s="14"/>
      <c r="C7" s="10"/>
      <c r="D7" s="19"/>
      <c r="E7" s="6"/>
      <c r="F7" s="30"/>
      <c r="G7" s="25"/>
      <c r="H7" s="35"/>
      <c r="I7" s="2"/>
    </row>
    <row r="8" spans="1:9">
      <c r="A8" s="10"/>
      <c r="B8" s="14"/>
      <c r="C8" s="9"/>
      <c r="D8" s="19"/>
      <c r="E8" s="6"/>
      <c r="F8" s="30"/>
      <c r="G8" s="25"/>
      <c r="H8" s="34"/>
      <c r="I8" s="2"/>
    </row>
    <row r="9" spans="1:9">
      <c r="A9" s="12" t="s">
        <v>4</v>
      </c>
      <c r="B9" s="10"/>
      <c r="C9" s="10"/>
      <c r="D9" s="20">
        <f>SUM(D2:D8)</f>
        <v>33.4</v>
      </c>
      <c r="E9" s="6"/>
      <c r="F9" s="31">
        <f>SUM(F2:F8)</f>
        <v>20.14</v>
      </c>
      <c r="G9" s="26"/>
      <c r="H9" s="36">
        <f>SUM(H2:H8)</f>
        <v>3363.24</v>
      </c>
      <c r="I9" s="2"/>
    </row>
    <row r="10" spans="1:9" ht="15.75" thickBot="1">
      <c r="A10" s="13" t="s">
        <v>5</v>
      </c>
      <c r="B10" s="39">
        <f>SUM(D9+F9+H9)</f>
        <v>3416.7799999999997</v>
      </c>
      <c r="C10" s="38"/>
      <c r="D10" s="21"/>
      <c r="E10" s="22"/>
      <c r="F10" s="32"/>
      <c r="G10" s="27"/>
      <c r="H10" s="37"/>
      <c r="I10" s="3"/>
    </row>
    <row r="11" spans="1:9">
      <c r="A11" s="53" t="s">
        <v>335</v>
      </c>
      <c r="B11" s="8" t="s">
        <v>252</v>
      </c>
      <c r="C11" s="11" t="s">
        <v>26</v>
      </c>
      <c r="D11" s="15">
        <f>28.03+17.47+14.56+7.54+7.1+33.15</f>
        <v>107.85</v>
      </c>
      <c r="E11" s="40" t="s">
        <v>37</v>
      </c>
      <c r="F11" s="28"/>
      <c r="G11" s="23"/>
      <c r="H11" s="33">
        <v>77.349999999999994</v>
      </c>
      <c r="I11" s="5" t="s">
        <v>64</v>
      </c>
    </row>
    <row r="12" spans="1:9">
      <c r="A12" s="62"/>
      <c r="B12" s="9" t="s">
        <v>336</v>
      </c>
      <c r="C12" s="10"/>
      <c r="D12" s="17">
        <f>47.36+6.9</f>
        <v>54.26</v>
      </c>
      <c r="E12" s="51" t="s">
        <v>207</v>
      </c>
      <c r="F12" s="29"/>
      <c r="G12" s="24"/>
      <c r="H12" s="34"/>
      <c r="I12" s="6"/>
    </row>
    <row r="13" spans="1:9">
      <c r="A13" s="62"/>
      <c r="B13" s="9"/>
      <c r="C13" s="10"/>
      <c r="D13" s="17"/>
      <c r="E13" s="51"/>
      <c r="F13" s="29"/>
      <c r="G13" s="24"/>
      <c r="H13" s="34"/>
      <c r="I13" s="6"/>
    </row>
    <row r="14" spans="1:9">
      <c r="A14" s="9"/>
      <c r="B14" s="9"/>
      <c r="C14" s="10"/>
      <c r="D14" s="17"/>
      <c r="E14" s="18"/>
      <c r="F14" s="29"/>
      <c r="G14" s="24"/>
      <c r="H14" s="34"/>
      <c r="I14" s="6"/>
    </row>
    <row r="15" spans="1:9">
      <c r="A15" s="9"/>
      <c r="B15" s="9"/>
      <c r="C15" s="10" t="s">
        <v>27</v>
      </c>
      <c r="D15" s="17">
        <f>17.85+2.67+2.38+2.82+1.94+2.81+62.7</f>
        <v>93.17</v>
      </c>
      <c r="E15" s="18" t="s">
        <v>37</v>
      </c>
      <c r="F15" s="29"/>
      <c r="G15" s="24"/>
      <c r="H15" s="34"/>
      <c r="I15" s="6"/>
    </row>
    <row r="16" spans="1:9">
      <c r="A16" s="9"/>
      <c r="B16" s="9"/>
      <c r="C16" s="10"/>
      <c r="D16" s="17">
        <f>72.88+91.19</f>
        <v>164.07</v>
      </c>
      <c r="E16" s="18" t="s">
        <v>207</v>
      </c>
      <c r="F16" s="29"/>
      <c r="G16" s="24"/>
      <c r="H16" s="34"/>
      <c r="I16" s="6"/>
    </row>
    <row r="17" spans="1:9">
      <c r="A17" s="9"/>
      <c r="B17" s="9"/>
      <c r="C17" s="10"/>
      <c r="D17" s="17">
        <f>98.31</f>
        <v>98.31</v>
      </c>
      <c r="E17" s="18" t="s">
        <v>257</v>
      </c>
      <c r="F17" s="29"/>
      <c r="G17" s="24"/>
      <c r="H17" s="34"/>
      <c r="I17" s="6"/>
    </row>
    <row r="18" spans="1:9">
      <c r="A18" s="9"/>
      <c r="B18" s="9"/>
      <c r="C18" s="10"/>
      <c r="D18" s="17"/>
      <c r="E18" s="18"/>
      <c r="F18" s="29"/>
      <c r="G18" s="24"/>
      <c r="H18" s="34"/>
      <c r="I18" s="6"/>
    </row>
    <row r="19" spans="1:9">
      <c r="A19" s="9"/>
      <c r="B19" s="9"/>
      <c r="C19" s="9"/>
      <c r="D19" s="17"/>
      <c r="E19" s="6"/>
      <c r="F19" s="29"/>
      <c r="G19" s="24"/>
      <c r="H19" s="35"/>
      <c r="I19" s="2"/>
    </row>
    <row r="20" spans="1:9">
      <c r="A20" s="12" t="s">
        <v>4</v>
      </c>
      <c r="B20" s="10"/>
      <c r="C20" s="10"/>
      <c r="D20" s="20">
        <f>SUM(D11:D19)</f>
        <v>517.66</v>
      </c>
      <c r="E20" s="6"/>
      <c r="F20" s="31">
        <f>SUM(F11:F19)</f>
        <v>0</v>
      </c>
      <c r="G20" s="26"/>
      <c r="H20" s="36">
        <f>SUM(H11:H19)</f>
        <v>77.349999999999994</v>
      </c>
      <c r="I20" s="2"/>
    </row>
    <row r="21" spans="1:9" ht="15.75" thickBot="1">
      <c r="A21" s="13" t="s">
        <v>5</v>
      </c>
      <c r="B21" s="39">
        <f>SUM(D20+F20+H20)</f>
        <v>595.01</v>
      </c>
      <c r="C21" s="38"/>
      <c r="D21" s="21"/>
      <c r="E21" s="22"/>
      <c r="F21" s="32"/>
      <c r="G21" s="27"/>
      <c r="H21" s="37"/>
      <c r="I21" s="3"/>
    </row>
    <row r="22" spans="1:9">
      <c r="A22" s="8" t="s">
        <v>334</v>
      </c>
      <c r="B22" s="8" t="s">
        <v>237</v>
      </c>
      <c r="C22" s="11" t="s">
        <v>26</v>
      </c>
      <c r="D22" s="29">
        <f>10.98+11.24+8.13+1.63+2.34</f>
        <v>34.32</v>
      </c>
      <c r="E22" s="40" t="s">
        <v>37</v>
      </c>
      <c r="F22" s="28"/>
      <c r="G22" s="23"/>
      <c r="H22" s="33">
        <v>224.96</v>
      </c>
      <c r="I22" s="5" t="s">
        <v>64</v>
      </c>
    </row>
    <row r="23" spans="1:9">
      <c r="A23" s="9"/>
      <c r="B23" s="9" t="s">
        <v>299</v>
      </c>
      <c r="C23" s="10"/>
      <c r="D23" s="17">
        <f>53.98+4.52+17.01+42.52+24.69+43.94</f>
        <v>186.66</v>
      </c>
      <c r="E23" s="51" t="s">
        <v>207</v>
      </c>
      <c r="F23" s="29"/>
      <c r="G23" s="24"/>
      <c r="H23" s="34">
        <v>1126.99</v>
      </c>
      <c r="I23" s="6" t="s">
        <v>54</v>
      </c>
    </row>
    <row r="24" spans="1:9">
      <c r="A24" s="9"/>
      <c r="B24" s="9"/>
      <c r="C24" s="10"/>
      <c r="D24" s="17"/>
      <c r="E24" s="51"/>
      <c r="F24" s="29"/>
      <c r="G24" s="24"/>
      <c r="H24" s="34"/>
      <c r="I24" s="6"/>
    </row>
    <row r="25" spans="1:9">
      <c r="A25" s="9"/>
      <c r="B25" s="9"/>
      <c r="C25" s="10"/>
      <c r="D25" s="17"/>
      <c r="E25" s="51"/>
      <c r="F25" s="29"/>
      <c r="G25" s="24"/>
      <c r="H25" s="34"/>
      <c r="I25" s="6"/>
    </row>
    <row r="26" spans="1:9">
      <c r="A26" s="9"/>
      <c r="B26" s="9"/>
      <c r="C26" s="10" t="s">
        <v>161</v>
      </c>
      <c r="D26" s="17">
        <f>90+93.8+104.82</f>
        <v>288.62</v>
      </c>
      <c r="E26" s="51" t="s">
        <v>37</v>
      </c>
      <c r="F26" s="29">
        <v>10.85</v>
      </c>
      <c r="G26" s="24" t="s">
        <v>107</v>
      </c>
      <c r="H26" s="34">
        <v>1366.86</v>
      </c>
      <c r="I26" s="6" t="s">
        <v>131</v>
      </c>
    </row>
    <row r="27" spans="1:9">
      <c r="A27" s="10"/>
      <c r="B27" s="14"/>
      <c r="C27" s="10"/>
      <c r="D27" s="19">
        <f>19+2.81+5.61</f>
        <v>27.419999999999998</v>
      </c>
      <c r="E27" s="6" t="s">
        <v>207</v>
      </c>
      <c r="F27" s="30"/>
      <c r="G27" s="25"/>
      <c r="H27" s="35">
        <v>1314.82</v>
      </c>
      <c r="I27" s="6" t="s">
        <v>54</v>
      </c>
    </row>
    <row r="28" spans="1:9">
      <c r="A28" s="10"/>
      <c r="B28" s="14"/>
      <c r="C28" s="10"/>
      <c r="D28" s="19">
        <v>127.64</v>
      </c>
      <c r="E28" s="6" t="s">
        <v>257</v>
      </c>
      <c r="F28" s="30"/>
      <c r="G28" s="25"/>
      <c r="H28" s="35">
        <v>282.92</v>
      </c>
      <c r="I28" s="6" t="s">
        <v>64</v>
      </c>
    </row>
    <row r="29" spans="1:9">
      <c r="A29" s="10"/>
      <c r="B29" s="14"/>
      <c r="C29" s="9"/>
      <c r="D29" s="19"/>
      <c r="E29" s="6"/>
      <c r="F29" s="30"/>
      <c r="G29" s="25"/>
      <c r="H29" s="35"/>
      <c r="I29" s="2"/>
    </row>
    <row r="30" spans="1:9">
      <c r="A30" s="12" t="s">
        <v>4</v>
      </c>
      <c r="B30" s="10"/>
      <c r="C30" s="10"/>
      <c r="D30" s="20">
        <f>SUM(D22:D29)</f>
        <v>664.66</v>
      </c>
      <c r="E30" s="6"/>
      <c r="F30" s="31">
        <f>SUM(F22:F29)</f>
        <v>10.85</v>
      </c>
      <c r="G30" s="26"/>
      <c r="H30" s="36">
        <f>SUM(H22:H29)</f>
        <v>4316.55</v>
      </c>
      <c r="I30" s="2"/>
    </row>
    <row r="31" spans="1:9" ht="15.75" thickBot="1">
      <c r="A31" s="13" t="s">
        <v>5</v>
      </c>
      <c r="B31" s="39">
        <f>SUM(D30+F30+H30)</f>
        <v>4992.0600000000004</v>
      </c>
      <c r="C31" s="38"/>
      <c r="D31" s="21"/>
      <c r="E31" s="22"/>
      <c r="F31" s="32"/>
      <c r="G31" s="27"/>
      <c r="H31" s="37"/>
      <c r="I31" s="3"/>
    </row>
    <row r="32" spans="1:9">
      <c r="A32" s="53" t="s">
        <v>337</v>
      </c>
      <c r="B32" s="8" t="s">
        <v>310</v>
      </c>
      <c r="C32" s="77" t="s">
        <v>339</v>
      </c>
      <c r="D32" s="71">
        <f>22.3+18.58+29.76+26.39</f>
        <v>97.03</v>
      </c>
      <c r="E32" s="78" t="s">
        <v>37</v>
      </c>
      <c r="F32" s="71">
        <f>23.58+23.58</f>
        <v>47.16</v>
      </c>
      <c r="G32" s="67" t="s">
        <v>61</v>
      </c>
      <c r="H32" s="35">
        <f>930.54+347.82</f>
        <v>1278.3599999999999</v>
      </c>
      <c r="I32" s="2" t="s">
        <v>54</v>
      </c>
    </row>
    <row r="33" spans="1:9">
      <c r="A33" s="62"/>
      <c r="B33" s="9" t="s">
        <v>338</v>
      </c>
      <c r="C33" s="77"/>
      <c r="D33" s="71">
        <f>47.07+8+14.51+3.44+11.04</f>
        <v>84.06</v>
      </c>
      <c r="E33" s="78" t="s">
        <v>207</v>
      </c>
      <c r="F33" s="71">
        <v>4.2</v>
      </c>
      <c r="G33" s="75" t="s">
        <v>107</v>
      </c>
      <c r="H33" s="35">
        <f>1124.92+497.63+522.19+2566.85+235.2</f>
        <v>4946.79</v>
      </c>
      <c r="I33" s="2" t="s">
        <v>131</v>
      </c>
    </row>
    <row r="34" spans="1:9">
      <c r="A34" s="62"/>
      <c r="B34" s="9" t="s">
        <v>348</v>
      </c>
      <c r="C34" s="77"/>
      <c r="D34" s="71">
        <v>29.71</v>
      </c>
      <c r="E34" s="78" t="s">
        <v>257</v>
      </c>
      <c r="F34" s="71">
        <v>100</v>
      </c>
      <c r="G34" s="75" t="s">
        <v>44</v>
      </c>
      <c r="H34" s="35"/>
      <c r="I34" s="2"/>
    </row>
    <row r="35" spans="1:9">
      <c r="A35" s="62"/>
      <c r="B35" s="9"/>
      <c r="C35" s="77"/>
      <c r="D35" s="71"/>
      <c r="E35" s="78"/>
      <c r="F35" s="71">
        <v>15</v>
      </c>
      <c r="G35" s="75" t="s">
        <v>262</v>
      </c>
      <c r="H35" s="35"/>
      <c r="I35" s="2"/>
    </row>
    <row r="36" spans="1:9">
      <c r="A36" s="62"/>
      <c r="B36" s="9"/>
      <c r="C36" s="77"/>
      <c r="D36" s="71"/>
      <c r="E36" s="78"/>
      <c r="F36" s="71"/>
      <c r="G36" s="75"/>
      <c r="H36" s="35"/>
      <c r="I36" s="2"/>
    </row>
    <row r="37" spans="1:9">
      <c r="A37" s="12" t="s">
        <v>4</v>
      </c>
      <c r="B37" s="10"/>
      <c r="C37" s="10"/>
      <c r="D37" s="20">
        <f>SUM(D32:D34)</f>
        <v>210.8</v>
      </c>
      <c r="E37" s="6"/>
      <c r="F37" s="31">
        <f>SUM(F32:F34)</f>
        <v>151.36000000000001</v>
      </c>
      <c r="G37" s="26"/>
      <c r="H37" s="36">
        <f>SUM(H32:H34)</f>
        <v>6225.15</v>
      </c>
      <c r="I37" s="2"/>
    </row>
    <row r="38" spans="1:9" ht="15.75" thickBot="1">
      <c r="A38" s="13" t="s">
        <v>5</v>
      </c>
      <c r="B38" s="39">
        <f>SUM(D37+F37+H37)</f>
        <v>6587.3099999999995</v>
      </c>
      <c r="C38" s="38"/>
      <c r="D38" s="21"/>
      <c r="E38" s="22"/>
      <c r="F38" s="32"/>
      <c r="G38" s="27"/>
      <c r="H38" s="37"/>
      <c r="I38" s="3"/>
    </row>
    <row r="39" spans="1:9">
      <c r="A39" s="53" t="s">
        <v>345</v>
      </c>
      <c r="B39" s="8" t="s">
        <v>292</v>
      </c>
      <c r="C39" s="77" t="s">
        <v>18</v>
      </c>
      <c r="D39" s="71">
        <f>13.61+4.54+68.14+20.74+10.88+11.28+10.7+180</f>
        <v>319.89</v>
      </c>
      <c r="E39" s="78" t="s">
        <v>37</v>
      </c>
      <c r="F39" s="71">
        <f>30.96</f>
        <v>30.96</v>
      </c>
      <c r="G39" s="67" t="s">
        <v>61</v>
      </c>
      <c r="H39" s="35">
        <f>1376.92+232.56+832.74</f>
        <v>2442.2200000000003</v>
      </c>
      <c r="I39" s="2" t="s">
        <v>131</v>
      </c>
    </row>
    <row r="40" spans="1:9">
      <c r="A40" s="62"/>
      <c r="B40" s="9" t="s">
        <v>346</v>
      </c>
      <c r="C40" s="77"/>
      <c r="D40" s="71">
        <f>95.55+117.04+56.89+16.21+5.8+78.82+24.37+162.02+4.75+15.92+3.1</f>
        <v>580.47</v>
      </c>
      <c r="E40" s="78" t="s">
        <v>207</v>
      </c>
      <c r="F40" s="71">
        <f>12.08</f>
        <v>12.08</v>
      </c>
      <c r="G40" s="75" t="s">
        <v>44</v>
      </c>
      <c r="H40" s="35">
        <f>281.1+414.63+356.76</f>
        <v>1052.49</v>
      </c>
      <c r="I40" s="2" t="s">
        <v>54</v>
      </c>
    </row>
    <row r="41" spans="1:9">
      <c r="A41" s="62"/>
      <c r="B41" s="9"/>
      <c r="C41" s="77"/>
      <c r="D41" s="71"/>
      <c r="E41" s="78"/>
      <c r="F41" s="71"/>
      <c r="G41" s="75"/>
      <c r="H41" s="35">
        <f>122.78+30.31</f>
        <v>153.09</v>
      </c>
      <c r="I41" s="2" t="s">
        <v>64</v>
      </c>
    </row>
    <row r="42" spans="1:9">
      <c r="A42" s="9"/>
      <c r="B42" s="9"/>
      <c r="C42" s="10"/>
      <c r="D42" s="17"/>
      <c r="E42" s="18"/>
      <c r="F42" s="29"/>
      <c r="G42" s="24"/>
      <c r="H42" s="34"/>
      <c r="I42" s="6"/>
    </row>
    <row r="43" spans="1:9">
      <c r="A43" s="9"/>
      <c r="B43" s="9"/>
      <c r="C43" s="10" t="s">
        <v>21</v>
      </c>
      <c r="D43" s="17">
        <f>197.25+54.76+52.88+195.72+59.49+221.88</f>
        <v>781.98</v>
      </c>
      <c r="E43" s="18" t="s">
        <v>207</v>
      </c>
      <c r="F43" s="29">
        <v>27.29</v>
      </c>
      <c r="G43" s="24" t="s">
        <v>61</v>
      </c>
      <c r="H43" s="34">
        <f>407.88+151+832.74</f>
        <v>1391.62</v>
      </c>
      <c r="I43" s="6" t="s">
        <v>131</v>
      </c>
    </row>
    <row r="44" spans="1:9">
      <c r="A44" s="9"/>
      <c r="B44" s="9"/>
      <c r="C44" s="10"/>
      <c r="D44" s="17">
        <f>14.98+173.84+9.07+7.57+113.83+14.98</f>
        <v>334.27</v>
      </c>
      <c r="E44" s="18" t="s">
        <v>37</v>
      </c>
      <c r="F44" s="29"/>
      <c r="G44" s="24"/>
      <c r="H44" s="34">
        <f>424.77+133.41+820.6</f>
        <v>1378.78</v>
      </c>
      <c r="I44" s="6" t="s">
        <v>54</v>
      </c>
    </row>
    <row r="45" spans="1:9">
      <c r="A45" s="9"/>
      <c r="B45" s="9"/>
      <c r="C45" s="10"/>
      <c r="D45" s="17">
        <v>531.58000000000004</v>
      </c>
      <c r="E45" s="18" t="s">
        <v>494</v>
      </c>
      <c r="F45" s="29"/>
      <c r="G45" s="24"/>
      <c r="H45" s="34">
        <f>81.57+121</f>
        <v>202.57</v>
      </c>
      <c r="I45" s="6" t="s">
        <v>64</v>
      </c>
    </row>
    <row r="46" spans="1:9">
      <c r="A46" s="9"/>
      <c r="B46" s="9"/>
      <c r="C46" s="10"/>
      <c r="D46" s="17"/>
      <c r="E46" s="18"/>
      <c r="F46" s="29"/>
      <c r="G46" s="24"/>
      <c r="H46" s="35"/>
      <c r="I46" s="2"/>
    </row>
    <row r="47" spans="1:9">
      <c r="A47" s="9"/>
      <c r="B47" s="9"/>
      <c r="C47" s="10"/>
      <c r="D47" s="17"/>
      <c r="E47" s="18"/>
      <c r="F47" s="29"/>
      <c r="G47" s="24"/>
      <c r="H47" s="34"/>
      <c r="I47" s="2"/>
    </row>
    <row r="48" spans="1:9">
      <c r="A48" s="10"/>
      <c r="B48" s="14"/>
      <c r="C48" s="9"/>
      <c r="D48" s="17"/>
      <c r="E48" s="18"/>
      <c r="F48" s="30"/>
      <c r="G48" s="25"/>
      <c r="H48" s="34"/>
      <c r="I48" s="2"/>
    </row>
    <row r="49" spans="1:13">
      <c r="A49" s="12" t="s">
        <v>4</v>
      </c>
      <c r="B49" s="10"/>
      <c r="C49" s="10"/>
      <c r="D49" s="20">
        <f>SUM(D39:D48)</f>
        <v>2548.19</v>
      </c>
      <c r="E49" s="6"/>
      <c r="F49" s="31">
        <f>SUM(F39:F48)</f>
        <v>70.33</v>
      </c>
      <c r="G49" s="26"/>
      <c r="H49" s="36">
        <f>SUM(H39:H48)</f>
        <v>6620.7699999999995</v>
      </c>
      <c r="I49" s="2"/>
    </row>
    <row r="50" spans="1:13" ht="15.75" thickBot="1">
      <c r="A50" s="13" t="s">
        <v>5</v>
      </c>
      <c r="B50" s="39">
        <f>SUM(D49+F49+H49)</f>
        <v>9239.2899999999991</v>
      </c>
      <c r="C50" s="38"/>
      <c r="D50" s="21"/>
      <c r="E50" s="22"/>
      <c r="F50" s="32"/>
      <c r="G50" s="27"/>
      <c r="H50" s="37"/>
      <c r="I50" s="3"/>
    </row>
    <row r="51" spans="1:13">
      <c r="A51" s="8" t="s">
        <v>340</v>
      </c>
      <c r="B51" s="8" t="s">
        <v>252</v>
      </c>
      <c r="C51" s="11" t="s">
        <v>30</v>
      </c>
      <c r="D51" s="15">
        <f>70.1+89.8+55</f>
        <v>214.89999999999998</v>
      </c>
      <c r="E51" s="40" t="s">
        <v>207</v>
      </c>
      <c r="F51" s="28">
        <f>7.01+7.01</f>
        <v>14.02</v>
      </c>
      <c r="G51" s="23" t="s">
        <v>61</v>
      </c>
      <c r="H51" s="33">
        <v>300.11</v>
      </c>
      <c r="I51" s="5" t="s">
        <v>131</v>
      </c>
    </row>
    <row r="52" spans="1:13">
      <c r="A52" s="9"/>
      <c r="B52" s="9" t="s">
        <v>341</v>
      </c>
      <c r="C52" s="10"/>
      <c r="D52" s="17"/>
      <c r="E52" s="51"/>
      <c r="F52" s="29">
        <v>52</v>
      </c>
      <c r="G52" s="24" t="s">
        <v>44</v>
      </c>
      <c r="H52" s="34">
        <v>1312.76</v>
      </c>
      <c r="I52" s="6" t="s">
        <v>349</v>
      </c>
    </row>
    <row r="53" spans="1:13">
      <c r="A53" s="9"/>
      <c r="B53" s="9"/>
      <c r="C53" s="10"/>
      <c r="D53" s="17"/>
      <c r="E53" s="51"/>
      <c r="F53" s="29">
        <v>38</v>
      </c>
      <c r="G53" s="24" t="s">
        <v>45</v>
      </c>
      <c r="H53" s="34"/>
      <c r="I53" s="6"/>
    </row>
    <row r="54" spans="1:13">
      <c r="A54" s="9"/>
      <c r="B54" s="9"/>
      <c r="C54" s="10"/>
      <c r="D54" s="17"/>
      <c r="E54" s="51"/>
      <c r="F54" s="29"/>
      <c r="G54" s="24"/>
      <c r="H54" s="34"/>
      <c r="I54" s="6"/>
    </row>
    <row r="55" spans="1:13">
      <c r="A55" s="9"/>
      <c r="B55" s="9"/>
      <c r="C55" s="10" t="s">
        <v>111</v>
      </c>
      <c r="D55" s="17"/>
      <c r="E55" s="51"/>
      <c r="F55" s="29">
        <v>52</v>
      </c>
      <c r="G55" s="24" t="s">
        <v>44</v>
      </c>
      <c r="H55" s="34">
        <f>300.11+590.11</f>
        <v>890.22</v>
      </c>
      <c r="I55" s="6" t="s">
        <v>131</v>
      </c>
    </row>
    <row r="56" spans="1:13">
      <c r="A56" s="10"/>
      <c r="B56" s="14"/>
      <c r="C56" s="10"/>
      <c r="D56" s="19"/>
      <c r="E56" s="6"/>
      <c r="F56" s="30"/>
      <c r="G56" s="25"/>
      <c r="H56" s="34"/>
      <c r="I56" s="6"/>
    </row>
    <row r="57" spans="1:13">
      <c r="A57" s="12" t="s">
        <v>4</v>
      </c>
      <c r="B57" s="10"/>
      <c r="C57" s="10"/>
      <c r="D57" s="20">
        <f>SUM(D51:D56)</f>
        <v>214.89999999999998</v>
      </c>
      <c r="E57" s="6"/>
      <c r="F57" s="31">
        <f>SUM(F51:F56)</f>
        <v>156.01999999999998</v>
      </c>
      <c r="G57" s="26"/>
      <c r="H57" s="36">
        <f>SUM(H51:H56)</f>
        <v>2503.09</v>
      </c>
      <c r="I57" s="2"/>
    </row>
    <row r="58" spans="1:13" ht="15.75" thickBot="1">
      <c r="A58" s="13" t="s">
        <v>5</v>
      </c>
      <c r="B58" s="39">
        <f>SUM(D57+F57+H57)</f>
        <v>2874.01</v>
      </c>
      <c r="C58" s="38"/>
      <c r="D58" s="21"/>
      <c r="E58" s="22"/>
      <c r="F58" s="32"/>
      <c r="G58" s="27"/>
      <c r="H58" s="37"/>
      <c r="I58" s="3"/>
    </row>
    <row r="59" spans="1:13" ht="15.75" thickBot="1"/>
    <row r="60" spans="1:13" ht="20.25" thickBot="1">
      <c r="A60" s="41" t="s">
        <v>10</v>
      </c>
      <c r="B60" s="42">
        <f>SUM(B10,B21,B31,B38,B50,B58)</f>
        <v>27704.46</v>
      </c>
    </row>
    <row r="62" spans="1:13">
      <c r="A62" s="45"/>
      <c r="B62" s="43"/>
      <c r="C62" s="43"/>
      <c r="D62" s="47"/>
      <c r="E62" s="47"/>
      <c r="F62" s="46"/>
      <c r="G62" s="48"/>
      <c r="H62" s="43"/>
      <c r="I62" s="46"/>
      <c r="J62" s="49"/>
      <c r="K62" s="50"/>
      <c r="L62" s="50"/>
      <c r="M62" s="50"/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4"/>
  <sheetViews>
    <sheetView topLeftCell="A94" workbookViewId="0">
      <selection activeCell="H127" sqref="H127"/>
    </sheetView>
  </sheetViews>
  <sheetFormatPr defaultRowHeight="15"/>
  <cols>
    <col min="1" max="1" width="17.7109375" customWidth="1"/>
    <col min="2" max="2" width="39.710937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4.7109375" customWidth="1"/>
    <col min="8" max="8" width="19.28515625" customWidth="1"/>
    <col min="9" max="9" width="33.28515625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95" t="s">
        <v>7</v>
      </c>
      <c r="E1" s="96"/>
      <c r="F1" s="97" t="s">
        <v>6</v>
      </c>
      <c r="G1" s="98"/>
      <c r="H1" s="97" t="s">
        <v>3</v>
      </c>
      <c r="I1" s="98"/>
    </row>
    <row r="2" spans="1:9">
      <c r="A2" s="8" t="s">
        <v>363</v>
      </c>
      <c r="B2" s="8" t="s">
        <v>292</v>
      </c>
      <c r="C2" s="11" t="s">
        <v>13</v>
      </c>
      <c r="D2" s="15">
        <f>15.19</f>
        <v>15.19</v>
      </c>
      <c r="E2" s="40" t="s">
        <v>37</v>
      </c>
      <c r="F2" s="28">
        <f>11</f>
        <v>11</v>
      </c>
      <c r="G2" s="23" t="s">
        <v>159</v>
      </c>
      <c r="H2" s="33">
        <v>236.06</v>
      </c>
      <c r="I2" s="5" t="s">
        <v>64</v>
      </c>
    </row>
    <row r="3" spans="1:9">
      <c r="A3" s="9"/>
      <c r="B3" s="9" t="s">
        <v>364</v>
      </c>
      <c r="C3" s="10"/>
      <c r="D3" s="17">
        <f>29.65+173.79</f>
        <v>203.44</v>
      </c>
      <c r="E3" s="51" t="s">
        <v>207</v>
      </c>
      <c r="F3" s="29"/>
      <c r="G3" s="24"/>
      <c r="H3" s="34">
        <v>364.71</v>
      </c>
      <c r="I3" s="6" t="s">
        <v>54</v>
      </c>
    </row>
    <row r="4" spans="1:9">
      <c r="A4" s="9"/>
      <c r="B4" s="9"/>
      <c r="C4" s="10"/>
      <c r="D4" s="17">
        <v>11.5</v>
      </c>
      <c r="E4" s="18" t="s">
        <v>257</v>
      </c>
      <c r="F4" s="29"/>
      <c r="G4" s="24"/>
      <c r="H4" s="34">
        <v>667.29</v>
      </c>
      <c r="I4" s="6" t="s">
        <v>131</v>
      </c>
    </row>
    <row r="5" spans="1:9">
      <c r="A5" s="9"/>
      <c r="B5" s="9"/>
      <c r="C5" s="10"/>
      <c r="D5" s="17"/>
      <c r="E5" s="51"/>
      <c r="F5" s="29"/>
      <c r="G5" s="24"/>
      <c r="H5" s="34"/>
      <c r="I5" s="6"/>
    </row>
    <row r="6" spans="1:9">
      <c r="A6" s="9"/>
      <c r="B6" s="9"/>
      <c r="C6" s="10" t="s">
        <v>11</v>
      </c>
      <c r="D6" s="17">
        <v>4.5</v>
      </c>
      <c r="E6" s="6" t="s">
        <v>257</v>
      </c>
      <c r="F6" s="17">
        <v>5.9</v>
      </c>
      <c r="G6" s="6" t="s">
        <v>61</v>
      </c>
      <c r="H6" s="35">
        <v>364.71</v>
      </c>
      <c r="I6" s="2" t="s">
        <v>54</v>
      </c>
    </row>
    <row r="7" spans="1:9">
      <c r="A7" s="10"/>
      <c r="B7" s="14"/>
      <c r="C7" s="10"/>
      <c r="D7" s="19"/>
      <c r="E7" s="6"/>
      <c r="F7" s="30"/>
      <c r="G7" s="25"/>
      <c r="H7" s="35">
        <v>667.29</v>
      </c>
      <c r="I7" s="2" t="s">
        <v>131</v>
      </c>
    </row>
    <row r="8" spans="1:9">
      <c r="A8" s="10"/>
      <c r="B8" s="14"/>
      <c r="C8" s="10"/>
      <c r="D8" s="19"/>
      <c r="E8" s="6"/>
      <c r="F8" s="30"/>
      <c r="G8" s="25"/>
      <c r="H8" s="35"/>
      <c r="I8" s="2"/>
    </row>
    <row r="9" spans="1:9">
      <c r="A9" s="10"/>
      <c r="B9" s="14"/>
      <c r="C9" s="10" t="s">
        <v>30</v>
      </c>
      <c r="D9" s="19"/>
      <c r="E9" s="6"/>
      <c r="F9" s="30"/>
      <c r="G9" s="25"/>
      <c r="H9" s="35">
        <v>364.71</v>
      </c>
      <c r="I9" s="2" t="s">
        <v>54</v>
      </c>
    </row>
    <row r="10" spans="1:9">
      <c r="A10" s="10"/>
      <c r="B10" s="14"/>
      <c r="C10" s="10"/>
      <c r="D10" s="19"/>
      <c r="E10" s="6"/>
      <c r="F10" s="30"/>
      <c r="G10" s="25"/>
      <c r="H10" s="35">
        <v>667.29</v>
      </c>
      <c r="I10" s="2" t="s">
        <v>131</v>
      </c>
    </row>
    <row r="11" spans="1:9">
      <c r="A11" s="10"/>
      <c r="B11" s="14"/>
      <c r="C11" s="9"/>
      <c r="D11" s="19"/>
      <c r="E11" s="6"/>
      <c r="F11" s="30"/>
      <c r="G11" s="25"/>
      <c r="H11" s="34"/>
      <c r="I11" s="2"/>
    </row>
    <row r="12" spans="1:9">
      <c r="A12" s="12" t="s">
        <v>4</v>
      </c>
      <c r="B12" s="10"/>
      <c r="C12" s="10"/>
      <c r="D12" s="20">
        <f>SUM(D2:D11)</f>
        <v>234.63</v>
      </c>
      <c r="E12" s="6"/>
      <c r="F12" s="31">
        <f>SUM(F2:F11)</f>
        <v>16.899999999999999</v>
      </c>
      <c r="G12" s="26"/>
      <c r="H12" s="36">
        <f>SUM(H2:H11)</f>
        <v>3332.06</v>
      </c>
      <c r="I12" s="2"/>
    </row>
    <row r="13" spans="1:9" ht="15.75" thickBot="1">
      <c r="A13" s="13" t="s">
        <v>5</v>
      </c>
      <c r="B13" s="39">
        <f>SUM(D12+F12+H12)</f>
        <v>3583.59</v>
      </c>
      <c r="C13" s="38"/>
      <c r="D13" s="21"/>
      <c r="E13" s="22"/>
      <c r="F13" s="32"/>
      <c r="G13" s="27"/>
      <c r="H13" s="37"/>
      <c r="I13" s="3"/>
    </row>
    <row r="14" spans="1:9">
      <c r="A14" s="8" t="s">
        <v>379</v>
      </c>
      <c r="B14" s="8" t="s">
        <v>292</v>
      </c>
      <c r="C14" s="11" t="s">
        <v>11</v>
      </c>
      <c r="D14" s="15">
        <v>19.3</v>
      </c>
      <c r="E14" s="40" t="s">
        <v>37</v>
      </c>
      <c r="F14" s="28">
        <v>149</v>
      </c>
      <c r="G14" s="23" t="s">
        <v>159</v>
      </c>
      <c r="H14" s="33">
        <f>224.78</f>
        <v>224.78</v>
      </c>
      <c r="I14" s="5" t="s">
        <v>54</v>
      </c>
    </row>
    <row r="15" spans="1:9">
      <c r="A15" s="9"/>
      <c r="B15" s="9" t="s">
        <v>267</v>
      </c>
      <c r="C15" s="10"/>
      <c r="D15" s="17">
        <f>41.41+13.8</f>
        <v>55.209999999999994</v>
      </c>
      <c r="E15" s="51" t="s">
        <v>207</v>
      </c>
      <c r="F15" s="29">
        <f>52+13.8</f>
        <v>65.8</v>
      </c>
      <c r="G15" s="24" t="s">
        <v>44</v>
      </c>
      <c r="H15" s="34">
        <v>506.7</v>
      </c>
      <c r="I15" s="6" t="s">
        <v>131</v>
      </c>
    </row>
    <row r="16" spans="1:9">
      <c r="A16" s="9"/>
      <c r="B16" s="9"/>
      <c r="C16" s="10"/>
      <c r="D16" s="17">
        <v>97.45</v>
      </c>
      <c r="E16" s="18" t="s">
        <v>257</v>
      </c>
      <c r="F16" s="29">
        <v>20.2</v>
      </c>
      <c r="G16" s="24" t="s">
        <v>61</v>
      </c>
      <c r="H16" s="34"/>
      <c r="I16" s="6"/>
    </row>
    <row r="17" spans="1:9">
      <c r="A17" s="9"/>
      <c r="B17" s="9"/>
      <c r="C17" s="10"/>
      <c r="D17" s="17"/>
      <c r="E17" s="51"/>
      <c r="F17" s="29"/>
      <c r="G17" s="24"/>
      <c r="H17" s="34"/>
      <c r="I17" s="6"/>
    </row>
    <row r="18" spans="1:9">
      <c r="A18" s="9"/>
      <c r="B18" s="9"/>
      <c r="C18" s="10"/>
      <c r="D18" s="17"/>
      <c r="E18" s="6"/>
      <c r="F18" s="17"/>
      <c r="G18" s="6"/>
      <c r="H18" s="35"/>
      <c r="I18" s="2"/>
    </row>
    <row r="19" spans="1:9">
      <c r="A19" s="10"/>
      <c r="B19" s="14"/>
      <c r="C19" s="10"/>
      <c r="D19" s="19"/>
      <c r="E19" s="6"/>
      <c r="F19" s="30"/>
      <c r="G19" s="25"/>
      <c r="H19" s="35"/>
      <c r="I19" s="2"/>
    </row>
    <row r="20" spans="1:9">
      <c r="A20" s="10"/>
      <c r="B20" s="14"/>
      <c r="C20" s="9"/>
      <c r="D20" s="19"/>
      <c r="E20" s="6"/>
      <c r="F20" s="30"/>
      <c r="G20" s="25"/>
      <c r="H20" s="34"/>
      <c r="I20" s="2"/>
    </row>
    <row r="21" spans="1:9">
      <c r="A21" s="12" t="s">
        <v>4</v>
      </c>
      <c r="B21" s="10"/>
      <c r="C21" s="10"/>
      <c r="D21" s="20">
        <f>SUM(D14:D20)</f>
        <v>171.95999999999998</v>
      </c>
      <c r="E21" s="6"/>
      <c r="F21" s="31">
        <f>SUM(F14:F20)</f>
        <v>235</v>
      </c>
      <c r="G21" s="26"/>
      <c r="H21" s="36">
        <f>SUM(H14:H20)</f>
        <v>731.48</v>
      </c>
      <c r="I21" s="2"/>
    </row>
    <row r="22" spans="1:9" ht="15.75" thickBot="1">
      <c r="A22" s="13" t="s">
        <v>5</v>
      </c>
      <c r="B22" s="39">
        <f>SUM(D21+F21+H21)</f>
        <v>1138.44</v>
      </c>
      <c r="C22" s="38"/>
      <c r="D22" s="21"/>
      <c r="E22" s="22"/>
      <c r="F22" s="32"/>
      <c r="G22" s="27"/>
      <c r="H22" s="37"/>
      <c r="I22" s="3"/>
    </row>
    <row r="23" spans="1:9">
      <c r="A23" s="8" t="s">
        <v>386</v>
      </c>
      <c r="B23" s="8" t="s">
        <v>385</v>
      </c>
      <c r="C23" s="11" t="s">
        <v>71</v>
      </c>
      <c r="D23" s="15">
        <f>90</f>
        <v>90</v>
      </c>
      <c r="E23" s="40" t="s">
        <v>37</v>
      </c>
      <c r="F23" s="28"/>
      <c r="G23" s="23"/>
      <c r="H23" s="33">
        <v>418.27</v>
      </c>
      <c r="I23" s="5" t="s">
        <v>64</v>
      </c>
    </row>
    <row r="24" spans="1:9">
      <c r="A24" s="9"/>
      <c r="B24" s="9" t="s">
        <v>230</v>
      </c>
      <c r="C24" s="10"/>
      <c r="D24" s="17">
        <f>8.5+724.76</f>
        <v>733.26</v>
      </c>
      <c r="E24" s="51" t="s">
        <v>207</v>
      </c>
      <c r="F24" s="29"/>
      <c r="G24" s="24"/>
      <c r="H24" s="34">
        <v>1350.27</v>
      </c>
      <c r="I24" s="6" t="s">
        <v>54</v>
      </c>
    </row>
    <row r="25" spans="1:9">
      <c r="A25" s="9"/>
      <c r="B25" s="9"/>
      <c r="C25" s="10"/>
      <c r="D25" s="17">
        <f>10</f>
        <v>10</v>
      </c>
      <c r="E25" s="18" t="s">
        <v>257</v>
      </c>
      <c r="F25" s="29"/>
      <c r="G25" s="24"/>
      <c r="H25" s="34">
        <v>1482.08</v>
      </c>
      <c r="I25" s="6" t="s">
        <v>131</v>
      </c>
    </row>
    <row r="26" spans="1:9">
      <c r="A26" s="9"/>
      <c r="B26" s="9"/>
      <c r="C26" s="10"/>
      <c r="D26" s="17"/>
      <c r="E26" s="51"/>
      <c r="F26" s="29"/>
      <c r="G26" s="24"/>
      <c r="H26" s="34"/>
      <c r="I26" s="6"/>
    </row>
    <row r="27" spans="1:9">
      <c r="A27" s="9"/>
      <c r="B27" s="9"/>
      <c r="C27" s="10" t="s">
        <v>21</v>
      </c>
      <c r="D27" s="17">
        <f>101.76</f>
        <v>101.76</v>
      </c>
      <c r="E27" s="6" t="s">
        <v>207</v>
      </c>
      <c r="F27" s="17">
        <f>200.02</f>
        <v>200.02</v>
      </c>
      <c r="G27" s="6" t="s">
        <v>452</v>
      </c>
      <c r="H27" s="35">
        <f>580.06+355</f>
        <v>935.06</v>
      </c>
      <c r="I27" s="2" t="s">
        <v>131</v>
      </c>
    </row>
    <row r="28" spans="1:9">
      <c r="A28" s="10"/>
      <c r="B28" s="14"/>
      <c r="C28" s="10"/>
      <c r="D28" s="19">
        <f>113.25+22+12.03</f>
        <v>147.28</v>
      </c>
      <c r="E28" s="6" t="s">
        <v>37</v>
      </c>
      <c r="F28" s="30">
        <f>27.98</f>
        <v>27.98</v>
      </c>
      <c r="G28" s="25" t="s">
        <v>61</v>
      </c>
      <c r="H28" s="35">
        <v>1179.96</v>
      </c>
      <c r="I28" s="2" t="s">
        <v>395</v>
      </c>
    </row>
    <row r="29" spans="1:9">
      <c r="A29" s="10"/>
      <c r="B29" s="14"/>
      <c r="C29" s="10"/>
      <c r="D29" s="19"/>
      <c r="E29" s="6"/>
      <c r="F29" s="30"/>
      <c r="G29" s="25"/>
      <c r="H29" s="35">
        <f>3.29</f>
        <v>3.29</v>
      </c>
      <c r="I29" s="2" t="s">
        <v>64</v>
      </c>
    </row>
    <row r="30" spans="1:9">
      <c r="A30" s="10"/>
      <c r="B30" s="14"/>
      <c r="C30" s="9"/>
      <c r="D30" s="19"/>
      <c r="E30" s="6"/>
      <c r="F30" s="30"/>
      <c r="G30" s="25"/>
      <c r="H30" s="34"/>
      <c r="I30" s="2"/>
    </row>
    <row r="31" spans="1:9">
      <c r="A31" s="12" t="s">
        <v>4</v>
      </c>
      <c r="B31" s="10"/>
      <c r="C31" s="10"/>
      <c r="D31" s="20">
        <f>SUM(D23:D30)</f>
        <v>1082.3</v>
      </c>
      <c r="E31" s="6"/>
      <c r="F31" s="31">
        <f>SUM(F23:F30)</f>
        <v>228</v>
      </c>
      <c r="G31" s="26"/>
      <c r="H31" s="36">
        <f>SUM(H23:H30)</f>
        <v>5368.93</v>
      </c>
      <c r="I31" s="2"/>
    </row>
    <row r="32" spans="1:9" ht="15.75" thickBot="1">
      <c r="A32" s="13" t="s">
        <v>5</v>
      </c>
      <c r="B32" s="39">
        <f>SUM(D31+F31+H31)</f>
        <v>6679.2300000000005</v>
      </c>
      <c r="C32" s="38"/>
      <c r="D32" s="21"/>
      <c r="E32" s="22"/>
      <c r="F32" s="32"/>
      <c r="G32" s="27"/>
      <c r="H32" s="37"/>
      <c r="I32" s="3"/>
    </row>
    <row r="33" spans="1:9">
      <c r="A33" s="8" t="s">
        <v>369</v>
      </c>
      <c r="B33" s="8" t="s">
        <v>252</v>
      </c>
      <c r="C33" s="11" t="s">
        <v>27</v>
      </c>
      <c r="D33" s="15">
        <f>48.7</f>
        <v>48.7</v>
      </c>
      <c r="E33" s="40" t="s">
        <v>37</v>
      </c>
      <c r="F33" s="28"/>
      <c r="G33" s="23"/>
      <c r="H33" s="33">
        <f>49.32+12.58</f>
        <v>61.9</v>
      </c>
      <c r="I33" s="5" t="s">
        <v>64</v>
      </c>
    </row>
    <row r="34" spans="1:9">
      <c r="A34" s="9"/>
      <c r="B34" s="9" t="s">
        <v>370</v>
      </c>
      <c r="C34" s="10"/>
      <c r="D34" s="17">
        <f>62.63</f>
        <v>62.63</v>
      </c>
      <c r="E34" s="51" t="s">
        <v>207</v>
      </c>
      <c r="F34" s="29"/>
      <c r="G34" s="24"/>
      <c r="H34" s="34">
        <v>306.62</v>
      </c>
      <c r="I34" s="6" t="s">
        <v>131</v>
      </c>
    </row>
    <row r="35" spans="1:9">
      <c r="A35" s="9"/>
      <c r="B35" s="9"/>
      <c r="C35" s="10"/>
      <c r="D35" s="17">
        <f>53.03+18.63+10.25</f>
        <v>81.91</v>
      </c>
      <c r="E35" s="18" t="s">
        <v>257</v>
      </c>
      <c r="F35" s="29"/>
      <c r="G35" s="24"/>
      <c r="H35" s="34"/>
      <c r="I35" s="6"/>
    </row>
    <row r="36" spans="1:9">
      <c r="A36" s="9"/>
      <c r="B36" s="9"/>
      <c r="C36" s="10"/>
      <c r="D36" s="17"/>
      <c r="E36" s="51"/>
      <c r="F36" s="29"/>
      <c r="G36" s="24"/>
      <c r="H36" s="34"/>
      <c r="I36" s="6"/>
    </row>
    <row r="37" spans="1:9">
      <c r="A37" s="9"/>
      <c r="B37" s="9"/>
      <c r="C37" s="10" t="s">
        <v>26</v>
      </c>
      <c r="D37" s="17"/>
      <c r="E37" s="6"/>
      <c r="F37" s="17"/>
      <c r="G37" s="6"/>
      <c r="H37" s="35">
        <v>306.62</v>
      </c>
      <c r="I37" s="2" t="s">
        <v>131</v>
      </c>
    </row>
    <row r="38" spans="1:9">
      <c r="A38" s="10"/>
      <c r="B38" s="14"/>
      <c r="C38" s="10"/>
      <c r="D38" s="19"/>
      <c r="E38" s="6"/>
      <c r="F38" s="30"/>
      <c r="G38" s="25"/>
      <c r="H38" s="35"/>
      <c r="I38" s="2"/>
    </row>
    <row r="39" spans="1:9">
      <c r="A39" s="10"/>
      <c r="B39" s="14"/>
      <c r="C39" s="9"/>
      <c r="D39" s="19"/>
      <c r="E39" s="6"/>
      <c r="F39" s="30"/>
      <c r="G39" s="25"/>
      <c r="H39" s="34"/>
      <c r="I39" s="2"/>
    </row>
    <row r="40" spans="1:9">
      <c r="A40" s="12" t="s">
        <v>4</v>
      </c>
      <c r="B40" s="10"/>
      <c r="C40" s="10"/>
      <c r="D40" s="20">
        <f>SUM(D33:D39)</f>
        <v>193.24</v>
      </c>
      <c r="E40" s="6"/>
      <c r="F40" s="31">
        <f>SUM(F33:F39)</f>
        <v>0</v>
      </c>
      <c r="G40" s="26"/>
      <c r="H40" s="36">
        <f>SUM(H33:H39)</f>
        <v>675.14</v>
      </c>
      <c r="I40" s="2"/>
    </row>
    <row r="41" spans="1:9" ht="15.75" thickBot="1">
      <c r="A41" s="13" t="s">
        <v>5</v>
      </c>
      <c r="B41" s="39">
        <f>SUM(D40+F40+H40)</f>
        <v>868.38</v>
      </c>
      <c r="C41" s="38"/>
      <c r="D41" s="21"/>
      <c r="E41" s="22"/>
      <c r="F41" s="32"/>
      <c r="G41" s="27"/>
      <c r="H41" s="37"/>
      <c r="I41" s="3"/>
    </row>
    <row r="42" spans="1:9">
      <c r="A42" s="8" t="s">
        <v>365</v>
      </c>
      <c r="B42" s="8" t="s">
        <v>366</v>
      </c>
      <c r="C42" s="11" t="s">
        <v>89</v>
      </c>
      <c r="D42" s="15">
        <f>85+115.47</f>
        <v>200.47</v>
      </c>
      <c r="E42" s="40" t="s">
        <v>37</v>
      </c>
      <c r="F42" s="28"/>
      <c r="G42" s="23"/>
      <c r="H42" s="33">
        <v>664.4</v>
      </c>
      <c r="I42" s="5" t="s">
        <v>54</v>
      </c>
    </row>
    <row r="43" spans="1:9">
      <c r="A43" s="9"/>
      <c r="B43" s="9" t="s">
        <v>295</v>
      </c>
      <c r="C43" s="10"/>
      <c r="D43" s="17">
        <f>8.1+102.6</f>
        <v>110.69999999999999</v>
      </c>
      <c r="E43" s="51" t="s">
        <v>207</v>
      </c>
      <c r="F43" s="29"/>
      <c r="G43" s="24"/>
      <c r="H43" s="34"/>
      <c r="I43" s="6"/>
    </row>
    <row r="44" spans="1:9">
      <c r="A44" s="9"/>
      <c r="B44" s="9"/>
      <c r="C44" s="10"/>
      <c r="D44" s="17"/>
      <c r="E44" s="18"/>
      <c r="F44" s="29"/>
      <c r="G44" s="24"/>
      <c r="H44" s="34"/>
      <c r="I44" s="6"/>
    </row>
    <row r="45" spans="1:9">
      <c r="A45" s="9" t="s">
        <v>381</v>
      </c>
      <c r="B45" s="9"/>
      <c r="C45" s="10" t="s">
        <v>18</v>
      </c>
      <c r="D45" s="17">
        <v>3.54</v>
      </c>
      <c r="E45" s="51" t="s">
        <v>382</v>
      </c>
      <c r="F45" s="29">
        <v>18.64</v>
      </c>
      <c r="G45" s="24" t="s">
        <v>61</v>
      </c>
      <c r="H45" s="34">
        <v>310.45</v>
      </c>
      <c r="I45" s="6" t="s">
        <v>64</v>
      </c>
    </row>
    <row r="46" spans="1:9">
      <c r="A46" s="9"/>
      <c r="B46" s="9"/>
      <c r="C46" s="10"/>
      <c r="D46" s="17"/>
      <c r="E46" s="6"/>
      <c r="F46" s="17">
        <v>44.1</v>
      </c>
      <c r="G46" s="6" t="s">
        <v>44</v>
      </c>
      <c r="H46" s="35">
        <v>885.36</v>
      </c>
      <c r="I46" s="2" t="s">
        <v>131</v>
      </c>
    </row>
    <row r="47" spans="1:9">
      <c r="A47" s="10"/>
      <c r="B47" s="14"/>
      <c r="C47" s="10"/>
      <c r="D47" s="19"/>
      <c r="E47" s="6"/>
      <c r="F47" s="30"/>
      <c r="G47" s="25"/>
      <c r="H47" s="35">
        <v>1531.51</v>
      </c>
      <c r="I47" s="2" t="s">
        <v>54</v>
      </c>
    </row>
    <row r="48" spans="1:9">
      <c r="A48" s="10"/>
      <c r="B48" s="14"/>
      <c r="C48" s="9"/>
      <c r="D48" s="19"/>
      <c r="E48" s="6"/>
      <c r="F48" s="30"/>
      <c r="G48" s="25"/>
      <c r="H48" s="34"/>
      <c r="I48" s="2"/>
    </row>
    <row r="49" spans="1:9">
      <c r="A49" s="12" t="s">
        <v>4</v>
      </c>
      <c r="B49" s="10"/>
      <c r="C49" s="10"/>
      <c r="D49" s="20">
        <f>SUM(D42:D48)</f>
        <v>314.70999999999998</v>
      </c>
      <c r="E49" s="6"/>
      <c r="F49" s="31">
        <f>SUM(F42:F48)</f>
        <v>62.74</v>
      </c>
      <c r="G49" s="26"/>
      <c r="H49" s="36">
        <f>SUM(H42:H48)</f>
        <v>3391.7200000000003</v>
      </c>
      <c r="I49" s="2"/>
    </row>
    <row r="50" spans="1:9" ht="15.75" thickBot="1">
      <c r="A50" s="91" t="s">
        <v>5</v>
      </c>
      <c r="B50" s="92">
        <f>SUM(D49+F49+H49)</f>
        <v>3769.17</v>
      </c>
      <c r="C50" s="10"/>
      <c r="D50" s="20"/>
      <c r="E50" s="6"/>
      <c r="F50" s="31"/>
      <c r="G50" s="26"/>
      <c r="H50" s="35"/>
      <c r="I50" s="2"/>
    </row>
    <row r="51" spans="1:9">
      <c r="A51" s="8" t="s">
        <v>380</v>
      </c>
      <c r="B51" s="8" t="s">
        <v>237</v>
      </c>
      <c r="C51" s="11" t="s">
        <v>161</v>
      </c>
      <c r="D51" s="15">
        <f>49.94</f>
        <v>49.94</v>
      </c>
      <c r="E51" s="40" t="s">
        <v>37</v>
      </c>
      <c r="F51" s="28">
        <f>11.65</f>
        <v>11.65</v>
      </c>
      <c r="G51" s="23" t="s">
        <v>61</v>
      </c>
      <c r="H51" s="28">
        <v>315.05</v>
      </c>
      <c r="I51" s="5" t="s">
        <v>390</v>
      </c>
    </row>
    <row r="52" spans="1:9">
      <c r="A52" s="9"/>
      <c r="B52" s="9" t="s">
        <v>338</v>
      </c>
      <c r="C52" s="10"/>
      <c r="D52" s="17">
        <f>15+464.46</f>
        <v>479.46</v>
      </c>
      <c r="E52" s="51" t="s">
        <v>207</v>
      </c>
      <c r="F52" s="29"/>
      <c r="G52" s="24"/>
      <c r="H52" s="29">
        <v>664.4</v>
      </c>
      <c r="I52" s="6" t="s">
        <v>391</v>
      </c>
    </row>
    <row r="53" spans="1:9">
      <c r="A53" s="9"/>
      <c r="B53" s="9" t="s">
        <v>384</v>
      </c>
      <c r="C53" s="10"/>
      <c r="D53" s="17"/>
      <c r="E53" s="51"/>
      <c r="F53" s="29"/>
      <c r="G53" s="24"/>
      <c r="H53" s="29">
        <v>404.35</v>
      </c>
      <c r="I53" s="6" t="s">
        <v>392</v>
      </c>
    </row>
    <row r="54" spans="1:9">
      <c r="A54" s="9"/>
      <c r="B54" s="9"/>
      <c r="C54" s="10"/>
      <c r="D54" s="17"/>
      <c r="E54" s="18"/>
      <c r="F54" s="29"/>
      <c r="G54" s="24"/>
      <c r="H54" s="29">
        <v>107.99</v>
      </c>
      <c r="I54" s="6" t="s">
        <v>64</v>
      </c>
    </row>
    <row r="55" spans="1:9">
      <c r="A55" s="9"/>
      <c r="B55" s="9"/>
      <c r="C55" s="10"/>
      <c r="D55" s="17"/>
      <c r="E55" s="18"/>
      <c r="F55" s="29"/>
      <c r="G55" s="24"/>
      <c r="H55" s="29">
        <v>1477.83</v>
      </c>
      <c r="I55" s="6" t="s">
        <v>131</v>
      </c>
    </row>
    <row r="56" spans="1:9">
      <c r="A56" s="9"/>
      <c r="B56" s="9"/>
      <c r="C56" s="10"/>
      <c r="D56" s="17"/>
      <c r="E56" s="18"/>
      <c r="F56" s="29"/>
      <c r="G56" s="24"/>
      <c r="H56" s="29"/>
      <c r="I56" s="6"/>
    </row>
    <row r="57" spans="1:9">
      <c r="A57" s="9"/>
      <c r="B57" s="9"/>
      <c r="C57" s="10" t="s">
        <v>21</v>
      </c>
      <c r="D57" s="17">
        <f>440.68</f>
        <v>440.68</v>
      </c>
      <c r="E57" s="18" t="s">
        <v>207</v>
      </c>
      <c r="F57" s="29"/>
      <c r="G57" s="24"/>
      <c r="H57" s="29">
        <v>1039.8399999999999</v>
      </c>
      <c r="I57" s="6" t="s">
        <v>394</v>
      </c>
    </row>
    <row r="58" spans="1:9">
      <c r="A58" s="9"/>
      <c r="B58" s="9"/>
      <c r="C58" s="10"/>
      <c r="D58" s="17">
        <f>110.87</f>
        <v>110.87</v>
      </c>
      <c r="E58" s="18" t="s">
        <v>37</v>
      </c>
      <c r="F58" s="29"/>
      <c r="G58" s="24"/>
      <c r="H58" s="29">
        <v>384.93</v>
      </c>
      <c r="I58" s="6" t="s">
        <v>394</v>
      </c>
    </row>
    <row r="59" spans="1:9">
      <c r="A59" s="9"/>
      <c r="B59" s="9"/>
      <c r="C59" s="10"/>
      <c r="D59" s="17"/>
      <c r="E59" s="18"/>
      <c r="F59" s="29"/>
      <c r="G59" s="24"/>
      <c r="H59" s="29">
        <v>675.12</v>
      </c>
      <c r="I59" s="6" t="s">
        <v>387</v>
      </c>
    </row>
    <row r="60" spans="1:9">
      <c r="A60" s="9"/>
      <c r="B60" s="9"/>
      <c r="C60" s="10"/>
      <c r="D60" s="17"/>
      <c r="E60" s="18"/>
      <c r="F60" s="29"/>
      <c r="G60" s="24"/>
      <c r="H60" s="29"/>
      <c r="I60" s="6"/>
    </row>
    <row r="61" spans="1:9">
      <c r="A61" s="52" t="s">
        <v>388</v>
      </c>
      <c r="B61" s="9"/>
      <c r="C61" s="10" t="s">
        <v>71</v>
      </c>
      <c r="D61" s="17">
        <f>90+215.97</f>
        <v>305.97000000000003</v>
      </c>
      <c r="E61" s="51" t="s">
        <v>37</v>
      </c>
      <c r="F61" s="29">
        <v>12.05</v>
      </c>
      <c r="G61" s="24" t="s">
        <v>262</v>
      </c>
      <c r="H61" s="29">
        <f>116.16+199.21</f>
        <v>315.37</v>
      </c>
      <c r="I61" s="6" t="s">
        <v>54</v>
      </c>
    </row>
    <row r="62" spans="1:9">
      <c r="A62" s="9"/>
      <c r="B62" s="9"/>
      <c r="C62" s="10"/>
      <c r="D62" s="17">
        <f>22.89+1037.27</f>
        <v>1060.1600000000001</v>
      </c>
      <c r="E62" s="6" t="s">
        <v>207</v>
      </c>
      <c r="F62" s="17">
        <v>6.28</v>
      </c>
      <c r="G62" s="6" t="s">
        <v>44</v>
      </c>
      <c r="H62" s="30">
        <f>303.88+466.27+842.69</f>
        <v>1612.8400000000001</v>
      </c>
      <c r="I62" s="2" t="s">
        <v>131</v>
      </c>
    </row>
    <row r="63" spans="1:9">
      <c r="A63" s="10"/>
      <c r="B63" s="14"/>
      <c r="C63" s="10"/>
      <c r="D63" s="19">
        <f>41.14+97.48</f>
        <v>138.62</v>
      </c>
      <c r="E63" s="6" t="s">
        <v>257</v>
      </c>
      <c r="F63" s="30"/>
      <c r="G63" s="25"/>
      <c r="H63" s="30">
        <v>1482.08</v>
      </c>
      <c r="I63" s="2" t="s">
        <v>393</v>
      </c>
    </row>
    <row r="64" spans="1:9">
      <c r="A64" s="10"/>
      <c r="B64" s="14"/>
      <c r="C64" s="10"/>
      <c r="D64" s="19"/>
      <c r="E64" s="6"/>
      <c r="F64" s="30"/>
      <c r="G64" s="25"/>
      <c r="H64" s="30">
        <v>1301.68</v>
      </c>
      <c r="I64" s="2" t="s">
        <v>387</v>
      </c>
    </row>
    <row r="65" spans="1:9">
      <c r="A65" s="10"/>
      <c r="B65" s="14"/>
      <c r="C65" s="10"/>
      <c r="D65" s="19"/>
      <c r="E65" s="6"/>
      <c r="F65" s="30"/>
      <c r="G65" s="25"/>
      <c r="H65" s="30">
        <v>168.63</v>
      </c>
      <c r="I65" s="2" t="s">
        <v>389</v>
      </c>
    </row>
    <row r="66" spans="1:9">
      <c r="A66" s="10"/>
      <c r="B66" s="14"/>
      <c r="C66" s="10"/>
      <c r="D66" s="19"/>
      <c r="E66" s="6"/>
      <c r="F66" s="30"/>
      <c r="G66" s="25"/>
      <c r="H66" s="30">
        <f>1039.84+509.47</f>
        <v>1549.31</v>
      </c>
      <c r="I66" s="2" t="s">
        <v>394</v>
      </c>
    </row>
    <row r="67" spans="1:9">
      <c r="A67" s="10"/>
      <c r="B67" s="14"/>
      <c r="C67" s="10"/>
      <c r="D67" s="19"/>
      <c r="E67" s="6"/>
      <c r="F67" s="30"/>
      <c r="G67" s="25"/>
      <c r="H67" s="30">
        <v>489.99</v>
      </c>
      <c r="I67" s="2" t="s">
        <v>64</v>
      </c>
    </row>
    <row r="68" spans="1:9">
      <c r="A68" s="10"/>
      <c r="B68" s="14"/>
      <c r="C68" s="10"/>
      <c r="D68" s="19"/>
      <c r="E68" s="6"/>
      <c r="F68" s="30"/>
      <c r="G68" s="25"/>
      <c r="H68" s="30"/>
      <c r="I68" s="2"/>
    </row>
    <row r="69" spans="1:9">
      <c r="A69" s="9" t="s">
        <v>383</v>
      </c>
      <c r="B69" s="9"/>
      <c r="C69" s="10" t="s">
        <v>18</v>
      </c>
      <c r="D69" s="29">
        <v>64.87</v>
      </c>
      <c r="E69" s="51" t="s">
        <v>37</v>
      </c>
      <c r="F69" s="29">
        <v>13.05</v>
      </c>
      <c r="G69" s="24" t="s">
        <v>61</v>
      </c>
      <c r="H69" s="93">
        <v>1793</v>
      </c>
      <c r="I69" s="6" t="s">
        <v>54</v>
      </c>
    </row>
    <row r="70" spans="1:9">
      <c r="A70" s="9"/>
      <c r="B70" s="9"/>
      <c r="C70" s="10"/>
      <c r="D70" s="17">
        <f>55.65+339.89</f>
        <v>395.53999999999996</v>
      </c>
      <c r="E70" s="51" t="s">
        <v>207</v>
      </c>
      <c r="F70" s="29"/>
      <c r="G70" s="24"/>
      <c r="H70" s="29">
        <v>388.99</v>
      </c>
      <c r="I70" s="6" t="s">
        <v>64</v>
      </c>
    </row>
    <row r="71" spans="1:9">
      <c r="A71" s="9"/>
      <c r="B71" s="9"/>
      <c r="C71" s="10"/>
      <c r="D71" s="17">
        <f>80+19.97</f>
        <v>99.97</v>
      </c>
      <c r="E71" s="51" t="s">
        <v>257</v>
      </c>
      <c r="F71" s="29"/>
      <c r="G71" s="24"/>
      <c r="H71" s="29">
        <v>1718</v>
      </c>
      <c r="I71" s="6" t="s">
        <v>131</v>
      </c>
    </row>
    <row r="72" spans="1:9">
      <c r="A72" s="9"/>
      <c r="B72" s="9"/>
      <c r="C72" s="10"/>
      <c r="D72" s="17"/>
      <c r="E72" s="51"/>
      <c r="F72" s="29"/>
      <c r="G72" s="24"/>
      <c r="H72" s="29">
        <v>1301.68</v>
      </c>
      <c r="I72" s="6" t="s">
        <v>387</v>
      </c>
    </row>
    <row r="73" spans="1:9">
      <c r="A73" s="9"/>
      <c r="B73" s="9"/>
      <c r="C73" s="10"/>
      <c r="D73" s="17"/>
      <c r="E73" s="51"/>
      <c r="F73" s="29"/>
      <c r="G73" s="24"/>
      <c r="H73" s="29">
        <v>637.83000000000004</v>
      </c>
      <c r="I73" s="6" t="s">
        <v>394</v>
      </c>
    </row>
    <row r="74" spans="1:9">
      <c r="A74" s="10"/>
      <c r="B74" s="14"/>
      <c r="C74" s="9"/>
      <c r="D74" s="19"/>
      <c r="E74" s="6"/>
      <c r="F74" s="30"/>
      <c r="G74" s="25"/>
      <c r="H74" s="29"/>
      <c r="I74" s="2"/>
    </row>
    <row r="75" spans="1:9">
      <c r="A75" s="12" t="s">
        <v>4</v>
      </c>
      <c r="B75" s="10"/>
      <c r="C75" s="10"/>
      <c r="D75" s="20">
        <f>SUM(D51:D74)</f>
        <v>3146.0799999999995</v>
      </c>
      <c r="E75" s="6"/>
      <c r="F75" s="31">
        <f>SUM(F51:F74)</f>
        <v>43.03</v>
      </c>
      <c r="G75" s="26"/>
      <c r="H75" s="31">
        <f>SUM(H51:H74)</f>
        <v>17828.91</v>
      </c>
      <c r="I75" s="2"/>
    </row>
    <row r="76" spans="1:9" ht="15.75" thickBot="1">
      <c r="A76" s="13" t="s">
        <v>5</v>
      </c>
      <c r="B76" s="39">
        <f>SUM(D75+F75+H75)</f>
        <v>21018.02</v>
      </c>
      <c r="C76" s="38"/>
      <c r="D76" s="21"/>
      <c r="E76" s="22"/>
      <c r="F76" s="32"/>
      <c r="G76" s="27"/>
      <c r="H76" s="94"/>
      <c r="I76" s="3"/>
    </row>
    <row r="77" spans="1:9">
      <c r="A77" s="62" t="s">
        <v>352</v>
      </c>
      <c r="B77" s="9" t="s">
        <v>353</v>
      </c>
      <c r="C77" s="10" t="s">
        <v>26</v>
      </c>
      <c r="D77" s="17">
        <f>31.47+31.81</f>
        <v>63.28</v>
      </c>
      <c r="E77" s="51" t="s">
        <v>37</v>
      </c>
      <c r="F77" s="29">
        <v>2.83</v>
      </c>
      <c r="G77" s="24" t="s">
        <v>262</v>
      </c>
      <c r="H77" s="34">
        <v>256.13</v>
      </c>
      <c r="I77" s="6" t="s">
        <v>131</v>
      </c>
    </row>
    <row r="78" spans="1:9">
      <c r="A78" s="62"/>
      <c r="B78" s="9" t="s">
        <v>299</v>
      </c>
      <c r="C78" s="10"/>
      <c r="D78" s="17">
        <f>0.95+212.03</f>
        <v>212.98</v>
      </c>
      <c r="E78" s="51" t="s">
        <v>207</v>
      </c>
      <c r="F78" s="29"/>
      <c r="G78" s="24"/>
      <c r="H78" s="34">
        <v>173.64</v>
      </c>
      <c r="I78" s="6" t="s">
        <v>64</v>
      </c>
    </row>
    <row r="79" spans="1:9">
      <c r="A79" s="62"/>
      <c r="B79" s="9"/>
      <c r="C79" s="10"/>
      <c r="D79" s="17"/>
      <c r="E79" s="51"/>
      <c r="F79" s="29"/>
      <c r="G79" s="24"/>
      <c r="H79" s="34">
        <v>295.26</v>
      </c>
      <c r="I79" s="6" t="s">
        <v>54</v>
      </c>
    </row>
    <row r="80" spans="1:9">
      <c r="A80" s="62"/>
      <c r="B80" s="9"/>
      <c r="C80" s="10"/>
      <c r="D80" s="17"/>
      <c r="E80" s="51"/>
      <c r="F80" s="29"/>
      <c r="G80" s="24"/>
      <c r="H80" s="34"/>
      <c r="I80" s="6"/>
    </row>
    <row r="81" spans="1:9">
      <c r="A81" s="9"/>
      <c r="B81" s="9"/>
      <c r="C81" s="10" t="s">
        <v>27</v>
      </c>
      <c r="D81" s="17">
        <f>30.11</f>
        <v>30.11</v>
      </c>
      <c r="E81" s="18" t="s">
        <v>37</v>
      </c>
      <c r="F81" s="29"/>
      <c r="G81" s="24"/>
      <c r="H81" s="34">
        <f>256.13</f>
        <v>256.13</v>
      </c>
      <c r="I81" s="6" t="s">
        <v>131</v>
      </c>
    </row>
    <row r="82" spans="1:9">
      <c r="A82" s="9"/>
      <c r="B82" s="9"/>
      <c r="C82" s="10"/>
      <c r="D82" s="17">
        <f>3.97</f>
        <v>3.97</v>
      </c>
      <c r="E82" s="18" t="s">
        <v>207</v>
      </c>
      <c r="F82" s="29"/>
      <c r="G82" s="24"/>
      <c r="H82" s="34">
        <v>97.29</v>
      </c>
      <c r="I82" s="6" t="s">
        <v>64</v>
      </c>
    </row>
    <row r="83" spans="1:9">
      <c r="A83" s="9"/>
      <c r="B83" s="9"/>
      <c r="C83" s="10"/>
      <c r="D83" s="17"/>
      <c r="E83" s="18"/>
      <c r="F83" s="29"/>
      <c r="G83" s="24"/>
      <c r="H83" s="34">
        <v>295.26</v>
      </c>
      <c r="I83" s="6" t="s">
        <v>54</v>
      </c>
    </row>
    <row r="84" spans="1:9">
      <c r="A84" s="9"/>
      <c r="B84" s="9"/>
      <c r="C84" s="10"/>
      <c r="D84" s="17"/>
      <c r="E84" s="18"/>
      <c r="F84" s="29"/>
      <c r="G84" s="24"/>
      <c r="H84" s="34"/>
      <c r="I84" s="6"/>
    </row>
    <row r="85" spans="1:9">
      <c r="A85" s="9"/>
      <c r="B85" s="9"/>
      <c r="C85" s="10"/>
      <c r="D85" s="17"/>
      <c r="E85" s="18"/>
      <c r="F85" s="29"/>
      <c r="G85" s="24"/>
      <c r="H85" s="34"/>
      <c r="I85" s="6"/>
    </row>
    <row r="86" spans="1:9">
      <c r="A86" s="9"/>
      <c r="B86" s="9"/>
      <c r="C86" s="9"/>
      <c r="D86" s="17"/>
      <c r="E86" s="6"/>
      <c r="F86" s="29"/>
      <c r="G86" s="24"/>
      <c r="H86" s="35"/>
      <c r="I86" s="2"/>
    </row>
    <row r="87" spans="1:9">
      <c r="A87" s="12" t="s">
        <v>4</v>
      </c>
      <c r="B87" s="10"/>
      <c r="C87" s="10"/>
      <c r="D87" s="20">
        <f>SUM(D77:D86)</f>
        <v>310.34000000000003</v>
      </c>
      <c r="E87" s="6"/>
      <c r="F87" s="31">
        <f>SUM(F77:F86)</f>
        <v>2.83</v>
      </c>
      <c r="G87" s="26"/>
      <c r="H87" s="36">
        <f>SUM(H77:H86)</f>
        <v>1373.71</v>
      </c>
      <c r="I87" s="2"/>
    </row>
    <row r="88" spans="1:9" ht="15.75" thickBot="1">
      <c r="A88" s="13" t="s">
        <v>5</v>
      </c>
      <c r="B88" s="39">
        <f>SUM(D87+F87+H87)</f>
        <v>1686.88</v>
      </c>
      <c r="C88" s="38"/>
      <c r="D88" s="21"/>
      <c r="E88" s="22"/>
      <c r="F88" s="32"/>
      <c r="G88" s="27"/>
      <c r="H88" s="37"/>
      <c r="I88" s="3"/>
    </row>
    <row r="89" spans="1:9">
      <c r="A89" s="53" t="s">
        <v>359</v>
      </c>
      <c r="B89" s="8" t="s">
        <v>360</v>
      </c>
      <c r="C89" s="77" t="s">
        <v>86</v>
      </c>
      <c r="D89" s="71">
        <f>108.27+20.5</f>
        <v>128.76999999999998</v>
      </c>
      <c r="E89" s="78" t="s">
        <v>37</v>
      </c>
      <c r="F89" s="71">
        <f>70.7</f>
        <v>70.7</v>
      </c>
      <c r="G89" s="67" t="s">
        <v>61</v>
      </c>
      <c r="H89" s="35">
        <v>273.04000000000002</v>
      </c>
      <c r="I89" s="2" t="s">
        <v>64</v>
      </c>
    </row>
    <row r="90" spans="1:9">
      <c r="A90" s="62"/>
      <c r="B90" s="9" t="s">
        <v>295</v>
      </c>
      <c r="C90" s="77"/>
      <c r="D90" s="71">
        <f>26.07+8.1</f>
        <v>34.17</v>
      </c>
      <c r="E90" s="78" t="s">
        <v>207</v>
      </c>
      <c r="F90" s="71">
        <v>4.2</v>
      </c>
      <c r="G90" s="75" t="s">
        <v>107</v>
      </c>
      <c r="H90" s="35">
        <v>785.49</v>
      </c>
      <c r="I90" s="2" t="s">
        <v>131</v>
      </c>
    </row>
    <row r="91" spans="1:9">
      <c r="A91" s="62"/>
      <c r="B91" s="9"/>
      <c r="C91" s="77"/>
      <c r="D91" s="71">
        <v>15</v>
      </c>
      <c r="E91" s="78" t="s">
        <v>257</v>
      </c>
      <c r="F91" s="71">
        <f>95</f>
        <v>95</v>
      </c>
      <c r="G91" s="75" t="s">
        <v>44</v>
      </c>
      <c r="H91" s="35">
        <v>1076.3599999999999</v>
      </c>
      <c r="I91" s="2" t="s">
        <v>54</v>
      </c>
    </row>
    <row r="92" spans="1:9">
      <c r="A92" s="9"/>
      <c r="B92" s="9"/>
      <c r="C92" s="10"/>
      <c r="D92" s="17"/>
      <c r="E92" s="18"/>
      <c r="F92" s="29">
        <v>160</v>
      </c>
      <c r="G92" s="24" t="s">
        <v>159</v>
      </c>
      <c r="H92" s="34"/>
      <c r="I92" s="6"/>
    </row>
    <row r="93" spans="1:9">
      <c r="A93" s="10"/>
      <c r="B93" s="14"/>
      <c r="C93" s="9"/>
      <c r="D93" s="17"/>
      <c r="E93" s="18"/>
      <c r="F93" s="30"/>
      <c r="G93" s="25"/>
      <c r="H93" s="34"/>
      <c r="I93" s="2"/>
    </row>
    <row r="94" spans="1:9">
      <c r="A94" s="12" t="s">
        <v>4</v>
      </c>
      <c r="B94" s="10"/>
      <c r="C94" s="10"/>
      <c r="D94" s="20">
        <f>SUM(D89:D93)</f>
        <v>177.94</v>
      </c>
      <c r="E94" s="6"/>
      <c r="F94" s="31">
        <f>SUM(F89:F93)</f>
        <v>329.9</v>
      </c>
      <c r="G94" s="26"/>
      <c r="H94" s="36">
        <f>SUM(H89:H93)</f>
        <v>2134.89</v>
      </c>
      <c r="I94" s="2"/>
    </row>
    <row r="95" spans="1:9" ht="15.75" thickBot="1">
      <c r="A95" s="13" t="s">
        <v>5</v>
      </c>
      <c r="B95" s="39">
        <f>SUM(D94+F94+H94)</f>
        <v>2642.73</v>
      </c>
      <c r="C95" s="38"/>
      <c r="D95" s="21"/>
      <c r="E95" s="22"/>
      <c r="F95" s="32"/>
      <c r="G95" s="27"/>
      <c r="H95" s="37"/>
      <c r="I95" s="3"/>
    </row>
    <row r="96" spans="1:9">
      <c r="A96" s="53" t="s">
        <v>367</v>
      </c>
      <c r="B96" s="8" t="s">
        <v>366</v>
      </c>
      <c r="C96" s="77" t="s">
        <v>89</v>
      </c>
      <c r="D96" s="71">
        <f>163.24</f>
        <v>163.24</v>
      </c>
      <c r="E96" s="78" t="s">
        <v>37</v>
      </c>
      <c r="F96" s="71"/>
      <c r="G96" s="67" t="s">
        <v>61</v>
      </c>
      <c r="H96" s="35">
        <v>430.95</v>
      </c>
      <c r="I96" s="2" t="s">
        <v>54</v>
      </c>
    </row>
    <row r="97" spans="1:9">
      <c r="A97" s="62"/>
      <c r="B97" s="9" t="s">
        <v>368</v>
      </c>
      <c r="C97" s="77"/>
      <c r="D97" s="71">
        <f>8.25</f>
        <v>8.25</v>
      </c>
      <c r="E97" s="78" t="s">
        <v>207</v>
      </c>
      <c r="F97" s="71"/>
      <c r="G97" s="75" t="s">
        <v>107</v>
      </c>
      <c r="H97" s="35">
        <f>433.02+424.99+122.32</f>
        <v>980.32999999999993</v>
      </c>
      <c r="I97" s="2" t="s">
        <v>131</v>
      </c>
    </row>
    <row r="98" spans="1:9">
      <c r="A98" s="62"/>
      <c r="B98" s="9"/>
      <c r="C98" s="77"/>
      <c r="D98" s="71"/>
      <c r="E98" s="78" t="s">
        <v>257</v>
      </c>
      <c r="F98" s="71"/>
      <c r="G98" s="75" t="s">
        <v>44</v>
      </c>
      <c r="H98" s="35"/>
      <c r="I98" s="2"/>
    </row>
    <row r="99" spans="1:9">
      <c r="A99" s="9"/>
      <c r="B99" s="9"/>
      <c r="C99" s="10"/>
      <c r="D99" s="17"/>
      <c r="E99" s="18"/>
      <c r="F99" s="29"/>
      <c r="G99" s="24" t="s">
        <v>159</v>
      </c>
      <c r="H99" s="34"/>
      <c r="I99" s="6"/>
    </row>
    <row r="100" spans="1:9">
      <c r="A100" s="10"/>
      <c r="B100" s="14"/>
      <c r="C100" s="9"/>
      <c r="D100" s="17"/>
      <c r="E100" s="18"/>
      <c r="F100" s="30"/>
      <c r="G100" s="25"/>
      <c r="H100" s="34"/>
      <c r="I100" s="2"/>
    </row>
    <row r="101" spans="1:9">
      <c r="A101" s="12" t="s">
        <v>4</v>
      </c>
      <c r="B101" s="10"/>
      <c r="C101" s="10"/>
      <c r="D101" s="20">
        <f>SUM(D96:D100)</f>
        <v>171.49</v>
      </c>
      <c r="E101" s="6"/>
      <c r="F101" s="31">
        <f>SUM(F96:F100)</f>
        <v>0</v>
      </c>
      <c r="G101" s="26"/>
      <c r="H101" s="36">
        <f>SUM(H96:H100)</f>
        <v>1411.28</v>
      </c>
      <c r="I101" s="2"/>
    </row>
    <row r="102" spans="1:9" ht="15.75" thickBot="1">
      <c r="A102" s="13" t="s">
        <v>5</v>
      </c>
      <c r="B102" s="39">
        <f>SUM(D101+F101+H101)</f>
        <v>1582.77</v>
      </c>
      <c r="C102" s="38"/>
      <c r="D102" s="21"/>
      <c r="E102" s="22"/>
      <c r="F102" s="32"/>
      <c r="G102" s="27"/>
      <c r="H102" s="37"/>
      <c r="I102" s="3"/>
    </row>
    <row r="103" spans="1:9">
      <c r="A103" s="8" t="s">
        <v>361</v>
      </c>
      <c r="B103" s="8" t="s">
        <v>252</v>
      </c>
      <c r="C103" s="11" t="s">
        <v>84</v>
      </c>
      <c r="D103" s="15">
        <v>19.690000000000001</v>
      </c>
      <c r="E103" s="40" t="s">
        <v>207</v>
      </c>
      <c r="F103" s="29">
        <v>12.43</v>
      </c>
      <c r="G103" s="24" t="s">
        <v>61</v>
      </c>
      <c r="H103" s="33">
        <v>213.3</v>
      </c>
      <c r="I103" s="5" t="s">
        <v>64</v>
      </c>
    </row>
    <row r="104" spans="1:9">
      <c r="A104" s="9"/>
      <c r="B104" s="9" t="s">
        <v>362</v>
      </c>
      <c r="C104" s="10"/>
      <c r="D104" s="17">
        <v>30</v>
      </c>
      <c r="E104" s="51" t="s">
        <v>257</v>
      </c>
      <c r="F104" s="29">
        <v>9</v>
      </c>
      <c r="G104" s="24" t="s">
        <v>107</v>
      </c>
      <c r="H104" s="34">
        <v>723.54</v>
      </c>
      <c r="I104" s="6" t="s">
        <v>131</v>
      </c>
    </row>
    <row r="105" spans="1:9">
      <c r="A105" s="9"/>
      <c r="B105" s="9"/>
      <c r="C105" s="10"/>
      <c r="D105" s="17"/>
      <c r="E105" s="51"/>
      <c r="F105" s="29">
        <v>40.700000000000003</v>
      </c>
      <c r="G105" s="24" t="s">
        <v>44</v>
      </c>
      <c r="H105" s="34">
        <v>55</v>
      </c>
      <c r="I105" s="6" t="s">
        <v>54</v>
      </c>
    </row>
    <row r="106" spans="1:9">
      <c r="A106" s="9"/>
      <c r="B106" s="9"/>
      <c r="C106" s="10"/>
      <c r="D106" s="17"/>
      <c r="E106" s="51"/>
      <c r="F106" s="29"/>
      <c r="G106" s="24"/>
      <c r="H106" s="34"/>
      <c r="I106" s="6"/>
    </row>
    <row r="107" spans="1:9">
      <c r="A107" s="9"/>
      <c r="B107" s="9"/>
      <c r="C107" s="10" t="s">
        <v>161</v>
      </c>
      <c r="D107" s="17">
        <f>111+23.12</f>
        <v>134.12</v>
      </c>
      <c r="E107" s="51" t="s">
        <v>37</v>
      </c>
      <c r="F107" s="29">
        <v>6.68</v>
      </c>
      <c r="G107" s="24" t="s">
        <v>61</v>
      </c>
      <c r="H107" s="34">
        <f>110.91</f>
        <v>110.91</v>
      </c>
      <c r="I107" s="6" t="s">
        <v>54</v>
      </c>
    </row>
    <row r="108" spans="1:9">
      <c r="A108" s="9"/>
      <c r="B108" s="9"/>
      <c r="C108" s="10"/>
      <c r="D108" s="17">
        <f>8.6</f>
        <v>8.6</v>
      </c>
      <c r="E108" s="51" t="s">
        <v>207</v>
      </c>
      <c r="F108" s="29"/>
      <c r="G108" s="24"/>
      <c r="H108" s="34">
        <f>468.62+106.2+148.72</f>
        <v>723.54000000000008</v>
      </c>
      <c r="I108" s="6" t="s">
        <v>131</v>
      </c>
    </row>
    <row r="109" spans="1:9">
      <c r="A109" s="9"/>
      <c r="B109" s="9"/>
      <c r="C109" s="10"/>
      <c r="D109" s="17"/>
      <c r="E109" s="51"/>
      <c r="F109" s="29"/>
      <c r="G109" s="24"/>
      <c r="H109" s="34">
        <v>55</v>
      </c>
      <c r="I109" s="6" t="s">
        <v>54</v>
      </c>
    </row>
    <row r="110" spans="1:9">
      <c r="A110" s="10"/>
      <c r="B110" s="14"/>
      <c r="C110" s="10"/>
      <c r="D110" s="19"/>
      <c r="E110" s="6"/>
      <c r="F110" s="30"/>
      <c r="G110" s="25"/>
      <c r="H110" s="34"/>
      <c r="I110" s="6"/>
    </row>
    <row r="111" spans="1:9">
      <c r="A111" s="12" t="s">
        <v>4</v>
      </c>
      <c r="B111" s="10"/>
      <c r="C111" s="10"/>
      <c r="D111" s="20">
        <f>SUM(D103:D110)</f>
        <v>192.41</v>
      </c>
      <c r="E111" s="6"/>
      <c r="F111" s="31">
        <f>SUM(F103:F110)</f>
        <v>68.81</v>
      </c>
      <c r="G111" s="26"/>
      <c r="H111" s="36">
        <f>SUM(H103:H110)</f>
        <v>1881.29</v>
      </c>
      <c r="I111" s="2"/>
    </row>
    <row r="112" spans="1:9" ht="15.75" thickBot="1">
      <c r="A112" s="13" t="s">
        <v>5</v>
      </c>
      <c r="B112" s="39">
        <f>SUM(D111+F111+H111)</f>
        <v>2142.5100000000002</v>
      </c>
      <c r="C112" s="38"/>
      <c r="D112" s="21"/>
      <c r="E112" s="22"/>
      <c r="F112" s="32"/>
      <c r="G112" s="27"/>
      <c r="H112" s="37"/>
      <c r="I112" s="3"/>
    </row>
    <row r="113" spans="1:9">
      <c r="A113" s="53" t="s">
        <v>357</v>
      </c>
      <c r="B113" s="8" t="s">
        <v>358</v>
      </c>
      <c r="C113" s="77" t="s">
        <v>32</v>
      </c>
      <c r="D113" s="71">
        <v>22</v>
      </c>
      <c r="E113" s="78" t="s">
        <v>37</v>
      </c>
      <c r="F113" s="71">
        <v>11</v>
      </c>
      <c r="G113" s="67" t="s">
        <v>159</v>
      </c>
      <c r="H113" s="35">
        <v>19.100000000000001</v>
      </c>
      <c r="I113" s="2" t="s">
        <v>64</v>
      </c>
    </row>
    <row r="114" spans="1:9">
      <c r="A114" s="62"/>
      <c r="B114" s="9" t="s">
        <v>291</v>
      </c>
      <c r="C114" s="77"/>
      <c r="D114" s="71"/>
      <c r="E114" s="78"/>
      <c r="F114" s="71">
        <f>511.77</f>
        <v>511.77</v>
      </c>
      <c r="G114" s="75" t="s">
        <v>452</v>
      </c>
      <c r="H114" s="35">
        <v>795.53</v>
      </c>
      <c r="I114" s="2" t="s">
        <v>131</v>
      </c>
    </row>
    <row r="115" spans="1:9">
      <c r="A115" s="62"/>
      <c r="B115" s="9"/>
      <c r="C115" s="77"/>
      <c r="D115" s="71"/>
      <c r="E115" s="78"/>
      <c r="F115" s="71"/>
      <c r="G115" s="75"/>
      <c r="H115" s="35">
        <v>472.67</v>
      </c>
      <c r="I115" s="2" t="s">
        <v>54</v>
      </c>
    </row>
    <row r="116" spans="1:9">
      <c r="A116" s="62"/>
      <c r="B116" s="9"/>
      <c r="C116" s="77"/>
      <c r="D116" s="71"/>
      <c r="E116" s="78"/>
      <c r="F116" s="71"/>
      <c r="G116" s="75"/>
      <c r="H116" s="35"/>
      <c r="I116" s="2"/>
    </row>
    <row r="117" spans="1:9">
      <c r="A117" s="62"/>
      <c r="B117" s="9"/>
      <c r="C117" s="77" t="s">
        <v>31</v>
      </c>
      <c r="D117" s="71">
        <v>11.6</v>
      </c>
      <c r="E117" s="78" t="s">
        <v>37</v>
      </c>
      <c r="F117" s="71">
        <v>22</v>
      </c>
      <c r="G117" s="75" t="s">
        <v>159</v>
      </c>
      <c r="H117" s="35">
        <v>795.53</v>
      </c>
      <c r="I117" s="2" t="s">
        <v>131</v>
      </c>
    </row>
    <row r="118" spans="1:9">
      <c r="A118" s="62"/>
      <c r="B118" s="9"/>
      <c r="C118" s="77"/>
      <c r="D118" s="71">
        <f>343.85+19.6</f>
        <v>363.45000000000005</v>
      </c>
      <c r="E118" s="78" t="s">
        <v>207</v>
      </c>
      <c r="F118" s="71"/>
      <c r="G118" s="75"/>
      <c r="H118" s="35">
        <v>472.67</v>
      </c>
      <c r="I118" s="2" t="s">
        <v>54</v>
      </c>
    </row>
    <row r="119" spans="1:9">
      <c r="A119" s="62"/>
      <c r="B119" s="9"/>
      <c r="C119" s="77"/>
      <c r="D119" s="71"/>
      <c r="E119" s="78"/>
      <c r="F119" s="71"/>
      <c r="G119" s="75"/>
      <c r="H119" s="35"/>
      <c r="I119" s="2"/>
    </row>
    <row r="120" spans="1:9">
      <c r="A120" s="62"/>
      <c r="B120" s="9"/>
      <c r="C120" s="77" t="s">
        <v>30</v>
      </c>
      <c r="D120" s="71">
        <v>10.45</v>
      </c>
      <c r="E120" s="78" t="s">
        <v>257</v>
      </c>
      <c r="F120" s="71"/>
      <c r="G120" s="75"/>
      <c r="H120" s="35">
        <v>795.53</v>
      </c>
      <c r="I120" s="2" t="s">
        <v>131</v>
      </c>
    </row>
    <row r="121" spans="1:9">
      <c r="A121" s="62"/>
      <c r="B121" s="9"/>
      <c r="C121" s="77"/>
      <c r="D121" s="71"/>
      <c r="E121" s="78"/>
      <c r="F121" s="71"/>
      <c r="G121" s="75"/>
      <c r="H121" s="35">
        <v>472.67</v>
      </c>
      <c r="I121" s="2" t="s">
        <v>54</v>
      </c>
    </row>
    <row r="122" spans="1:9">
      <c r="A122" s="62"/>
      <c r="B122" s="9"/>
      <c r="C122" s="77"/>
      <c r="D122" s="71"/>
      <c r="E122" s="78"/>
      <c r="F122" s="71"/>
      <c r="G122" s="75"/>
      <c r="H122" s="35"/>
      <c r="I122" s="2"/>
    </row>
    <row r="123" spans="1:9">
      <c r="A123" s="62"/>
      <c r="B123" s="9"/>
      <c r="C123" s="77" t="s">
        <v>47</v>
      </c>
      <c r="D123" s="71"/>
      <c r="E123" s="78"/>
      <c r="F123" s="71">
        <f>13.98*2</f>
        <v>27.96</v>
      </c>
      <c r="G123" s="75" t="s">
        <v>61</v>
      </c>
      <c r="H123" s="35">
        <v>795.53</v>
      </c>
      <c r="I123" s="2" t="s">
        <v>131</v>
      </c>
    </row>
    <row r="124" spans="1:9">
      <c r="A124" s="62"/>
      <c r="B124" s="9"/>
      <c r="C124" s="77"/>
      <c r="D124" s="71"/>
      <c r="E124" s="78"/>
      <c r="F124" s="71">
        <v>5.9</v>
      </c>
      <c r="G124" s="75" t="s">
        <v>107</v>
      </c>
      <c r="H124" s="35">
        <v>472.67</v>
      </c>
      <c r="I124" s="2" t="s">
        <v>54</v>
      </c>
    </row>
    <row r="125" spans="1:9">
      <c r="A125" s="62"/>
      <c r="B125" s="9"/>
      <c r="C125" s="77"/>
      <c r="D125" s="71"/>
      <c r="E125" s="78"/>
      <c r="F125" s="71">
        <v>27.1</v>
      </c>
      <c r="G125" s="75" t="s">
        <v>44</v>
      </c>
      <c r="H125" s="35"/>
      <c r="I125" s="2"/>
    </row>
    <row r="126" spans="1:9">
      <c r="A126" s="62"/>
      <c r="B126" s="9"/>
      <c r="C126" s="77"/>
      <c r="D126" s="71"/>
      <c r="E126" s="78"/>
      <c r="F126" s="71"/>
      <c r="G126" s="75"/>
      <c r="H126" s="35"/>
      <c r="I126" s="2"/>
    </row>
    <row r="127" spans="1:9">
      <c r="A127" s="62"/>
      <c r="B127" s="9"/>
      <c r="C127" s="77" t="s">
        <v>21</v>
      </c>
      <c r="D127" s="71"/>
      <c r="E127" s="78"/>
      <c r="F127" s="71"/>
      <c r="G127" s="75"/>
      <c r="H127" s="35">
        <v>580.05999999999995</v>
      </c>
      <c r="I127" s="2" t="s">
        <v>131</v>
      </c>
    </row>
    <row r="128" spans="1:9">
      <c r="A128" s="62"/>
      <c r="B128" s="9"/>
      <c r="C128" s="77"/>
      <c r="D128" s="71"/>
      <c r="E128" s="78"/>
      <c r="F128" s="71"/>
      <c r="G128" s="75"/>
      <c r="H128" s="35">
        <v>157.56</v>
      </c>
      <c r="I128" s="2" t="s">
        <v>54</v>
      </c>
    </row>
    <row r="129" spans="1:9">
      <c r="A129" s="62"/>
      <c r="B129" s="9"/>
      <c r="C129" s="77"/>
      <c r="D129" s="71"/>
      <c r="E129" s="78"/>
      <c r="F129" s="71"/>
      <c r="G129" s="75"/>
      <c r="H129" s="35"/>
      <c r="I129" s="2"/>
    </row>
    <row r="130" spans="1:9">
      <c r="A130" s="62"/>
      <c r="B130" s="9"/>
      <c r="C130" s="77" t="s">
        <v>13</v>
      </c>
      <c r="D130" s="71">
        <f>41+198.53</f>
        <v>239.53</v>
      </c>
      <c r="E130" s="78" t="s">
        <v>37</v>
      </c>
      <c r="F130" s="71"/>
      <c r="G130" s="75"/>
      <c r="H130" s="35">
        <v>247.89</v>
      </c>
      <c r="I130" s="2" t="s">
        <v>64</v>
      </c>
    </row>
    <row r="131" spans="1:9">
      <c r="A131" s="62"/>
      <c r="B131" s="9"/>
      <c r="C131" s="77"/>
      <c r="D131" s="71">
        <v>362.98</v>
      </c>
      <c r="E131" s="78" t="s">
        <v>207</v>
      </c>
      <c r="F131" s="71"/>
      <c r="G131" s="75"/>
      <c r="H131" s="35">
        <v>2900.7</v>
      </c>
      <c r="I131" s="2" t="s">
        <v>131</v>
      </c>
    </row>
    <row r="132" spans="1:9">
      <c r="A132" s="62"/>
      <c r="B132" s="9"/>
      <c r="C132" s="77"/>
      <c r="D132" s="71">
        <v>34.5</v>
      </c>
      <c r="E132" s="78" t="s">
        <v>257</v>
      </c>
      <c r="F132" s="71"/>
      <c r="G132" s="75"/>
      <c r="H132" s="35">
        <f>1026.97+472.67</f>
        <v>1499.64</v>
      </c>
      <c r="I132" s="2" t="s">
        <v>54</v>
      </c>
    </row>
    <row r="133" spans="1:9">
      <c r="A133" s="62"/>
      <c r="B133" s="9"/>
      <c r="C133" s="77"/>
      <c r="D133" s="71"/>
      <c r="E133" s="78"/>
      <c r="F133" s="71"/>
      <c r="G133" s="75"/>
      <c r="H133" s="35"/>
      <c r="I133" s="2"/>
    </row>
    <row r="134" spans="1:9">
      <c r="A134" s="62"/>
      <c r="B134" s="9"/>
      <c r="C134" s="77" t="s">
        <v>14</v>
      </c>
      <c r="D134" s="71"/>
      <c r="E134" s="78"/>
      <c r="F134" s="71"/>
      <c r="G134" s="75"/>
      <c r="H134" s="35">
        <v>378.22</v>
      </c>
      <c r="I134" s="2" t="s">
        <v>64</v>
      </c>
    </row>
    <row r="135" spans="1:9">
      <c r="A135" s="62"/>
      <c r="B135" s="9"/>
      <c r="C135" s="77"/>
      <c r="D135" s="71"/>
      <c r="E135" s="78"/>
      <c r="F135" s="71"/>
      <c r="G135" s="75"/>
      <c r="H135" s="35">
        <v>2900.7</v>
      </c>
      <c r="I135" s="2" t="s">
        <v>131</v>
      </c>
    </row>
    <row r="136" spans="1:9">
      <c r="A136" s="62"/>
      <c r="B136" s="9"/>
      <c r="C136" s="77"/>
      <c r="D136" s="71"/>
      <c r="E136" s="78"/>
      <c r="F136" s="71"/>
      <c r="G136" s="75"/>
      <c r="H136" s="35"/>
      <c r="I136" s="2"/>
    </row>
    <row r="137" spans="1:9">
      <c r="A137" s="62"/>
      <c r="B137" s="9"/>
      <c r="C137" s="77" t="s">
        <v>98</v>
      </c>
      <c r="D137" s="71"/>
      <c r="E137" s="78"/>
      <c r="F137" s="71"/>
      <c r="G137" s="75"/>
      <c r="H137" s="35">
        <v>216.25</v>
      </c>
      <c r="I137" s="2" t="s">
        <v>54</v>
      </c>
    </row>
    <row r="138" spans="1:9">
      <c r="A138" s="62"/>
      <c r="B138" s="9"/>
      <c r="C138" s="77"/>
      <c r="D138" s="71"/>
      <c r="E138" s="78"/>
      <c r="F138" s="71"/>
      <c r="G138" s="75"/>
      <c r="H138" s="35"/>
      <c r="I138" s="2"/>
    </row>
    <row r="139" spans="1:9">
      <c r="A139" s="12" t="s">
        <v>4</v>
      </c>
      <c r="B139" s="10"/>
      <c r="C139" s="10"/>
      <c r="D139" s="20">
        <f>SUM(D113:D117)</f>
        <v>33.6</v>
      </c>
      <c r="E139" s="6"/>
      <c r="F139" s="31">
        <f>SUM(F113:F117)</f>
        <v>544.77</v>
      </c>
      <c r="G139" s="26"/>
      <c r="H139" s="36">
        <f>SUM(H113:H117)</f>
        <v>2082.83</v>
      </c>
      <c r="I139" s="2"/>
    </row>
    <row r="140" spans="1:9" ht="15.75" thickBot="1">
      <c r="A140" s="13" t="s">
        <v>5</v>
      </c>
      <c r="B140" s="39">
        <f>SUM(D139+F139+H139)</f>
        <v>2661.2</v>
      </c>
      <c r="C140" s="38"/>
      <c r="D140" s="21"/>
      <c r="E140" s="22"/>
      <c r="F140" s="32"/>
      <c r="G140" s="27"/>
      <c r="H140" s="37"/>
      <c r="I140" s="3"/>
    </row>
    <row r="141" spans="1:9">
      <c r="A141" s="8" t="s">
        <v>354</v>
      </c>
      <c r="B141" s="8" t="s">
        <v>355</v>
      </c>
      <c r="C141" s="11" t="s">
        <v>26</v>
      </c>
      <c r="D141" s="29">
        <v>38.1</v>
      </c>
      <c r="E141" s="40" t="s">
        <v>37</v>
      </c>
      <c r="F141" s="28"/>
      <c r="G141" s="23"/>
      <c r="H141" s="33">
        <v>975.68</v>
      </c>
      <c r="I141" s="5" t="s">
        <v>131</v>
      </c>
    </row>
    <row r="142" spans="1:9">
      <c r="A142" s="9"/>
      <c r="B142" s="9" t="s">
        <v>356</v>
      </c>
      <c r="C142" s="10"/>
      <c r="D142" s="17">
        <v>25.1</v>
      </c>
      <c r="E142" s="51" t="s">
        <v>207</v>
      </c>
      <c r="F142" s="29"/>
      <c r="G142" s="24"/>
      <c r="H142" s="34">
        <v>173.82</v>
      </c>
      <c r="I142" s="6" t="s">
        <v>54</v>
      </c>
    </row>
    <row r="143" spans="1:9">
      <c r="A143" s="9"/>
      <c r="B143" s="9"/>
      <c r="C143" s="10"/>
      <c r="D143" s="17"/>
      <c r="E143" s="51"/>
      <c r="F143" s="29"/>
      <c r="G143" s="24"/>
      <c r="H143" s="34"/>
      <c r="I143" s="6"/>
    </row>
    <row r="144" spans="1:9">
      <c r="A144" s="9"/>
      <c r="B144" s="9"/>
      <c r="C144" s="10" t="s">
        <v>27</v>
      </c>
      <c r="D144" s="17">
        <f>38.34+8.68</f>
        <v>47.02</v>
      </c>
      <c r="E144" s="51" t="s">
        <v>37</v>
      </c>
      <c r="F144" s="29"/>
      <c r="G144" s="24"/>
      <c r="H144" s="34">
        <v>975.68</v>
      </c>
      <c r="I144" s="6" t="s">
        <v>131</v>
      </c>
    </row>
    <row r="145" spans="1:13">
      <c r="A145" s="9"/>
      <c r="B145" s="9"/>
      <c r="C145" s="10"/>
      <c r="D145" s="19">
        <v>177.63</v>
      </c>
      <c r="E145" s="6" t="s">
        <v>257</v>
      </c>
      <c r="F145" s="29"/>
      <c r="G145" s="24"/>
      <c r="H145" s="34">
        <v>173.82</v>
      </c>
      <c r="I145" s="6" t="s">
        <v>54</v>
      </c>
    </row>
    <row r="146" spans="1:13">
      <c r="A146" s="10"/>
      <c r="B146" s="14"/>
      <c r="C146" s="10"/>
      <c r="D146" s="19"/>
      <c r="E146" s="6"/>
      <c r="F146" s="30"/>
      <c r="G146" s="25"/>
      <c r="H146" s="35"/>
      <c r="I146" s="6"/>
    </row>
    <row r="147" spans="1:13">
      <c r="A147" s="10"/>
      <c r="B147" s="14"/>
      <c r="C147" s="10"/>
      <c r="D147" s="19"/>
      <c r="E147" s="6"/>
      <c r="F147" s="30"/>
      <c r="G147" s="25"/>
      <c r="H147" s="35"/>
      <c r="I147" s="6"/>
    </row>
    <row r="148" spans="1:13">
      <c r="A148" s="10"/>
      <c r="B148" s="14"/>
      <c r="C148" s="9"/>
      <c r="D148" s="19"/>
      <c r="E148" s="6"/>
      <c r="F148" s="30"/>
      <c r="G148" s="25"/>
      <c r="H148" s="35"/>
      <c r="I148" s="2"/>
    </row>
    <row r="149" spans="1:13">
      <c r="A149" s="12" t="s">
        <v>4</v>
      </c>
      <c r="B149" s="10"/>
      <c r="C149" s="10"/>
      <c r="D149" s="20">
        <f>SUM(D141:D148)</f>
        <v>287.85000000000002</v>
      </c>
      <c r="E149" s="6"/>
      <c r="F149" s="31">
        <f>SUM(F141:F148)</f>
        <v>0</v>
      </c>
      <c r="G149" s="26"/>
      <c r="H149" s="36">
        <f>SUM(H141:H148)</f>
        <v>2299</v>
      </c>
      <c r="I149" s="2"/>
    </row>
    <row r="150" spans="1:13" ht="15.75" thickBot="1">
      <c r="A150" s="13" t="s">
        <v>5</v>
      </c>
      <c r="B150" s="39">
        <f>SUM(D149+F149+H149)</f>
        <v>2586.85</v>
      </c>
      <c r="C150" s="38"/>
      <c r="D150" s="21"/>
      <c r="E150" s="22"/>
      <c r="F150" s="32"/>
      <c r="G150" s="27"/>
      <c r="H150" s="37"/>
      <c r="I150" s="3"/>
    </row>
    <row r="151" spans="1:13" ht="15.75" thickBot="1"/>
    <row r="152" spans="1:13" ht="20.25" thickBot="1">
      <c r="A152" s="41" t="s">
        <v>10</v>
      </c>
      <c r="B152" s="42">
        <f>SUM(B13,B22,B32,B41,B50,B76,B88,B95,B102,B112,B140,B150)</f>
        <v>50359.77</v>
      </c>
    </row>
    <row r="154" spans="1:13">
      <c r="A154" s="45"/>
      <c r="B154" s="43"/>
      <c r="C154" s="43"/>
      <c r="D154" s="47"/>
      <c r="E154" s="47"/>
      <c r="F154" s="46"/>
      <c r="G154" s="48"/>
      <c r="H154" s="43"/>
      <c r="I154" s="46"/>
      <c r="J154" s="49"/>
      <c r="K154" s="50"/>
      <c r="L154" s="50"/>
      <c r="M154" s="5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Foglio1</vt:lpstr>
      <vt:lpstr>APRILE!Area_stampa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2014-12-18T15:20:56Z</dcterms:modified>
</cp:coreProperties>
</file>