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150" firstSheet="4" activeTab="11"/>
  </bookViews>
  <sheets>
    <sheet name="GENNAIO 2013" sheetId="1" r:id="rId1"/>
    <sheet name="FEBBRAIO 2013" sheetId="2" r:id="rId2"/>
    <sheet name="MARZO 2013 " sheetId="3" r:id="rId3"/>
    <sheet name="APRILE 2013" sheetId="4" r:id="rId4"/>
    <sheet name="MAGGIO 2013" sheetId="5" r:id="rId5"/>
    <sheet name="GIUGNO 2013" sheetId="6" r:id="rId6"/>
    <sheet name="LUGLIO 2013" sheetId="7" r:id="rId7"/>
    <sheet name="AGOSTO 2013" sheetId="8" r:id="rId8"/>
    <sheet name="SETTEMBRE 2013" sheetId="9" r:id="rId9"/>
    <sheet name="OTTOBRE 2013" sheetId="10" r:id="rId10"/>
    <sheet name="NOVEMBRE 2013" sheetId="11" r:id="rId11"/>
    <sheet name="DICEMBRE 2013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Lucia Rana</author>
  </authors>
  <commentList>
    <comment ref="B13" authorId="0">
      <text>
        <r>
          <rPr>
            <b/>
            <sz val="9"/>
            <rFont val="Tahoma"/>
            <family val="2"/>
          </rPr>
          <t>Lucia Rana:</t>
        </r>
        <r>
          <rPr>
            <sz val="9"/>
            <rFont val="Tahoma"/>
            <family val="2"/>
          </rPr>
          <t xml:space="preserve">
Gennaio</t>
        </r>
      </text>
    </comment>
    <comment ref="B15" authorId="0">
      <text>
        <r>
          <rPr>
            <b/>
            <sz val="9"/>
            <rFont val="Tahoma"/>
            <family val="2"/>
          </rPr>
          <t>Lucia Rana:</t>
        </r>
        <r>
          <rPr>
            <sz val="9"/>
            <rFont val="Tahoma"/>
            <family val="2"/>
          </rPr>
          <t xml:space="preserve">
Febbraio + € 24,50 x errore NS Novembre</t>
        </r>
      </text>
    </comment>
  </commentList>
</comments>
</file>

<file path=xl/comments3.xml><?xml version="1.0" encoding="utf-8"?>
<comments xmlns="http://schemas.openxmlformats.org/spreadsheetml/2006/main">
  <authors>
    <author>Lucia Rana</author>
  </authors>
  <commentList>
    <comment ref="B13" authorId="0">
      <text>
        <r>
          <rPr>
            <b/>
            <sz val="9"/>
            <rFont val="Tahoma"/>
            <family val="2"/>
          </rPr>
          <t>Lucia Rana:</t>
        </r>
        <r>
          <rPr>
            <sz val="9"/>
            <rFont val="Tahoma"/>
            <family val="2"/>
          </rPr>
          <t xml:space="preserve">
+ € 7,80 da errore NS Gennaio</t>
        </r>
      </text>
    </comment>
  </commentList>
</comments>
</file>

<file path=xl/sharedStrings.xml><?xml version="1.0" encoding="utf-8"?>
<sst xmlns="http://schemas.openxmlformats.org/spreadsheetml/2006/main" count="306" uniqueCount="91">
  <si>
    <t>TOTALE DOVUTO (in Euro)</t>
  </si>
  <si>
    <t>Busatto Fabio</t>
  </si>
  <si>
    <t>Bettini Marco</t>
  </si>
  <si>
    <t>Filippi Luca</t>
  </si>
  <si>
    <t>Ornaghi Alberto</t>
  </si>
  <si>
    <t>Russo Giancarlo</t>
  </si>
  <si>
    <t>Luppi Massimiliano</t>
  </si>
  <si>
    <t>Bedeschi Valeriano</t>
  </si>
  <si>
    <t>Vincenzetti David</t>
  </si>
  <si>
    <t>Cornelli Fabrizio</t>
  </si>
  <si>
    <t>de Giovanni Fulvio</t>
  </si>
  <si>
    <t>Romeo Mauro</t>
  </si>
  <si>
    <t>Milan Daniele</t>
  </si>
  <si>
    <t>Valleri Marco</t>
  </si>
  <si>
    <t>Pelliccione Alberto</t>
  </si>
  <si>
    <t>Scarafile Alessandro</t>
  </si>
  <si>
    <t>Maanna Mostapha</t>
  </si>
  <si>
    <t>Levi Emanuele</t>
  </si>
  <si>
    <t xml:space="preserve">COLLABORATORI - NOME </t>
  </si>
  <si>
    <t xml:space="preserve">DIPENDENTI - NOME </t>
  </si>
  <si>
    <t>TOTALE RIMBORSI SPESE</t>
  </si>
  <si>
    <t>Velasco Alex</t>
  </si>
  <si>
    <t>TOTALE RIMBORSI SPESE €</t>
  </si>
  <si>
    <t>Catino Marco</t>
  </si>
  <si>
    <t>Maglietta Daniel</t>
  </si>
  <si>
    <t>Woon Serge</t>
  </si>
  <si>
    <t>Di Pasquale Andrea</t>
  </si>
  <si>
    <t>SGD 551,81</t>
  </si>
  <si>
    <t>SGD 13,64</t>
  </si>
  <si>
    <t>PROSPETTO NOTE SPESE MESE DI GENNAIO 2013</t>
  </si>
  <si>
    <t>USD 13077,14</t>
  </si>
  <si>
    <t>Tolti € 153,72 x Errore NS Ottobre USD</t>
  </si>
  <si>
    <t>Rimborsato 08/02/13</t>
  </si>
  <si>
    <t>Rimborsato con BB 11/02/13 (non  mandare a GDA)</t>
  </si>
  <si>
    <t>Rimborsato 28/02/13</t>
  </si>
  <si>
    <t>Rimborsato 06/03/13</t>
  </si>
  <si>
    <t>TOTALE RIMBORSI SPESE SGD</t>
  </si>
  <si>
    <t>TOTALE RIMBORSI SPESE $</t>
  </si>
  <si>
    <t>PROSPETTO NOTE SPESE MESE DI FEBBRAIO 2013</t>
  </si>
  <si>
    <t>PROSPETTO NOTE SPESE MESE DI MARZO 2013</t>
  </si>
  <si>
    <t>Rimborsato 05/04/13</t>
  </si>
  <si>
    <t xml:space="preserve">COGNOME - NOME </t>
  </si>
  <si>
    <t>Iannelli Stefania</t>
  </si>
  <si>
    <t>Rimborsato 02/05/13</t>
  </si>
  <si>
    <t>Galvagna Sara</t>
  </si>
  <si>
    <t>PROSPETTO NOTE SPESE MESE DI APRILE 2013</t>
  </si>
  <si>
    <t>Rimborsato 29/05/13</t>
  </si>
  <si>
    <t>Rimborsato 05/06/13</t>
  </si>
  <si>
    <t>Bagnasco Stefano</t>
  </si>
  <si>
    <t>Rimborsato 18/06/13</t>
  </si>
  <si>
    <t>doc. CC</t>
  </si>
  <si>
    <t>da rimborsare</t>
  </si>
  <si>
    <t>PROSPETTO NOTE SPESE MESE DI MAGGIO 2013</t>
  </si>
  <si>
    <t>Aggiunti € 40,73 per errore NS Aprile (ILS)</t>
  </si>
  <si>
    <t>PROSPETTO NOTE SPESE MESE DI GIUGNO 2013</t>
  </si>
  <si>
    <t>PROSPETTO NOTE SPESE MESE DI LUGLIO 2013</t>
  </si>
  <si>
    <t>Maanna Moustapha</t>
  </si>
  <si>
    <t>Rimborsato il 5/07</t>
  </si>
  <si>
    <t>Rimborsato il 01/08</t>
  </si>
  <si>
    <t>Rimborsato il 7/08</t>
  </si>
  <si>
    <t>Bonifico il 7/08</t>
  </si>
  <si>
    <t>PROSPETTO NOTE SPESE MESE DI AGOSTO 2013</t>
  </si>
  <si>
    <t>Rimborsato il 3/09</t>
  </si>
  <si>
    <t>Rimborsati il 2/09 € 738,00, il 5/09  € 830,81</t>
  </si>
  <si>
    <t>USD 4.742,61</t>
  </si>
  <si>
    <t>USD 3.016,45</t>
  </si>
  <si>
    <t>USD 784,27</t>
  </si>
  <si>
    <t>PROSPETTO NOTE SPESE MESE DI SETTEMBRE 2013</t>
  </si>
  <si>
    <t>Rimborsato il 8/10</t>
  </si>
  <si>
    <t>Rimborsato il 30/09</t>
  </si>
  <si>
    <t>SGD 236,32</t>
  </si>
  <si>
    <t>SGD 286,69</t>
  </si>
  <si>
    <t>Detratti € 60,00 per cambio biglietto Milipol</t>
  </si>
  <si>
    <t>PROSPETTO NOTE SPESE MESE DI OTTOBRE 2013</t>
  </si>
  <si>
    <t>Shehata Emad</t>
  </si>
  <si>
    <t>Rimborsato il 4/11</t>
  </si>
  <si>
    <t>Rimborsato il 5/11</t>
  </si>
  <si>
    <t>Rimborsato il 13/12</t>
  </si>
  <si>
    <t>Rimborsato il 6/12</t>
  </si>
  <si>
    <t>Solis Sergio</t>
  </si>
  <si>
    <t>PROSPETTO NOTE SPESE MESE DI NOVEMBRE 2013</t>
  </si>
  <si>
    <t xml:space="preserve">€ 28,63 da NS Ottobre </t>
  </si>
  <si>
    <t>PROSPETTO NOTE SPESE MESE DI DICEMBRE 2013</t>
  </si>
  <si>
    <t>Rimborsato il 7/01</t>
  </si>
  <si>
    <t>Furlan Walter</t>
  </si>
  <si>
    <t>Rodriguez Sergio</t>
  </si>
  <si>
    <t>Aggiunti € 28,67 da NS Ottobre</t>
  </si>
  <si>
    <t>Aggiunti SDG 9,26 da NS Ottobre</t>
  </si>
  <si>
    <t>Iannelli Stefani</t>
  </si>
  <si>
    <t>Sottratti € 14,09 da NS Novembre</t>
  </si>
  <si>
    <t>Aggiunti € 7,40 da NS Novembre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</si>
</sst>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#,##0.00\ [$€-1];[Red]\-#,##0.00\ [$€-1]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_ ;[Red]\-#,##0.00\ "/>
    <numFmt numFmtId="171" formatCode="[$SGD]\ #,##0.00;[Red][$SGD]\ #,##0.00"/>
    <numFmt numFmtId="172" formatCode="[$USD]\ #,##0.00;[Red][$USD]\ #,##0.00"/>
    <numFmt numFmtId="173" formatCode="[$SGD]\ #,##0.00;[Red]\-[$SGD]\ #,##0.00"/>
    <numFmt numFmtId="174" formatCode="[$$-409]#,##0.00_ ;[Red]\-[$$-409]#,##0.00\ "/>
    <numFmt numFmtId="175" formatCode="[$$-409]#,##0.00;[Red][$$-409]#,##0.00"/>
    <numFmt numFmtId="176" formatCode="[$$-409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42" fillId="33" borderId="10" xfId="0" applyFont="1" applyFill="1" applyBorder="1" applyAlignment="1">
      <alignment horizontal="right"/>
    </xf>
    <xf numFmtId="0" fontId="23" fillId="34" borderId="11" xfId="0" applyFont="1" applyFill="1" applyBorder="1" applyAlignment="1">
      <alignment/>
    </xf>
    <xf numFmtId="164" fontId="45" fillId="34" borderId="12" xfId="45" applyNumberFormat="1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" borderId="14" xfId="0" applyFill="1" applyBorder="1" applyAlignment="1">
      <alignment/>
    </xf>
    <xf numFmtId="164" fontId="45" fillId="33" borderId="15" xfId="45" applyNumberFormat="1" applyFont="1" applyFill="1" applyBorder="1" applyAlignment="1">
      <alignment/>
    </xf>
    <xf numFmtId="0" fontId="0" fillId="0" borderId="16" xfId="0" applyBorder="1" applyAlignment="1">
      <alignment/>
    </xf>
    <xf numFmtId="170" fontId="45" fillId="33" borderId="16" xfId="45" applyNumberFormat="1" applyFont="1" applyFill="1" applyBorder="1" applyAlignment="1">
      <alignment/>
    </xf>
    <xf numFmtId="170" fontId="45" fillId="33" borderId="15" xfId="45" applyNumberFormat="1" applyFont="1" applyFill="1" applyBorder="1" applyAlignment="1">
      <alignment/>
    </xf>
    <xf numFmtId="164" fontId="45" fillId="33" borderId="16" xfId="45" applyNumberFormat="1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164" fontId="25" fillId="33" borderId="16" xfId="45" applyNumberFormat="1" applyFont="1" applyFill="1" applyBorder="1" applyAlignment="1">
      <alignment horizontal="right"/>
    </xf>
    <xf numFmtId="164" fontId="45" fillId="33" borderId="17" xfId="45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1" fontId="45" fillId="33" borderId="16" xfId="45" applyNumberFormat="1" applyFont="1" applyFill="1" applyBorder="1" applyAlignment="1">
      <alignment horizontal="right"/>
    </xf>
    <xf numFmtId="172" fontId="45" fillId="33" borderId="16" xfId="45" applyNumberFormat="1" applyFont="1" applyFill="1" applyBorder="1" applyAlignment="1">
      <alignment horizontal="right"/>
    </xf>
    <xf numFmtId="164" fontId="45" fillId="34" borderId="12" xfId="45" applyNumberFormat="1" applyFont="1" applyFill="1" applyBorder="1" applyAlignment="1">
      <alignment horizontal="right"/>
    </xf>
    <xf numFmtId="173" fontId="45" fillId="33" borderId="16" xfId="45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170" fontId="45" fillId="33" borderId="16" xfId="45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174" fontId="45" fillId="33" borderId="16" xfId="45" applyNumberFormat="1" applyFont="1" applyFill="1" applyBorder="1" applyAlignment="1">
      <alignment horizontal="right"/>
    </xf>
    <xf numFmtId="175" fontId="45" fillId="34" borderId="12" xfId="45" applyNumberFormat="1" applyFont="1" applyFill="1" applyBorder="1" applyAlignment="1">
      <alignment horizontal="right"/>
    </xf>
    <xf numFmtId="176" fontId="45" fillId="33" borderId="16" xfId="45" applyNumberFormat="1" applyFont="1" applyFill="1" applyBorder="1" applyAlignment="1">
      <alignment horizontal="right"/>
    </xf>
    <xf numFmtId="176" fontId="45" fillId="34" borderId="12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57421875" style="0" customWidth="1"/>
    <col min="2" max="2" width="29.140625" style="0" customWidth="1"/>
  </cols>
  <sheetData>
    <row r="1" spans="1:2" ht="19.5" thickBot="1">
      <c r="A1" s="24" t="s">
        <v>29</v>
      </c>
      <c r="B1" s="25"/>
    </row>
    <row r="2" spans="1:2" ht="15.75" thickBot="1">
      <c r="A2" s="6" t="s">
        <v>19</v>
      </c>
      <c r="B2" s="3" t="s">
        <v>0</v>
      </c>
    </row>
    <row r="3" spans="1:3" ht="15.75">
      <c r="A3" s="8" t="s">
        <v>2</v>
      </c>
      <c r="B3" s="11">
        <v>112.91</v>
      </c>
      <c r="C3" s="1"/>
    </row>
    <row r="4" spans="1:3" ht="15.75">
      <c r="A4" s="7" t="s">
        <v>16</v>
      </c>
      <c r="B4" s="11">
        <v>1626</v>
      </c>
      <c r="C4" s="1"/>
    </row>
    <row r="5" spans="1:3" ht="15.75">
      <c r="A5" s="8" t="s">
        <v>24</v>
      </c>
      <c r="B5" s="15" t="s">
        <v>28</v>
      </c>
      <c r="C5" s="14"/>
    </row>
    <row r="6" spans="1:3" ht="15.75">
      <c r="A6" s="7" t="s">
        <v>12</v>
      </c>
      <c r="B6" s="13">
        <f>77.24+53</f>
        <v>130.24</v>
      </c>
      <c r="C6" s="14"/>
    </row>
    <row r="7" spans="1:3" ht="15.75">
      <c r="A7" s="8" t="s">
        <v>4</v>
      </c>
      <c r="B7" s="13">
        <v>27.39</v>
      </c>
      <c r="C7" s="14"/>
    </row>
    <row r="8" spans="1:3" ht="15.75">
      <c r="A8" s="7" t="s">
        <v>11</v>
      </c>
      <c r="B8" s="13">
        <v>455.79</v>
      </c>
      <c r="C8" s="14"/>
    </row>
    <row r="9" spans="1:3" ht="15.75">
      <c r="A9" s="8" t="s">
        <v>5</v>
      </c>
      <c r="B9" s="11">
        <v>95.05</v>
      </c>
      <c r="C9" s="1"/>
    </row>
    <row r="10" spans="1:4" ht="16.5" thickBot="1">
      <c r="A10" s="7" t="s">
        <v>25</v>
      </c>
      <c r="B10" s="13" t="s">
        <v>27</v>
      </c>
      <c r="C10" s="1"/>
      <c r="D10" s="1"/>
    </row>
    <row r="11" spans="1:2" ht="15.75" thickBot="1">
      <c r="A11" s="6" t="s">
        <v>18</v>
      </c>
      <c r="B11" s="10"/>
    </row>
    <row r="12" spans="1:3" ht="15.75">
      <c r="A12" s="8" t="s">
        <v>7</v>
      </c>
      <c r="B12" s="11">
        <v>318.9</v>
      </c>
      <c r="C12" s="2" t="s">
        <v>34</v>
      </c>
    </row>
    <row r="13" spans="1:3" ht="15.75">
      <c r="A13" s="7" t="s">
        <v>26</v>
      </c>
      <c r="B13" s="11">
        <v>1000</v>
      </c>
      <c r="C13" s="2" t="s">
        <v>33</v>
      </c>
    </row>
    <row r="14" spans="1:7" ht="15.75">
      <c r="A14" s="8" t="s">
        <v>23</v>
      </c>
      <c r="B14" s="9">
        <f>116.19+213.45-153.72</f>
        <v>175.92</v>
      </c>
      <c r="C14" s="1" t="s">
        <v>31</v>
      </c>
      <c r="D14" s="1"/>
      <c r="E14" s="1"/>
      <c r="F14" s="1"/>
      <c r="G14" s="1"/>
    </row>
    <row r="15" spans="1:2" ht="15.75">
      <c r="A15" s="7" t="s">
        <v>15</v>
      </c>
      <c r="B15" s="11">
        <v>91.29</v>
      </c>
    </row>
    <row r="16" spans="1:2" ht="15.75">
      <c r="A16" s="8" t="s">
        <v>13</v>
      </c>
      <c r="B16" s="11">
        <v>55.5</v>
      </c>
    </row>
    <row r="17" spans="1:2" ht="15.75">
      <c r="A17" s="7" t="s">
        <v>21</v>
      </c>
      <c r="B17" s="16" t="s">
        <v>30</v>
      </c>
    </row>
    <row r="18" spans="1:3" ht="16.5" thickBot="1">
      <c r="A18" s="8" t="s">
        <v>8</v>
      </c>
      <c r="B18" s="11">
        <v>119</v>
      </c>
      <c r="C18" s="2" t="s">
        <v>32</v>
      </c>
    </row>
    <row r="19" spans="1:2" ht="16.5" thickBot="1">
      <c r="A19" s="4" t="s">
        <v>20</v>
      </c>
      <c r="B19" s="5">
        <f>SUM(B3:B4,B6:B9,B12:B16,B18)</f>
        <v>4207.990000000001</v>
      </c>
    </row>
    <row r="21" ht="15">
      <c r="B21" s="17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73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277.5</v>
      </c>
      <c r="C3" s="1" t="s">
        <v>76</v>
      </c>
      <c r="D3" s="1"/>
      <c r="F3" s="1"/>
    </row>
    <row r="4" spans="1:7" ht="15.75">
      <c r="A4" s="7" t="s">
        <v>2</v>
      </c>
      <c r="B4" s="11">
        <f>345.73+13.52-0.47</f>
        <v>358.78</v>
      </c>
      <c r="C4" s="2"/>
      <c r="D4" s="2"/>
      <c r="E4" s="2"/>
      <c r="F4" s="1"/>
      <c r="G4" s="1"/>
    </row>
    <row r="5" spans="1:7" ht="15.75">
      <c r="A5" s="8" t="s">
        <v>23</v>
      </c>
      <c r="B5" s="11">
        <f>3.73-30.88-28.63</f>
        <v>-55.78</v>
      </c>
      <c r="C5" s="2"/>
      <c r="D5" s="2"/>
      <c r="E5" s="2"/>
      <c r="F5" s="1"/>
      <c r="G5" s="1"/>
    </row>
    <row r="6" spans="1:6" ht="15.75">
      <c r="A6" s="7" t="s">
        <v>42</v>
      </c>
      <c r="B6" s="11">
        <f>108.13</f>
        <v>108.13</v>
      </c>
      <c r="C6" s="22"/>
      <c r="D6" s="1"/>
      <c r="E6" s="1"/>
      <c r="F6" s="1"/>
    </row>
    <row r="7" spans="1:6" ht="15.75">
      <c r="A7" s="8" t="s">
        <v>16</v>
      </c>
      <c r="B7" s="11">
        <f>405.4+59.1-90.45</f>
        <v>374.05</v>
      </c>
      <c r="C7" s="22"/>
      <c r="D7" s="1"/>
      <c r="E7" s="1"/>
      <c r="F7" s="1"/>
    </row>
    <row r="8" spans="1:6" ht="15.75">
      <c r="A8" s="7" t="s">
        <v>24</v>
      </c>
      <c r="B8" s="18">
        <f>24.2-5.14</f>
        <v>19.06</v>
      </c>
      <c r="C8" s="14"/>
      <c r="D8" s="1"/>
      <c r="E8" s="1"/>
      <c r="F8" s="1"/>
    </row>
    <row r="9" spans="1:6" ht="15.75">
      <c r="A9" s="8" t="s">
        <v>5</v>
      </c>
      <c r="B9" s="11">
        <f>64.6</f>
        <v>64.6</v>
      </c>
      <c r="C9" s="1"/>
      <c r="D9" s="1"/>
      <c r="F9" s="1"/>
    </row>
    <row r="10" spans="1:6" ht="15.75">
      <c r="A10" s="7" t="s">
        <v>15</v>
      </c>
      <c r="B10" s="23">
        <f>178.28+25.83+7.29+424.97</f>
        <v>636.37</v>
      </c>
      <c r="C10" s="1"/>
      <c r="D10" s="1"/>
      <c r="F10" s="1"/>
    </row>
    <row r="11" spans="1:6" ht="15.75">
      <c r="A11" s="8" t="s">
        <v>74</v>
      </c>
      <c r="B11" s="23">
        <v>15.5</v>
      </c>
      <c r="C11" s="1"/>
      <c r="D11" s="1"/>
      <c r="F11" s="1"/>
    </row>
    <row r="12" spans="1:6" ht="15.75">
      <c r="A12" s="26" t="s">
        <v>21</v>
      </c>
      <c r="B12" s="29">
        <v>2451.4</v>
      </c>
      <c r="C12" s="1"/>
      <c r="D12" s="1"/>
      <c r="F12" s="1"/>
    </row>
    <row r="13" spans="1:6" ht="15.75">
      <c r="A13" s="8" t="s">
        <v>8</v>
      </c>
      <c r="B13" s="11">
        <v>23</v>
      </c>
      <c r="C13" s="1" t="s">
        <v>75</v>
      </c>
      <c r="D13" s="1"/>
      <c r="F13" s="1"/>
    </row>
    <row r="14" spans="1:6" ht="16.5" thickBot="1">
      <c r="A14" s="7" t="s">
        <v>25</v>
      </c>
      <c r="B14" s="18">
        <f>23.41-11.59+12.77+3108.02</f>
        <v>3132.61</v>
      </c>
      <c r="D14" s="1"/>
      <c r="F14" s="1"/>
    </row>
    <row r="15" spans="1:2" ht="16.5" thickBot="1">
      <c r="A15" s="4" t="s">
        <v>22</v>
      </c>
      <c r="B15" s="5">
        <f>SUM(B3:B7,B9:B11,B13)</f>
        <v>1802.15</v>
      </c>
    </row>
    <row r="16" spans="1:3" ht="16.5" thickBot="1">
      <c r="A16" s="4" t="s">
        <v>36</v>
      </c>
      <c r="B16" s="20">
        <f>B14+B8</f>
        <v>3151.67</v>
      </c>
      <c r="C16" s="17"/>
    </row>
    <row r="17" spans="1:2" ht="16.5" thickBot="1">
      <c r="A17" s="4" t="s">
        <v>37</v>
      </c>
      <c r="B17" s="30">
        <f>B12</f>
        <v>2451.4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80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38.5</v>
      </c>
      <c r="C3" s="1" t="s">
        <v>78</v>
      </c>
      <c r="D3" s="1"/>
      <c r="F3" s="1"/>
    </row>
    <row r="4" spans="1:7" ht="15.75">
      <c r="A4" s="7" t="s">
        <v>2</v>
      </c>
      <c r="B4" s="11">
        <f>40.12-19.07</f>
        <v>21.049999999999997</v>
      </c>
      <c r="C4" s="2"/>
      <c r="D4" s="2"/>
      <c r="E4" s="2"/>
      <c r="F4" s="1"/>
      <c r="G4" s="1"/>
    </row>
    <row r="5" spans="1:7" ht="15.75">
      <c r="A5" s="8" t="s">
        <v>23</v>
      </c>
      <c r="B5" s="11">
        <f>90.45-2.68</f>
        <v>87.77</v>
      </c>
      <c r="C5" s="2"/>
      <c r="D5" s="2"/>
      <c r="E5" s="2"/>
      <c r="F5" s="1"/>
      <c r="G5" s="1"/>
    </row>
    <row r="6" spans="1:7" ht="15.75">
      <c r="A6" s="7" t="s">
        <v>10</v>
      </c>
      <c r="B6" s="11">
        <f>41.8+28.63</f>
        <v>70.42999999999999</v>
      </c>
      <c r="C6" s="1" t="s">
        <v>81</v>
      </c>
      <c r="D6" s="2"/>
      <c r="E6" s="2"/>
      <c r="F6" s="1"/>
      <c r="G6" s="1"/>
    </row>
    <row r="7" spans="1:6" ht="15.75">
      <c r="A7" s="8" t="s">
        <v>42</v>
      </c>
      <c r="B7" s="11">
        <f>5.41-130.34</f>
        <v>-124.93</v>
      </c>
      <c r="C7" s="22"/>
      <c r="D7" s="1"/>
      <c r="E7" s="1"/>
      <c r="F7" s="1"/>
    </row>
    <row r="8" spans="1:6" ht="15.75">
      <c r="A8" s="7" t="s">
        <v>6</v>
      </c>
      <c r="B8" s="11">
        <f>238.8-0.4</f>
        <v>238.4</v>
      </c>
      <c r="C8" s="22"/>
      <c r="D8" s="1"/>
      <c r="E8" s="1"/>
      <c r="F8" s="1"/>
    </row>
    <row r="9" spans="1:6" ht="15.75">
      <c r="A9" s="8" t="s">
        <v>16</v>
      </c>
      <c r="B9" s="11">
        <f>2651+101</f>
        <v>2752</v>
      </c>
      <c r="C9" s="22"/>
      <c r="D9" s="1"/>
      <c r="E9" s="1"/>
      <c r="F9" s="1"/>
    </row>
    <row r="10" spans="1:6" ht="15.75">
      <c r="A10" s="7" t="s">
        <v>24</v>
      </c>
      <c r="B10" s="18">
        <v>3434.76</v>
      </c>
      <c r="C10" s="14"/>
      <c r="D10" s="1"/>
      <c r="E10" s="1"/>
      <c r="F10" s="1"/>
    </row>
    <row r="11" spans="1:6" ht="15.75">
      <c r="A11" s="8" t="s">
        <v>12</v>
      </c>
      <c r="B11" s="11">
        <f>1.47+123.69-0.93</f>
        <v>124.22999999999999</v>
      </c>
      <c r="C11" s="14"/>
      <c r="D11" s="1"/>
      <c r="E11" s="1"/>
      <c r="F11" s="1"/>
    </row>
    <row r="12" spans="1:6" ht="15.75">
      <c r="A12" s="7" t="s">
        <v>5</v>
      </c>
      <c r="B12" s="11">
        <f>514.48+2.16</f>
        <v>516.64</v>
      </c>
      <c r="C12" s="1"/>
      <c r="D12" s="1"/>
      <c r="F12" s="1"/>
    </row>
    <row r="13" spans="1:6" ht="15.75">
      <c r="A13" s="8" t="s">
        <v>74</v>
      </c>
      <c r="B13" s="23">
        <v>-6.9</v>
      </c>
      <c r="C13" s="1"/>
      <c r="D13" s="1"/>
      <c r="F13" s="1"/>
    </row>
    <row r="14" spans="1:6" ht="15.75">
      <c r="A14" s="7" t="s">
        <v>79</v>
      </c>
      <c r="B14" s="23">
        <v>268</v>
      </c>
      <c r="C14" s="1"/>
      <c r="D14" s="1"/>
      <c r="F14" s="1"/>
    </row>
    <row r="15" spans="1:6" ht="15.75">
      <c r="A15" s="8" t="s">
        <v>13</v>
      </c>
      <c r="B15" s="23">
        <v>33.7</v>
      </c>
      <c r="C15" s="1"/>
      <c r="D15" s="1"/>
      <c r="F15" s="1"/>
    </row>
    <row r="16" spans="1:6" ht="15.75">
      <c r="A16" s="7" t="s">
        <v>21</v>
      </c>
      <c r="B16" s="23">
        <v>0</v>
      </c>
      <c r="C16" s="1"/>
      <c r="D16" s="1"/>
      <c r="F16" s="1"/>
    </row>
    <row r="17" spans="1:6" ht="15.75">
      <c r="A17" s="8" t="s">
        <v>8</v>
      </c>
      <c r="B17" s="11">
        <f>59.07</f>
        <v>59.07</v>
      </c>
      <c r="C17" s="1" t="s">
        <v>77</v>
      </c>
      <c r="D17" s="1"/>
      <c r="F17" s="1"/>
    </row>
    <row r="18" spans="1:6" ht="16.5" thickBot="1">
      <c r="A18" s="7" t="s">
        <v>25</v>
      </c>
      <c r="B18" s="18">
        <v>545.05</v>
      </c>
      <c r="D18" s="1"/>
      <c r="F18" s="1"/>
    </row>
    <row r="19" spans="1:2" ht="16.5" thickBot="1">
      <c r="A19" s="4" t="s">
        <v>22</v>
      </c>
      <c r="B19" s="5">
        <f>SUM(B3:B9,B11:B15,B17)</f>
        <v>4077.96</v>
      </c>
    </row>
    <row r="20" spans="1:3" ht="16.5" thickBot="1">
      <c r="A20" s="4" t="s">
        <v>36</v>
      </c>
      <c r="B20" s="20">
        <f>B18+B10</f>
        <v>3979.8100000000004</v>
      </c>
      <c r="C20" s="17"/>
    </row>
    <row r="21" spans="1:2" ht="16.5" thickBot="1">
      <c r="A21" s="4" t="s">
        <v>37</v>
      </c>
      <c r="B21" s="20">
        <f>B16</f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31.28125" style="0" customWidth="1"/>
  </cols>
  <sheetData>
    <row r="1" spans="1:2" ht="19.5" thickBot="1">
      <c r="A1" s="24" t="s">
        <v>82</v>
      </c>
      <c r="B1" s="25"/>
    </row>
    <row r="2" spans="1:2" ht="15.75" thickBot="1">
      <c r="A2" s="6" t="s">
        <v>41</v>
      </c>
      <c r="B2" s="3" t="s">
        <v>0</v>
      </c>
    </row>
    <row r="3" spans="1:7" ht="15.75">
      <c r="A3" s="8" t="s">
        <v>2</v>
      </c>
      <c r="B3" s="11">
        <f>56.4-22.18+7.76</f>
        <v>41.98</v>
      </c>
      <c r="C3" s="2"/>
      <c r="D3" s="2"/>
      <c r="E3" s="2"/>
      <c r="F3" s="1"/>
      <c r="G3" s="1"/>
    </row>
    <row r="4" spans="1:7" ht="15.75">
      <c r="A4" s="7" t="s">
        <v>23</v>
      </c>
      <c r="B4" s="11">
        <f>9.27-211.9</f>
        <v>-202.63</v>
      </c>
      <c r="C4" s="2"/>
      <c r="D4" s="2"/>
      <c r="E4" s="2"/>
      <c r="F4" s="1"/>
      <c r="G4" s="1"/>
    </row>
    <row r="5" spans="1:7" ht="15.75">
      <c r="A5" s="8" t="s">
        <v>10</v>
      </c>
      <c r="B5" s="11">
        <f>12.66+419.35+28.67</f>
        <v>460.68000000000006</v>
      </c>
      <c r="C5" s="1" t="s">
        <v>86</v>
      </c>
      <c r="D5" s="2"/>
      <c r="E5" s="2"/>
      <c r="F5" s="1"/>
      <c r="G5" s="1"/>
    </row>
    <row r="6" spans="1:7" ht="15.75">
      <c r="A6" s="7" t="s">
        <v>84</v>
      </c>
      <c r="B6" s="11">
        <f>125.4</f>
        <v>125.4</v>
      </c>
      <c r="C6" s="1"/>
      <c r="D6" s="2"/>
      <c r="E6" s="2"/>
      <c r="F6" s="1"/>
      <c r="G6" s="1"/>
    </row>
    <row r="7" spans="1:7" ht="15.75">
      <c r="A7" s="8" t="s">
        <v>88</v>
      </c>
      <c r="B7" s="11">
        <v>-14.09</v>
      </c>
      <c r="C7" s="1" t="s">
        <v>89</v>
      </c>
      <c r="D7" s="2"/>
      <c r="E7" s="2"/>
      <c r="F7" s="1"/>
      <c r="G7" s="1"/>
    </row>
    <row r="8" spans="1:6" ht="15.75">
      <c r="A8" s="7" t="s">
        <v>6</v>
      </c>
      <c r="B8" s="11">
        <f>86.28+41.41+19.1+7.4</f>
        <v>154.19</v>
      </c>
      <c r="C8" s="22" t="s">
        <v>90</v>
      </c>
      <c r="D8" s="1"/>
      <c r="E8" s="1"/>
      <c r="F8" s="1"/>
    </row>
    <row r="9" spans="1:6" ht="15.75">
      <c r="A9" s="8" t="s">
        <v>16</v>
      </c>
      <c r="B9" s="11">
        <f>504.51+269.85</f>
        <v>774.36</v>
      </c>
      <c r="C9" s="22"/>
      <c r="D9" s="1"/>
      <c r="E9" s="1"/>
      <c r="F9" s="1"/>
    </row>
    <row r="10" spans="1:6" ht="15.75">
      <c r="A10" s="7" t="s">
        <v>24</v>
      </c>
      <c r="B10" s="18">
        <f>54.16</f>
        <v>54.16</v>
      </c>
      <c r="C10" s="22" t="s">
        <v>87</v>
      </c>
      <c r="D10" s="1"/>
      <c r="E10" s="1"/>
      <c r="F10" s="1"/>
    </row>
    <row r="11" spans="1:6" ht="15.75">
      <c r="A11" s="8" t="s">
        <v>12</v>
      </c>
      <c r="B11" s="11">
        <v>14</v>
      </c>
      <c r="C11" s="14"/>
      <c r="D11" s="1"/>
      <c r="E11" s="1"/>
      <c r="F11" s="1"/>
    </row>
    <row r="12" spans="1:6" ht="15.75">
      <c r="A12" s="7" t="s">
        <v>4</v>
      </c>
      <c r="B12" s="11">
        <f>62.67</f>
        <v>62.67</v>
      </c>
      <c r="C12" s="14"/>
      <c r="D12" s="1"/>
      <c r="E12" s="1"/>
      <c r="F12" s="1"/>
    </row>
    <row r="13" spans="1:6" ht="15.75">
      <c r="A13" s="8" t="s">
        <v>85</v>
      </c>
      <c r="B13" s="11">
        <f>276.51+723.3</f>
        <v>999.81</v>
      </c>
      <c r="C13" s="14"/>
      <c r="D13" s="1"/>
      <c r="E13" s="1"/>
      <c r="F13" s="1"/>
    </row>
    <row r="14" spans="1:6" ht="15.75">
      <c r="A14" s="7" t="s">
        <v>5</v>
      </c>
      <c r="B14" s="11">
        <f>38.4</f>
        <v>38.4</v>
      </c>
      <c r="C14" s="1"/>
      <c r="D14" s="1"/>
      <c r="F14" s="1"/>
    </row>
    <row r="15" spans="1:6" ht="15.75">
      <c r="A15" s="8" t="s">
        <v>15</v>
      </c>
      <c r="B15" s="11">
        <f>669.08</f>
        <v>669.08</v>
      </c>
      <c r="C15" s="1"/>
      <c r="D15" s="1"/>
      <c r="F15" s="1"/>
    </row>
    <row r="16" spans="1:6" ht="15.75">
      <c r="A16" s="7" t="s">
        <v>74</v>
      </c>
      <c r="B16" s="23">
        <f>23.7</f>
        <v>23.7</v>
      </c>
      <c r="C16" s="1"/>
      <c r="D16" s="1"/>
      <c r="F16" s="1"/>
    </row>
    <row r="17" spans="1:6" ht="15.75">
      <c r="A17" s="8" t="s">
        <v>21</v>
      </c>
      <c r="B17" s="29">
        <v>2440.97</v>
      </c>
      <c r="C17" s="1"/>
      <c r="D17" s="1"/>
      <c r="F17" s="1"/>
    </row>
    <row r="18" spans="1:6" ht="15.75">
      <c r="A18" s="7" t="s">
        <v>8</v>
      </c>
      <c r="B18" s="11">
        <v>14</v>
      </c>
      <c r="C18" s="1" t="s">
        <v>83</v>
      </c>
      <c r="D18" s="1"/>
      <c r="F18" s="1"/>
    </row>
    <row r="19" spans="1:6" ht="16.5" thickBot="1">
      <c r="A19" s="8" t="s">
        <v>25</v>
      </c>
      <c r="B19" s="18">
        <v>28.04</v>
      </c>
      <c r="D19" s="1"/>
      <c r="F19" s="1"/>
    </row>
    <row r="20" spans="1:2" ht="16.5" thickBot="1">
      <c r="A20" s="4" t="s">
        <v>22</v>
      </c>
      <c r="B20" s="5">
        <f>SUM(B3:B9,B11:B16,B18)</f>
        <v>3161.5499999999997</v>
      </c>
    </row>
    <row r="21" spans="1:3" ht="16.5" thickBot="1">
      <c r="A21" s="4" t="s">
        <v>36</v>
      </c>
      <c r="B21" s="20">
        <f>B19+B10</f>
        <v>82.19999999999999</v>
      </c>
      <c r="C21" s="17"/>
    </row>
    <row r="22" spans="1:2" ht="16.5" thickBot="1">
      <c r="A22" s="4" t="s">
        <v>37</v>
      </c>
      <c r="B22" s="30">
        <f>B17</f>
        <v>2440.97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6.57421875" style="0" customWidth="1"/>
    <col min="2" max="2" width="29.140625" style="0" customWidth="1"/>
  </cols>
  <sheetData>
    <row r="1" spans="1:2" ht="19.5" thickBot="1">
      <c r="A1" s="24" t="s">
        <v>38</v>
      </c>
      <c r="B1" s="25"/>
    </row>
    <row r="2" spans="1:2" ht="15.75" thickBot="1">
      <c r="A2" s="6" t="s">
        <v>19</v>
      </c>
      <c r="B2" s="3" t="s">
        <v>0</v>
      </c>
    </row>
    <row r="3" spans="1:3" ht="15.75">
      <c r="A3" s="7" t="s">
        <v>2</v>
      </c>
      <c r="B3" s="11">
        <f>124.3-45.89</f>
        <v>78.41</v>
      </c>
      <c r="C3" s="1"/>
    </row>
    <row r="4" spans="1:3" ht="15.75">
      <c r="A4" s="8" t="s">
        <v>16</v>
      </c>
      <c r="B4" s="11">
        <f>232-8.38-20.74</f>
        <v>202.88</v>
      </c>
      <c r="C4" s="1"/>
    </row>
    <row r="5" spans="1:3" ht="15.75">
      <c r="A5" s="7" t="s">
        <v>24</v>
      </c>
      <c r="B5" s="18">
        <f>14.93+19.16+22.29</f>
        <v>56.38</v>
      </c>
      <c r="C5" s="14"/>
    </row>
    <row r="6" spans="1:3" ht="15.75">
      <c r="A6" s="8" t="s">
        <v>11</v>
      </c>
      <c r="B6" s="13">
        <v>287.85</v>
      </c>
      <c r="C6" s="14"/>
    </row>
    <row r="7" spans="1:4" ht="16.5" thickBot="1">
      <c r="A7" s="7" t="s">
        <v>25</v>
      </c>
      <c r="B7" s="18">
        <f>72.95+19.12</f>
        <v>92.07000000000001</v>
      </c>
      <c r="C7" s="1"/>
      <c r="D7" s="1"/>
    </row>
    <row r="8" spans="1:2" ht="15.75" thickBot="1">
      <c r="A8" s="6" t="s">
        <v>18</v>
      </c>
      <c r="B8" s="10"/>
    </row>
    <row r="9" spans="1:3" ht="15.75">
      <c r="A9" s="7" t="s">
        <v>7</v>
      </c>
      <c r="B9" s="11">
        <v>314.2</v>
      </c>
      <c r="C9" s="2" t="s">
        <v>43</v>
      </c>
    </row>
    <row r="10" spans="1:3" ht="15.75">
      <c r="A10" s="8" t="s">
        <v>1</v>
      </c>
      <c r="B10" s="11">
        <f>-9.71-0.78</f>
        <v>-10.49</v>
      </c>
      <c r="C10" s="1"/>
    </row>
    <row r="11" spans="1:7" ht="15.75">
      <c r="A11" s="7" t="s">
        <v>23</v>
      </c>
      <c r="B11" s="11">
        <f>-60.04+30+16.49</f>
        <v>-13.55</v>
      </c>
      <c r="C11" s="1"/>
      <c r="D11" s="1"/>
      <c r="E11" s="1"/>
      <c r="F11" s="1"/>
      <c r="G11" s="1"/>
    </row>
    <row r="12" spans="1:7" ht="15.75">
      <c r="A12" s="8" t="s">
        <v>9</v>
      </c>
      <c r="B12" s="12">
        <v>399</v>
      </c>
      <c r="C12" s="1"/>
      <c r="D12" s="1"/>
      <c r="E12" s="1"/>
      <c r="F12" s="1"/>
      <c r="G12" s="1"/>
    </row>
    <row r="13" spans="1:7" ht="15.75">
      <c r="A13" s="7" t="s">
        <v>3</v>
      </c>
      <c r="B13" s="9">
        <f>206.1+88</f>
        <v>294.1</v>
      </c>
      <c r="C13" s="1"/>
      <c r="D13" s="1"/>
      <c r="E13" s="1"/>
      <c r="F13" s="1"/>
      <c r="G13" s="1"/>
    </row>
    <row r="14" spans="1:7" ht="15.75">
      <c r="A14" s="8" t="s">
        <v>10</v>
      </c>
      <c r="B14" s="11">
        <f>-37.54+81.45+24.98</f>
        <v>68.89</v>
      </c>
      <c r="C14" s="1"/>
      <c r="D14" s="1"/>
      <c r="E14" s="1"/>
      <c r="F14" s="1"/>
      <c r="G14" s="1"/>
    </row>
    <row r="15" spans="1:2" ht="15.75">
      <c r="A15" s="7" t="s">
        <v>6</v>
      </c>
      <c r="B15" s="11">
        <f>109.18+10.23+24.5</f>
        <v>143.91000000000003</v>
      </c>
    </row>
    <row r="16" spans="1:3" ht="15.75">
      <c r="A16" s="8" t="s">
        <v>14</v>
      </c>
      <c r="B16" s="11">
        <v>91.79</v>
      </c>
      <c r="C16" s="1"/>
    </row>
    <row r="17" spans="1:3" ht="15.75">
      <c r="A17" s="7" t="s">
        <v>15</v>
      </c>
      <c r="B17" s="11">
        <f>29.55+284.85</f>
        <v>314.40000000000003</v>
      </c>
      <c r="C17" s="1"/>
    </row>
    <row r="18" spans="1:2" ht="15.75">
      <c r="A18" s="8" t="s">
        <v>21</v>
      </c>
      <c r="B18" s="19">
        <v>4190.18</v>
      </c>
    </row>
    <row r="19" spans="1:3" ht="16.5" thickBot="1">
      <c r="A19" s="7" t="s">
        <v>8</v>
      </c>
      <c r="B19" s="11">
        <f>269.1+92.49</f>
        <v>361.59000000000003</v>
      </c>
      <c r="C19" s="2" t="s">
        <v>35</v>
      </c>
    </row>
    <row r="20" spans="1:2" ht="16.5" thickBot="1">
      <c r="A20" s="4" t="s">
        <v>22</v>
      </c>
      <c r="B20" s="5">
        <f>SUM(B3:B4,B6,B9:B17,B19)</f>
        <v>2532.9800000000005</v>
      </c>
    </row>
    <row r="21" spans="1:3" ht="16.5" thickBot="1">
      <c r="A21" s="4" t="s">
        <v>36</v>
      </c>
      <c r="B21" s="5">
        <f>SUM(B5,B7)</f>
        <v>148.45000000000002</v>
      </c>
      <c r="C21" s="17"/>
    </row>
    <row r="22" spans="1:2" ht="16.5" thickBot="1">
      <c r="A22" s="4" t="s">
        <v>37</v>
      </c>
      <c r="B22" s="5">
        <f>B18</f>
        <v>4190.18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39</v>
      </c>
      <c r="B1" s="25"/>
    </row>
    <row r="2" spans="1:2" ht="15.75" thickBot="1">
      <c r="A2" s="6" t="s">
        <v>41</v>
      </c>
      <c r="B2" s="3" t="s">
        <v>0</v>
      </c>
    </row>
    <row r="3" spans="1:4" ht="15.75">
      <c r="A3" s="7" t="s">
        <v>7</v>
      </c>
      <c r="B3" s="11">
        <v>344.8</v>
      </c>
      <c r="C3" s="2" t="s">
        <v>43</v>
      </c>
      <c r="D3" s="1"/>
    </row>
    <row r="4" spans="1:3" ht="15.75">
      <c r="A4" s="8" t="s">
        <v>2</v>
      </c>
      <c r="B4" s="11">
        <f>39.05+5.68</f>
        <v>44.73</v>
      </c>
      <c r="C4" s="1"/>
    </row>
    <row r="5" spans="1:3" ht="15.75">
      <c r="A5" s="7" t="s">
        <v>1</v>
      </c>
      <c r="B5" s="11">
        <f>23.4</f>
        <v>23.4</v>
      </c>
      <c r="C5" s="1"/>
    </row>
    <row r="6" spans="1:7" ht="15.75">
      <c r="A6" s="8" t="s">
        <v>23</v>
      </c>
      <c r="B6" s="11">
        <f>-9.7+27-7.45+16.76</f>
        <v>26.610000000000003</v>
      </c>
      <c r="C6" s="1"/>
      <c r="D6" s="1"/>
      <c r="E6" s="1"/>
      <c r="F6" s="1"/>
      <c r="G6" s="1"/>
    </row>
    <row r="7" spans="1:7" ht="15.75">
      <c r="A7" s="7" t="s">
        <v>10</v>
      </c>
      <c r="B7" s="11">
        <f>19.47+61.28</f>
        <v>80.75</v>
      </c>
      <c r="C7" s="1"/>
      <c r="D7" s="1"/>
      <c r="E7" s="1"/>
      <c r="F7" s="1"/>
      <c r="G7" s="1"/>
    </row>
    <row r="8" spans="1:7" ht="15.75">
      <c r="A8" s="8" t="s">
        <v>42</v>
      </c>
      <c r="B8" s="11">
        <v>29.55</v>
      </c>
      <c r="C8" s="1"/>
      <c r="D8" s="1"/>
      <c r="E8" s="1"/>
      <c r="F8" s="1"/>
      <c r="G8" s="1"/>
    </row>
    <row r="9" spans="1:7" ht="15.75">
      <c r="A9" s="7" t="s">
        <v>17</v>
      </c>
      <c r="B9" s="11">
        <v>433.5</v>
      </c>
      <c r="C9" s="1"/>
      <c r="D9" s="1"/>
      <c r="E9" s="1"/>
      <c r="F9" s="1"/>
      <c r="G9" s="1"/>
    </row>
    <row r="10" spans="1:4" ht="15.75">
      <c r="A10" s="8" t="s">
        <v>6</v>
      </c>
      <c r="B10" s="11">
        <f>-5.84+112.94</f>
        <v>107.1</v>
      </c>
      <c r="D10" s="1"/>
    </row>
    <row r="11" spans="1:3" ht="15.75">
      <c r="A11" s="7" t="s">
        <v>16</v>
      </c>
      <c r="B11" s="11">
        <f>-9.64+232-63.08</f>
        <v>159.28000000000003</v>
      </c>
      <c r="C11" s="1"/>
    </row>
    <row r="12" spans="1:3" ht="15.75">
      <c r="A12" s="8" t="s">
        <v>24</v>
      </c>
      <c r="B12" s="18">
        <v>649.68</v>
      </c>
      <c r="C12" s="14"/>
    </row>
    <row r="13" spans="1:4" ht="15.75">
      <c r="A13" s="7" t="s">
        <v>11</v>
      </c>
      <c r="B13" s="13">
        <f>418.5+7.8</f>
        <v>426.3</v>
      </c>
      <c r="C13" s="14"/>
      <c r="D13" s="1"/>
    </row>
    <row r="14" spans="1:4" ht="15.75">
      <c r="A14" s="8" t="s">
        <v>5</v>
      </c>
      <c r="B14" s="13">
        <v>33</v>
      </c>
      <c r="C14" s="14"/>
      <c r="D14" s="1"/>
    </row>
    <row r="15" spans="1:3" ht="15.75">
      <c r="A15" s="7" t="s">
        <v>15</v>
      </c>
      <c r="B15" s="11">
        <f>145.48+7.23+569.47</f>
        <v>722.1800000000001</v>
      </c>
      <c r="C15" s="1"/>
    </row>
    <row r="16" spans="1:2" ht="15.75">
      <c r="A16" s="8" t="s">
        <v>21</v>
      </c>
      <c r="B16" s="19">
        <f>12446.76</f>
        <v>12446.76</v>
      </c>
    </row>
    <row r="17" spans="1:3" ht="15.75">
      <c r="A17" s="7" t="s">
        <v>8</v>
      </c>
      <c r="B17" s="11">
        <v>208.6</v>
      </c>
      <c r="C17" s="2" t="s">
        <v>40</v>
      </c>
    </row>
    <row r="18" spans="1:4" ht="16.5" thickBot="1">
      <c r="A18" s="8" t="s">
        <v>25</v>
      </c>
      <c r="B18" s="18">
        <f>111.12+128.35</f>
        <v>239.47</v>
      </c>
      <c r="C18" s="1"/>
      <c r="D18" s="1"/>
    </row>
    <row r="19" spans="1:2" ht="16.5" thickBot="1">
      <c r="A19" s="4" t="s">
        <v>22</v>
      </c>
      <c r="B19" s="5">
        <f>SUM(B3:B11)+SUM(B13:B15)+B17</f>
        <v>2639.7999999999997</v>
      </c>
    </row>
    <row r="20" spans="1:3" ht="16.5" thickBot="1">
      <c r="A20" s="4" t="s">
        <v>36</v>
      </c>
      <c r="B20" s="5">
        <f>SUM(B12,B18)</f>
        <v>889.15</v>
      </c>
      <c r="C20" s="17"/>
    </row>
    <row r="21" spans="1:2" ht="16.5" thickBot="1">
      <c r="A21" s="4" t="s">
        <v>37</v>
      </c>
      <c r="B21" s="20">
        <f>B16</f>
        <v>12446.76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45</v>
      </c>
      <c r="B1" s="25"/>
    </row>
    <row r="2" spans="1:2" ht="15.75" thickBot="1">
      <c r="A2" s="6" t="s">
        <v>41</v>
      </c>
      <c r="B2" s="3" t="s">
        <v>0</v>
      </c>
    </row>
    <row r="3" spans="1:6" ht="15.75">
      <c r="A3" s="7" t="s">
        <v>7</v>
      </c>
      <c r="B3" s="11">
        <v>341.1</v>
      </c>
      <c r="C3" s="2" t="s">
        <v>46</v>
      </c>
      <c r="D3" s="1" t="s">
        <v>50</v>
      </c>
      <c r="F3" s="1"/>
    </row>
    <row r="4" spans="1:6" ht="16.5" customHeight="1">
      <c r="A4" s="8" t="s">
        <v>2</v>
      </c>
      <c r="B4" s="11">
        <f>-12.57+186.84</f>
        <v>174.27</v>
      </c>
      <c r="C4" s="1"/>
      <c r="F4" s="1"/>
    </row>
    <row r="5" spans="1:7" ht="15.75">
      <c r="A5" s="7" t="s">
        <v>23</v>
      </c>
      <c r="B5" s="11">
        <f>4.38+20.3+17.25</f>
        <v>41.93</v>
      </c>
      <c r="C5" s="1"/>
      <c r="D5" s="1"/>
      <c r="E5" s="1"/>
      <c r="F5" s="1"/>
      <c r="G5" s="1"/>
    </row>
    <row r="6" spans="1:7" ht="15.75">
      <c r="A6" s="8" t="s">
        <v>9</v>
      </c>
      <c r="B6" s="11">
        <v>13.3</v>
      </c>
      <c r="C6" s="1"/>
      <c r="D6" s="1"/>
      <c r="E6" s="1"/>
      <c r="F6" s="1"/>
      <c r="G6" s="1"/>
    </row>
    <row r="7" spans="1:7" ht="15.75">
      <c r="A7" s="7" t="s">
        <v>10</v>
      </c>
      <c r="B7" s="11">
        <f>40.31</f>
        <v>40.31</v>
      </c>
      <c r="C7" s="1"/>
      <c r="D7" s="1"/>
      <c r="E7" s="1"/>
      <c r="F7" s="1"/>
      <c r="G7" s="1"/>
    </row>
    <row r="8" spans="1:7" ht="15.75">
      <c r="A8" s="8" t="s">
        <v>44</v>
      </c>
      <c r="B8" s="11">
        <v>454</v>
      </c>
      <c r="C8" s="1"/>
      <c r="D8" s="1"/>
      <c r="E8" s="1"/>
      <c r="F8" s="1"/>
      <c r="G8" s="1"/>
    </row>
    <row r="9" spans="1:7" ht="15.75">
      <c r="A9" s="7" t="s">
        <v>42</v>
      </c>
      <c r="B9" s="11">
        <f>-0.26+33.03</f>
        <v>32.77</v>
      </c>
      <c r="C9" s="1"/>
      <c r="D9" s="1"/>
      <c r="E9" s="1"/>
      <c r="F9" s="1"/>
      <c r="G9" s="1"/>
    </row>
    <row r="10" spans="1:6" ht="15.75">
      <c r="A10" s="8" t="s">
        <v>6</v>
      </c>
      <c r="B10" s="11">
        <f>75.71+42.1</f>
        <v>117.81</v>
      </c>
      <c r="C10" s="1"/>
      <c r="D10" s="1"/>
      <c r="F10" s="1"/>
    </row>
    <row r="11" spans="1:6" ht="15.75">
      <c r="A11" s="7" t="s">
        <v>16</v>
      </c>
      <c r="B11" s="11">
        <f>49.19-14.33-14.25+362.6-9.74</f>
        <v>373.47</v>
      </c>
      <c r="C11" s="1"/>
      <c r="F11" s="1"/>
    </row>
    <row r="12" spans="1:6" ht="15.75">
      <c r="A12" s="8" t="s">
        <v>24</v>
      </c>
      <c r="B12" s="18">
        <f>23.48+48.75</f>
        <v>72.23</v>
      </c>
      <c r="C12" s="14"/>
      <c r="D12" s="1"/>
      <c r="F12" s="1"/>
    </row>
    <row r="13" spans="1:6" ht="15.75">
      <c r="A13" s="7" t="s">
        <v>14</v>
      </c>
      <c r="B13" s="13">
        <f>20-4.87</f>
        <v>15.129999999999999</v>
      </c>
      <c r="C13" s="14"/>
      <c r="D13" s="1"/>
      <c r="F13" s="1"/>
    </row>
    <row r="14" spans="1:6" ht="15.75">
      <c r="A14" s="8" t="s">
        <v>15</v>
      </c>
      <c r="B14" s="11">
        <f>34.61+301.13+614.35</f>
        <v>950.09</v>
      </c>
      <c r="C14" s="1"/>
      <c r="F14" s="1"/>
    </row>
    <row r="15" spans="1:6" ht="15.75">
      <c r="A15" s="7" t="s">
        <v>21</v>
      </c>
      <c r="B15" s="19">
        <v>2872.68</v>
      </c>
      <c r="F15" s="1"/>
    </row>
    <row r="16" spans="1:6" ht="15.75">
      <c r="A16" s="8" t="s">
        <v>8</v>
      </c>
      <c r="B16" s="11">
        <v>166.1</v>
      </c>
      <c r="C16" s="2" t="s">
        <v>43</v>
      </c>
      <c r="D16" s="1"/>
      <c r="F16" s="1"/>
    </row>
    <row r="17" spans="1:6" ht="16.5" thickBot="1">
      <c r="A17" s="7" t="s">
        <v>25</v>
      </c>
      <c r="B17" s="18">
        <f>208.41+134.92+339.46</f>
        <v>682.79</v>
      </c>
      <c r="C17" s="1"/>
      <c r="D17" s="1"/>
      <c r="F17" s="1"/>
    </row>
    <row r="18" spans="1:2" ht="16.5" thickBot="1">
      <c r="A18" s="4" t="s">
        <v>22</v>
      </c>
      <c r="B18" s="5">
        <f>SUM(B3:B11)+SUM(B13:B14)+B16</f>
        <v>2720.2799999999997</v>
      </c>
    </row>
    <row r="19" spans="1:3" ht="16.5" thickBot="1">
      <c r="A19" s="4" t="s">
        <v>36</v>
      </c>
      <c r="B19" s="5">
        <f>SUM(B12,B17)</f>
        <v>755.02</v>
      </c>
      <c r="C19" s="17"/>
    </row>
    <row r="20" spans="1:2" ht="16.5" thickBot="1">
      <c r="A20" s="4" t="s">
        <v>37</v>
      </c>
      <c r="B20" s="20">
        <f>B15</f>
        <v>2872.68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52</v>
      </c>
      <c r="B1" s="25"/>
    </row>
    <row r="2" spans="1:2" ht="15.75" thickBot="1">
      <c r="A2" s="6" t="s">
        <v>41</v>
      </c>
      <c r="B2" s="3" t="s">
        <v>0</v>
      </c>
    </row>
    <row r="3" spans="1:4" ht="15.75">
      <c r="A3" s="8" t="s">
        <v>48</v>
      </c>
      <c r="B3" s="11">
        <f>10+126.49</f>
        <v>136.49</v>
      </c>
      <c r="D3" s="1"/>
    </row>
    <row r="4" spans="1:6" ht="15.75">
      <c r="A4" s="7" t="s">
        <v>7</v>
      </c>
      <c r="B4" s="11">
        <v>325.3</v>
      </c>
      <c r="C4" s="2" t="s">
        <v>51</v>
      </c>
      <c r="D4" s="1" t="s">
        <v>50</v>
      </c>
      <c r="E4" s="1"/>
      <c r="F4" s="1"/>
    </row>
    <row r="5" spans="1:6" ht="16.5" customHeight="1">
      <c r="A5" s="8" t="s">
        <v>2</v>
      </c>
      <c r="B5" s="11">
        <f>147.59-72.95</f>
        <v>74.64</v>
      </c>
      <c r="C5" s="1"/>
      <c r="D5" s="1"/>
      <c r="F5" s="1"/>
    </row>
    <row r="6" spans="1:7" ht="15.75">
      <c r="A6" s="7" t="s">
        <v>23</v>
      </c>
      <c r="B6" s="11">
        <f>103.79-81.06-116.75+40.73</f>
        <v>-53.29</v>
      </c>
      <c r="C6" s="2" t="s">
        <v>53</v>
      </c>
      <c r="D6" s="2"/>
      <c r="E6" s="2"/>
      <c r="F6" s="1"/>
      <c r="G6" s="1"/>
    </row>
    <row r="7" spans="1:7" ht="15.75">
      <c r="A7" s="8" t="s">
        <v>9</v>
      </c>
      <c r="B7" s="11">
        <f>-83.82+70.45-20.37</f>
        <v>-33.739999999999995</v>
      </c>
      <c r="C7" s="1"/>
      <c r="D7" s="1"/>
      <c r="E7" s="1"/>
      <c r="F7" s="1"/>
      <c r="G7" s="1"/>
    </row>
    <row r="8" spans="1:7" ht="15.75">
      <c r="A8" s="7" t="s">
        <v>10</v>
      </c>
      <c r="B8" s="11">
        <f>16.7</f>
        <v>16.7</v>
      </c>
      <c r="C8" s="1"/>
      <c r="D8" s="1"/>
      <c r="E8" s="1"/>
      <c r="F8" s="1"/>
      <c r="G8" s="1"/>
    </row>
    <row r="9" spans="1:7" ht="15.75">
      <c r="A9" s="8" t="s">
        <v>44</v>
      </c>
      <c r="B9" s="11">
        <v>690</v>
      </c>
      <c r="C9" s="1"/>
      <c r="D9" s="1"/>
      <c r="E9" s="1"/>
      <c r="F9" s="1"/>
      <c r="G9" s="1"/>
    </row>
    <row r="10" spans="1:7" ht="15.75">
      <c r="A10" s="7" t="s">
        <v>42</v>
      </c>
      <c r="B10" s="11">
        <f>20-18.3</f>
        <v>1.6999999999999993</v>
      </c>
      <c r="C10" s="1"/>
      <c r="D10" s="1"/>
      <c r="E10" s="1"/>
      <c r="F10" s="1"/>
      <c r="G10" s="1"/>
    </row>
    <row r="11" spans="1:7" ht="16.5" customHeight="1">
      <c r="A11" s="8" t="s">
        <v>17</v>
      </c>
      <c r="B11" s="11">
        <v>799.82</v>
      </c>
      <c r="C11" s="2" t="s">
        <v>49</v>
      </c>
      <c r="D11" s="1"/>
      <c r="E11" s="1"/>
      <c r="F11" s="1"/>
      <c r="G11" s="1"/>
    </row>
    <row r="12" spans="1:6" ht="15.75">
      <c r="A12" s="7" t="s">
        <v>16</v>
      </c>
      <c r="B12" s="11">
        <f>8.43+176.2</f>
        <v>184.63</v>
      </c>
      <c r="C12" s="1"/>
      <c r="D12" s="1"/>
      <c r="F12" s="1"/>
    </row>
    <row r="13" spans="1:6" ht="15.75">
      <c r="A13" s="8" t="s">
        <v>24</v>
      </c>
      <c r="B13" s="21">
        <v>-2.44</v>
      </c>
      <c r="C13" s="14"/>
      <c r="D13" s="1"/>
      <c r="F13" s="1"/>
    </row>
    <row r="14" spans="1:6" ht="15.75">
      <c r="A14" s="7" t="s">
        <v>12</v>
      </c>
      <c r="B14" s="11">
        <f>8.6-11.22</f>
        <v>-2.620000000000001</v>
      </c>
      <c r="C14" s="14"/>
      <c r="D14" s="1"/>
      <c r="F14" s="1"/>
    </row>
    <row r="15" spans="1:6" ht="15.75">
      <c r="A15" s="8" t="s">
        <v>5</v>
      </c>
      <c r="B15" s="11">
        <f>142.2+39.62</f>
        <v>181.82</v>
      </c>
      <c r="C15" s="14"/>
      <c r="D15" s="1"/>
      <c r="E15" s="1"/>
      <c r="F15" s="1"/>
    </row>
    <row r="16" spans="1:6" ht="15.75">
      <c r="A16" s="7" t="s">
        <v>15</v>
      </c>
      <c r="B16" s="11">
        <f>17.25+199.73+536.53+658.69</f>
        <v>1412.2</v>
      </c>
      <c r="C16" s="1"/>
      <c r="D16" s="1"/>
      <c r="F16" s="1"/>
    </row>
    <row r="17" spans="1:6" ht="15.75">
      <c r="A17" s="8" t="s">
        <v>21</v>
      </c>
      <c r="B17" s="19">
        <v>2849.05</v>
      </c>
      <c r="D17" s="1"/>
      <c r="F17" s="1"/>
    </row>
    <row r="18" spans="1:6" ht="15.75">
      <c r="A18" s="7" t="s">
        <v>8</v>
      </c>
      <c r="B18" s="11">
        <v>415.1</v>
      </c>
      <c r="C18" s="2" t="s">
        <v>47</v>
      </c>
      <c r="D18" s="1"/>
      <c r="E18" s="1"/>
      <c r="F18" s="1"/>
    </row>
    <row r="19" spans="1:6" ht="16.5" thickBot="1">
      <c r="A19" s="8" t="s">
        <v>25</v>
      </c>
      <c r="B19" s="18">
        <f>44+87.91</f>
        <v>131.91</v>
      </c>
      <c r="C19" s="1"/>
      <c r="D19" s="1"/>
      <c r="F19" s="1"/>
    </row>
    <row r="20" spans="1:2" ht="16.5" thickBot="1">
      <c r="A20" s="4" t="s">
        <v>22</v>
      </c>
      <c r="B20" s="5">
        <f>SUM(B4:B12)+SUM(B16:B16)+B18</f>
        <v>3833.06</v>
      </c>
    </row>
    <row r="21" spans="1:3" ht="16.5" thickBot="1">
      <c r="A21" s="4" t="s">
        <v>36</v>
      </c>
      <c r="B21" s="5">
        <f>SUM(B13,B19)</f>
        <v>129.47</v>
      </c>
      <c r="C21" s="17"/>
    </row>
    <row r="22" spans="1:2" ht="16.5" thickBot="1">
      <c r="A22" s="4" t="s">
        <v>37</v>
      </c>
      <c r="B22" s="20">
        <f>B17</f>
        <v>2849.05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54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333.6</v>
      </c>
      <c r="C3" s="1"/>
      <c r="D3" s="1"/>
      <c r="F3" s="1"/>
    </row>
    <row r="4" spans="1:7" ht="15.75">
      <c r="A4" s="7" t="s">
        <v>2</v>
      </c>
      <c r="B4" s="11">
        <f>305.73+41.28</f>
        <v>347.01</v>
      </c>
      <c r="C4" s="2"/>
      <c r="D4" s="2"/>
      <c r="E4" s="2"/>
      <c r="F4" s="1"/>
      <c r="G4" s="1"/>
    </row>
    <row r="5" spans="1:7" ht="15.75">
      <c r="A5" s="8" t="s">
        <v>23</v>
      </c>
      <c r="B5" s="11">
        <f>86.88</f>
        <v>86.88</v>
      </c>
      <c r="C5" s="1"/>
      <c r="D5" s="1"/>
      <c r="E5" s="1"/>
      <c r="F5" s="1"/>
      <c r="G5" s="1"/>
    </row>
    <row r="6" spans="1:7" ht="15.75">
      <c r="A6" s="7" t="s">
        <v>9</v>
      </c>
      <c r="B6" s="11">
        <v>-17.5</v>
      </c>
      <c r="C6" s="1"/>
      <c r="D6" s="1"/>
      <c r="E6" s="1"/>
      <c r="F6" s="1"/>
      <c r="G6" s="1"/>
    </row>
    <row r="7" spans="1:7" ht="15.75">
      <c r="A7" s="8" t="s">
        <v>10</v>
      </c>
      <c r="B7" s="11">
        <f>98.7</f>
        <v>98.7</v>
      </c>
      <c r="C7" s="1"/>
      <c r="D7" s="1"/>
      <c r="E7" s="1"/>
      <c r="F7" s="1"/>
      <c r="G7" s="1"/>
    </row>
    <row r="8" spans="1:7" ht="15.75">
      <c r="A8" s="7" t="s">
        <v>44</v>
      </c>
      <c r="B8" s="11">
        <v>415</v>
      </c>
      <c r="C8" s="1"/>
      <c r="D8" s="1"/>
      <c r="E8" s="1"/>
      <c r="F8" s="1"/>
      <c r="G8" s="1"/>
    </row>
    <row r="9" spans="1:7" ht="15.75">
      <c r="A9" s="8" t="s">
        <v>42</v>
      </c>
      <c r="B9" s="11">
        <v>50.24</v>
      </c>
      <c r="C9" s="1"/>
      <c r="D9" s="1"/>
      <c r="E9" s="1"/>
      <c r="F9" s="1"/>
      <c r="G9" s="1"/>
    </row>
    <row r="10" spans="1:7" ht="16.5" customHeight="1">
      <c r="A10" s="7" t="s">
        <v>17</v>
      </c>
      <c r="B10" s="11">
        <v>854.11</v>
      </c>
      <c r="C10" s="1" t="s">
        <v>60</v>
      </c>
      <c r="D10" s="1"/>
      <c r="E10" s="1"/>
      <c r="F10" s="1"/>
      <c r="G10" s="1"/>
    </row>
    <row r="11" spans="1:6" ht="15.75">
      <c r="A11" s="8" t="s">
        <v>6</v>
      </c>
      <c r="B11" s="11">
        <v>44</v>
      </c>
      <c r="C11" s="14"/>
      <c r="D11" s="1"/>
      <c r="F11" s="1"/>
    </row>
    <row r="12" spans="1:6" ht="15.75">
      <c r="A12" s="7" t="s">
        <v>16</v>
      </c>
      <c r="B12" s="11">
        <f>232.4+0.38</f>
        <v>232.78</v>
      </c>
      <c r="C12" s="14"/>
      <c r="D12" s="1"/>
      <c r="F12" s="1"/>
    </row>
    <row r="13" spans="1:6" ht="15.75">
      <c r="A13" s="8" t="s">
        <v>12</v>
      </c>
      <c r="B13" s="11">
        <f>28.72+54.36</f>
        <v>83.08</v>
      </c>
      <c r="C13" s="14"/>
      <c r="D13" s="1"/>
      <c r="F13" s="1"/>
    </row>
    <row r="14" spans="1:6" ht="15.75">
      <c r="A14" s="7" t="s">
        <v>4</v>
      </c>
      <c r="B14" s="11">
        <v>79.47</v>
      </c>
      <c r="C14" s="14"/>
      <c r="D14" s="1"/>
      <c r="F14" s="1"/>
    </row>
    <row r="15" spans="1:6" ht="15.75">
      <c r="A15" s="8" t="s">
        <v>14</v>
      </c>
      <c r="B15" s="11">
        <v>22</v>
      </c>
      <c r="C15" s="14"/>
      <c r="D15" s="1"/>
      <c r="E15" s="1"/>
      <c r="F15" s="1"/>
    </row>
    <row r="16" spans="1:6" ht="15.75">
      <c r="A16" s="7" t="s">
        <v>5</v>
      </c>
      <c r="B16" s="11">
        <f>169.89+64.09</f>
        <v>233.98</v>
      </c>
      <c r="C16" s="14"/>
      <c r="D16" s="1"/>
      <c r="E16" s="1"/>
      <c r="F16" s="1"/>
    </row>
    <row r="17" spans="1:6" ht="15.75">
      <c r="A17" s="8" t="s">
        <v>15</v>
      </c>
      <c r="B17" s="11">
        <f>211+128.78</f>
        <v>339.78</v>
      </c>
      <c r="C17" s="14"/>
      <c r="D17" s="1"/>
      <c r="E17" s="1"/>
      <c r="F17" s="1"/>
    </row>
    <row r="18" spans="1:6" ht="15.75">
      <c r="A18" s="7" t="s">
        <v>13</v>
      </c>
      <c r="B18" s="11">
        <f>36.5</f>
        <v>36.5</v>
      </c>
      <c r="C18" s="1"/>
      <c r="D18" s="1"/>
      <c r="F18" s="1"/>
    </row>
    <row r="19" spans="1:6" ht="15.75">
      <c r="A19" s="8" t="s">
        <v>21</v>
      </c>
      <c r="B19" s="23" t="s">
        <v>64</v>
      </c>
      <c r="C19" s="1"/>
      <c r="D19" s="1"/>
      <c r="F19" s="1"/>
    </row>
    <row r="20" spans="1:6" ht="15.75">
      <c r="A20" s="7" t="s">
        <v>8</v>
      </c>
      <c r="B20" s="11">
        <v>21.2</v>
      </c>
      <c r="C20" s="1" t="s">
        <v>57</v>
      </c>
      <c r="D20" s="1"/>
      <c r="F20" s="1"/>
    </row>
    <row r="21" spans="1:6" ht="16.5" thickBot="1">
      <c r="A21" s="8" t="s">
        <v>25</v>
      </c>
      <c r="B21" s="18">
        <v>4902.8</v>
      </c>
      <c r="D21" s="1"/>
      <c r="F21" s="1"/>
    </row>
    <row r="22" spans="1:2" ht="16.5" thickBot="1">
      <c r="A22" s="4" t="s">
        <v>22</v>
      </c>
      <c r="B22" s="5">
        <f>SUM(B3:B18,B20)</f>
        <v>3260.83</v>
      </c>
    </row>
    <row r="23" spans="1:3" ht="16.5" thickBot="1">
      <c r="A23" s="4" t="s">
        <v>36</v>
      </c>
      <c r="B23" s="5">
        <f>B21</f>
        <v>4902.8</v>
      </c>
      <c r="C23" s="17"/>
    </row>
    <row r="24" spans="1:2" ht="16.5" thickBot="1">
      <c r="A24" s="4" t="s">
        <v>37</v>
      </c>
      <c r="B24" s="20" t="str">
        <f>B19</f>
        <v>USD 4.742,61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55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186.4</v>
      </c>
      <c r="C3" s="1" t="s">
        <v>59</v>
      </c>
      <c r="D3" s="1"/>
      <c r="F3" s="1"/>
    </row>
    <row r="4" spans="1:7" ht="15.75">
      <c r="A4" s="7" t="s">
        <v>2</v>
      </c>
      <c r="B4" s="11">
        <f>280.96-2.7</f>
        <v>278.26</v>
      </c>
      <c r="C4" s="2"/>
      <c r="D4" s="2"/>
      <c r="E4" s="2"/>
      <c r="F4" s="1"/>
      <c r="G4" s="1"/>
    </row>
    <row r="5" spans="1:7" ht="15.75">
      <c r="A5" s="8" t="s">
        <v>23</v>
      </c>
      <c r="B5" s="11">
        <f>70.5-86.13</f>
        <v>-15.629999999999995</v>
      </c>
      <c r="C5" s="1"/>
      <c r="D5" s="1"/>
      <c r="E5" s="1"/>
      <c r="F5" s="1"/>
      <c r="G5" s="1"/>
    </row>
    <row r="6" spans="1:6" ht="15.75">
      <c r="A6" s="7" t="s">
        <v>44</v>
      </c>
      <c r="B6" s="11">
        <v>295</v>
      </c>
      <c r="C6" s="14"/>
      <c r="D6" s="1"/>
      <c r="F6" s="1"/>
    </row>
    <row r="7" spans="1:6" ht="15.75">
      <c r="A7" s="8" t="s">
        <v>6</v>
      </c>
      <c r="B7" s="11">
        <f>-99.2-19.86+159.31</f>
        <v>40.25</v>
      </c>
      <c r="C7" s="14"/>
      <c r="D7" s="1"/>
      <c r="F7" s="1"/>
    </row>
    <row r="8" spans="1:6" ht="15.75">
      <c r="A8" s="7" t="s">
        <v>56</v>
      </c>
      <c r="B8" s="11">
        <f>-86.32+232.4+9.92</f>
        <v>156</v>
      </c>
      <c r="C8" s="14"/>
      <c r="D8" s="1"/>
      <c r="E8" s="1"/>
      <c r="F8" s="1"/>
    </row>
    <row r="9" spans="1:6" ht="15.75">
      <c r="A9" s="8" t="s">
        <v>24</v>
      </c>
      <c r="B9" s="18">
        <v>72.2</v>
      </c>
      <c r="C9" s="14"/>
      <c r="D9" s="1"/>
      <c r="E9" s="1"/>
      <c r="F9" s="1"/>
    </row>
    <row r="10" spans="1:6" ht="15.75">
      <c r="A10" s="7" t="s">
        <v>4</v>
      </c>
      <c r="B10" s="11">
        <v>85.9</v>
      </c>
      <c r="C10" s="14"/>
      <c r="D10" s="1"/>
      <c r="E10" s="1"/>
      <c r="F10" s="1"/>
    </row>
    <row r="11" spans="1:6" ht="15.75">
      <c r="A11" s="8" t="s">
        <v>14</v>
      </c>
      <c r="B11" s="11">
        <f>31.1-3.23+47.96</f>
        <v>75.83</v>
      </c>
      <c r="C11" s="14"/>
      <c r="D11" s="1"/>
      <c r="E11" s="1"/>
      <c r="F11" s="1"/>
    </row>
    <row r="12" spans="1:6" ht="15.75">
      <c r="A12" s="7" t="s">
        <v>5</v>
      </c>
      <c r="B12" s="11">
        <v>12.3</v>
      </c>
      <c r="C12" s="14"/>
      <c r="D12" s="1"/>
      <c r="E12" s="1"/>
      <c r="F12" s="1"/>
    </row>
    <row r="13" spans="1:6" ht="15.75">
      <c r="A13" s="8" t="s">
        <v>15</v>
      </c>
      <c r="B13" s="11">
        <f>153.08+47.15+93.04+298.58</f>
        <v>591.85</v>
      </c>
      <c r="C13" s="1"/>
      <c r="D13" s="1"/>
      <c r="F13" s="1"/>
    </row>
    <row r="14" spans="1:6" ht="15.75">
      <c r="A14" s="7" t="s">
        <v>13</v>
      </c>
      <c r="B14" s="11">
        <v>20.8</v>
      </c>
      <c r="C14" s="1"/>
      <c r="D14" s="1"/>
      <c r="F14" s="1"/>
    </row>
    <row r="15" spans="1:6" ht="15.75">
      <c r="A15" s="8" t="s">
        <v>21</v>
      </c>
      <c r="B15" s="23" t="s">
        <v>65</v>
      </c>
      <c r="C15" s="1"/>
      <c r="D15" s="1"/>
      <c r="F15" s="1"/>
    </row>
    <row r="16" spans="1:6" ht="15.75">
      <c r="A16" s="7" t="s">
        <v>8</v>
      </c>
      <c r="B16" s="11">
        <v>154.3</v>
      </c>
      <c r="C16" s="1" t="s">
        <v>58</v>
      </c>
      <c r="D16" s="1"/>
      <c r="F16" s="1"/>
    </row>
    <row r="17" spans="1:6" ht="16.5" thickBot="1">
      <c r="A17" s="8" t="s">
        <v>25</v>
      </c>
      <c r="B17" s="18">
        <v>219.3</v>
      </c>
      <c r="D17" s="1"/>
      <c r="F17" s="1"/>
    </row>
    <row r="18" spans="1:2" ht="16.5" thickBot="1">
      <c r="A18" s="4" t="s">
        <v>22</v>
      </c>
      <c r="B18" s="5">
        <f>SUM(B3:B13,B16)</f>
        <v>1932.66</v>
      </c>
    </row>
    <row r="19" spans="1:3" ht="16.5" thickBot="1">
      <c r="A19" s="4" t="s">
        <v>36</v>
      </c>
      <c r="B19" s="5">
        <f>SUM(B9,B17)</f>
        <v>291.5</v>
      </c>
      <c r="C19" s="17"/>
    </row>
    <row r="20" spans="1:2" ht="16.5" thickBot="1">
      <c r="A20" s="4" t="s">
        <v>37</v>
      </c>
      <c r="B20" s="20" t="str">
        <f>B15</f>
        <v>USD 3.016,45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61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195.1</v>
      </c>
      <c r="C3" s="1" t="s">
        <v>62</v>
      </c>
      <c r="D3" s="1"/>
      <c r="F3" s="1"/>
    </row>
    <row r="4" spans="1:7" ht="15.75">
      <c r="A4" s="7" t="s">
        <v>2</v>
      </c>
      <c r="B4" s="11">
        <v>82.81</v>
      </c>
      <c r="C4" s="2"/>
      <c r="D4" s="2"/>
      <c r="E4" s="2"/>
      <c r="F4" s="1"/>
      <c r="G4" s="1"/>
    </row>
    <row r="5" spans="1:7" ht="15.75">
      <c r="A5" s="8" t="s">
        <v>23</v>
      </c>
      <c r="B5" s="11">
        <f>90-54.48</f>
        <v>35.52</v>
      </c>
      <c r="C5" s="2"/>
      <c r="D5" s="2"/>
      <c r="E5" s="2"/>
      <c r="F5" s="1"/>
      <c r="G5" s="1"/>
    </row>
    <row r="6" spans="1:7" ht="15.75">
      <c r="A6" s="7" t="s">
        <v>9</v>
      </c>
      <c r="B6" s="11">
        <v>52</v>
      </c>
      <c r="C6" s="1"/>
      <c r="D6" s="1"/>
      <c r="E6" s="1"/>
      <c r="F6" s="1"/>
      <c r="G6" s="1"/>
    </row>
    <row r="7" spans="1:6" ht="15.75">
      <c r="A7" s="8" t="s">
        <v>10</v>
      </c>
      <c r="B7" s="11">
        <v>-360</v>
      </c>
      <c r="C7" s="1"/>
      <c r="D7" s="1"/>
      <c r="F7" s="1"/>
    </row>
    <row r="8" spans="1:6" ht="15.75">
      <c r="A8" s="7" t="s">
        <v>44</v>
      </c>
      <c r="B8" s="11">
        <v>295</v>
      </c>
      <c r="C8" s="14"/>
      <c r="D8" s="1"/>
      <c r="F8" s="1"/>
    </row>
    <row r="9" spans="1:6" ht="15.75">
      <c r="A9" s="8" t="s">
        <v>42</v>
      </c>
      <c r="B9" s="11">
        <f>126.34-96.14</f>
        <v>30.200000000000003</v>
      </c>
      <c r="C9" s="22"/>
      <c r="D9" s="1"/>
      <c r="E9" s="1"/>
      <c r="F9" s="1"/>
    </row>
    <row r="10" spans="1:6" ht="15.75">
      <c r="A10" s="7" t="s">
        <v>17</v>
      </c>
      <c r="B10" s="11">
        <v>1568.81</v>
      </c>
      <c r="C10" s="22" t="s">
        <v>63</v>
      </c>
      <c r="D10" s="1"/>
      <c r="E10" s="1"/>
      <c r="F10" s="1"/>
    </row>
    <row r="11" spans="1:6" ht="15.75">
      <c r="A11" s="8" t="s">
        <v>24</v>
      </c>
      <c r="B11" s="18">
        <f>21.24+30</f>
        <v>51.239999999999995</v>
      </c>
      <c r="C11" s="14"/>
      <c r="D11" s="1"/>
      <c r="E11" s="1"/>
      <c r="F11" s="1"/>
    </row>
    <row r="12" spans="1:6" ht="15.75">
      <c r="A12" s="7" t="s">
        <v>5</v>
      </c>
      <c r="B12" s="11">
        <v>9.7</v>
      </c>
      <c r="C12" s="1"/>
      <c r="D12" s="1"/>
      <c r="F12" s="1"/>
    </row>
    <row r="13" spans="1:6" ht="15.75">
      <c r="A13" s="8" t="s">
        <v>15</v>
      </c>
      <c r="B13" s="11">
        <v>1655.63</v>
      </c>
      <c r="C13" s="1"/>
      <c r="D13" s="1"/>
      <c r="F13" s="1"/>
    </row>
    <row r="14" spans="1:6" ht="15.75">
      <c r="A14" s="7" t="s">
        <v>21</v>
      </c>
      <c r="B14" s="23" t="s">
        <v>66</v>
      </c>
      <c r="C14" s="1"/>
      <c r="D14" s="1"/>
      <c r="F14" s="1"/>
    </row>
    <row r="15" spans="1:6" ht="15.75">
      <c r="A15" s="8" t="s">
        <v>8</v>
      </c>
      <c r="B15" s="11">
        <v>35.9</v>
      </c>
      <c r="C15" s="1" t="s">
        <v>62</v>
      </c>
      <c r="D15" s="1"/>
      <c r="F15" s="1"/>
    </row>
    <row r="16" spans="1:6" ht="16.5" thickBot="1">
      <c r="A16" s="7" t="s">
        <v>25</v>
      </c>
      <c r="B16" s="18">
        <f>37.2+400.09+196.21</f>
        <v>633.5</v>
      </c>
      <c r="D16" s="1"/>
      <c r="F16" s="1"/>
    </row>
    <row r="17" spans="1:2" ht="16.5" thickBot="1">
      <c r="A17" s="4" t="s">
        <v>22</v>
      </c>
      <c r="B17" s="5">
        <f>SUM(B3:B10,B12:B15)</f>
        <v>3600.67</v>
      </c>
    </row>
    <row r="18" spans="1:3" ht="16.5" thickBot="1">
      <c r="A18" s="4" t="s">
        <v>36</v>
      </c>
      <c r="B18" s="5">
        <f>SUM(B16,B11)</f>
        <v>684.74</v>
      </c>
      <c r="C18" s="17"/>
    </row>
    <row r="19" spans="1:2" ht="16.5" thickBot="1">
      <c r="A19" s="4" t="s">
        <v>37</v>
      </c>
      <c r="B19" s="20" t="str">
        <f>B14</f>
        <v>USD 784,27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E35" sqref="E35"/>
    </sheetView>
  </sheetViews>
  <sheetFormatPr defaultColWidth="9.140625" defaultRowHeight="1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24" t="s">
        <v>67</v>
      </c>
      <c r="B1" s="25"/>
    </row>
    <row r="2" spans="1:2" ht="15.75" thickBot="1">
      <c r="A2" s="6" t="s">
        <v>41</v>
      </c>
      <c r="B2" s="3" t="s">
        <v>0</v>
      </c>
    </row>
    <row r="3" spans="1:6" ht="16.5" customHeight="1">
      <c r="A3" s="8" t="s">
        <v>7</v>
      </c>
      <c r="B3" s="11">
        <v>122.5</v>
      </c>
      <c r="C3" s="1" t="s">
        <v>68</v>
      </c>
      <c r="D3" s="1"/>
      <c r="F3" s="1"/>
    </row>
    <row r="4" spans="1:7" ht="15.75">
      <c r="A4" s="7" t="s">
        <v>2</v>
      </c>
      <c r="B4" s="11">
        <f>22.69</f>
        <v>22.69</v>
      </c>
      <c r="C4" s="2"/>
      <c r="D4" s="2"/>
      <c r="E4" s="2"/>
      <c r="F4" s="1"/>
      <c r="G4" s="1"/>
    </row>
    <row r="5" spans="1:7" ht="15.75">
      <c r="A5" s="8" t="s">
        <v>23</v>
      </c>
      <c r="B5" s="11">
        <f>75.79-21.78</f>
        <v>54.010000000000005</v>
      </c>
      <c r="C5" s="2"/>
      <c r="D5" s="2"/>
      <c r="E5" s="2"/>
      <c r="F5" s="1"/>
      <c r="G5" s="1"/>
    </row>
    <row r="6" spans="1:6" ht="15.75">
      <c r="A6" s="7" t="s">
        <v>10</v>
      </c>
      <c r="B6" s="11">
        <f>18.23-233.36</f>
        <v>-215.13000000000002</v>
      </c>
      <c r="C6" s="1"/>
      <c r="D6" s="1"/>
      <c r="F6" s="1"/>
    </row>
    <row r="7" spans="1:6" ht="15.75">
      <c r="A7" s="8" t="s">
        <v>44</v>
      </c>
      <c r="B7" s="11">
        <v>295</v>
      </c>
      <c r="C7" s="14"/>
      <c r="D7" s="1"/>
      <c r="F7" s="1"/>
    </row>
    <row r="8" spans="1:6" ht="15.75">
      <c r="A8" s="7" t="s">
        <v>42</v>
      </c>
      <c r="B8" s="11">
        <f>20.53-29.86</f>
        <v>-9.329999999999998</v>
      </c>
      <c r="C8" s="22"/>
      <c r="D8" s="1"/>
      <c r="E8" s="1"/>
      <c r="F8" s="1"/>
    </row>
    <row r="9" spans="1:6" ht="15.75">
      <c r="A9" s="8" t="s">
        <v>6</v>
      </c>
      <c r="B9" s="11">
        <f>40.93-60</f>
        <v>-19.07</v>
      </c>
      <c r="C9" s="22" t="s">
        <v>72</v>
      </c>
      <c r="D9" s="1"/>
      <c r="E9" s="1"/>
      <c r="F9" s="1"/>
    </row>
    <row r="10" spans="1:6" ht="15.75">
      <c r="A10" s="7" t="s">
        <v>16</v>
      </c>
      <c r="B10" s="11">
        <f>116.2-16.23-76.51</f>
        <v>23.459999999999994</v>
      </c>
      <c r="C10" s="22"/>
      <c r="D10" s="1"/>
      <c r="E10" s="1"/>
      <c r="F10" s="1"/>
    </row>
    <row r="11" spans="1:6" ht="15.75">
      <c r="A11" s="8" t="s">
        <v>24</v>
      </c>
      <c r="B11" s="18" t="s">
        <v>71</v>
      </c>
      <c r="C11" s="14"/>
      <c r="D11" s="1"/>
      <c r="E11" s="1"/>
      <c r="F11" s="1"/>
    </row>
    <row r="12" spans="1:6" ht="15.75">
      <c r="A12" s="7" t="s">
        <v>12</v>
      </c>
      <c r="B12" s="11">
        <f>224.78+177.13</f>
        <v>401.90999999999997</v>
      </c>
      <c r="C12" s="14"/>
      <c r="D12" s="1"/>
      <c r="E12" s="1"/>
      <c r="F12" s="1"/>
    </row>
    <row r="13" spans="1:6" ht="15.75">
      <c r="A13" s="8" t="s">
        <v>4</v>
      </c>
      <c r="B13" s="11">
        <v>60.96</v>
      </c>
      <c r="C13" s="14"/>
      <c r="D13" s="1"/>
      <c r="E13" s="1"/>
      <c r="F13" s="1"/>
    </row>
    <row r="14" spans="1:6" ht="15.75">
      <c r="A14" s="7" t="s">
        <v>14</v>
      </c>
      <c r="B14" s="11">
        <v>22</v>
      </c>
      <c r="C14" s="1"/>
      <c r="D14" s="1"/>
      <c r="F14" s="1"/>
    </row>
    <row r="15" spans="1:6" ht="15.75">
      <c r="A15" s="8" t="s">
        <v>5</v>
      </c>
      <c r="B15" s="11">
        <f>8.03</f>
        <v>8.03</v>
      </c>
      <c r="C15" s="1"/>
      <c r="D15" s="1"/>
      <c r="F15" s="1"/>
    </row>
    <row r="16" spans="1:6" ht="15.75">
      <c r="A16" s="7" t="s">
        <v>15</v>
      </c>
      <c r="B16" s="23">
        <f>407.38+373.5</f>
        <v>780.88</v>
      </c>
      <c r="C16" s="1"/>
      <c r="D16" s="1"/>
      <c r="F16" s="1"/>
    </row>
    <row r="17" spans="1:6" ht="15.75">
      <c r="A17" s="8" t="s">
        <v>13</v>
      </c>
      <c r="B17" s="23">
        <v>21.6</v>
      </c>
      <c r="C17" s="1"/>
      <c r="D17" s="1"/>
      <c r="F17" s="1"/>
    </row>
    <row r="18" spans="1:6" ht="15.75">
      <c r="A18" s="26" t="s">
        <v>21</v>
      </c>
      <c r="B18" s="27">
        <v>4322.73</v>
      </c>
      <c r="C18" s="1"/>
      <c r="D18" s="1"/>
      <c r="F18" s="1"/>
    </row>
    <row r="19" spans="1:6" ht="15.75">
      <c r="A19" s="8" t="s">
        <v>8</v>
      </c>
      <c r="B19" s="11">
        <v>13.8</v>
      </c>
      <c r="C19" s="1" t="s">
        <v>69</v>
      </c>
      <c r="D19" s="1"/>
      <c r="F19" s="1"/>
    </row>
    <row r="20" spans="1:6" ht="16.5" thickBot="1">
      <c r="A20" s="7" t="s">
        <v>25</v>
      </c>
      <c r="B20" s="18" t="s">
        <v>70</v>
      </c>
      <c r="D20" s="1"/>
      <c r="F20" s="1"/>
    </row>
    <row r="21" spans="1:2" ht="16.5" thickBot="1">
      <c r="A21" s="4" t="s">
        <v>22</v>
      </c>
      <c r="B21" s="5">
        <f>SUM(B3:B10,B12:B17,B19)</f>
        <v>1583.3099999999997</v>
      </c>
    </row>
    <row r="22" spans="1:3" ht="16.5" thickBot="1">
      <c r="A22" s="4" t="s">
        <v>36</v>
      </c>
      <c r="B22" s="20">
        <f>236.32+286.69</f>
        <v>523.01</v>
      </c>
      <c r="C22" s="17"/>
    </row>
    <row r="23" spans="1:2" ht="16.5" thickBot="1">
      <c r="A23" s="4" t="s">
        <v>37</v>
      </c>
      <c r="B23" s="28">
        <f>B18</f>
        <v>4322.73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Simonetta Gallucci</cp:lastModifiedBy>
  <cp:lastPrinted>2014-02-04T08:46:50Z</cp:lastPrinted>
  <dcterms:created xsi:type="dcterms:W3CDTF">2009-02-11T08:01:34Z</dcterms:created>
  <dcterms:modified xsi:type="dcterms:W3CDTF">2014-02-26T11:13:10Z</dcterms:modified>
  <cp:category/>
  <cp:version/>
  <cp:contentType/>
  <cp:contentStatus/>
</cp:coreProperties>
</file>