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8460" windowHeight="5520" firstSheet="10" activeTab="17"/>
  </bookViews>
  <sheets>
    <sheet name="Gennaio" sheetId="19" r:id="rId1"/>
    <sheet name="Febbraio" sheetId="18" r:id="rId2"/>
    <sheet name="Marzo" sheetId="17" r:id="rId3"/>
    <sheet name="Totale 1Q" sheetId="20" r:id="rId4"/>
    <sheet name="Dettagli costi Cell 1Q" sheetId="16" r:id="rId5"/>
    <sheet name="Aprile" sheetId="22" r:id="rId6"/>
    <sheet name="Maggio" sheetId="24" r:id="rId7"/>
    <sheet name="Giugno" sheetId="25" r:id="rId8"/>
    <sheet name="Totale 2Q" sheetId="28" r:id="rId9"/>
    <sheet name="Dettagli costi Cell 2Q" sheetId="27" r:id="rId10"/>
    <sheet name="Luglio" sheetId="26" r:id="rId11"/>
    <sheet name="Agosto" sheetId="29" r:id="rId12"/>
    <sheet name="Settembre" sheetId="30" r:id="rId13"/>
    <sheet name="Totale 3Q" sheetId="31" r:id="rId14"/>
    <sheet name="Dettagli costi Cell 3Q" sheetId="32" r:id="rId15"/>
    <sheet name="Ottobre" sheetId="33" r:id="rId16"/>
    <sheet name="Novembre" sheetId="34" r:id="rId17"/>
    <sheet name="Dicembre" sheetId="35" r:id="rId18"/>
    <sheet name="Totale 4Q" sheetId="36" r:id="rId19"/>
    <sheet name="Dettagli costi Cell 4Q" sheetId="37" r:id="rId20"/>
  </sheets>
  <definedNames>
    <definedName name="_xlnm._FilterDatabase" localSheetId="4" hidden="1">'Dettagli costi Cell 1Q'!$A$1:$A$30</definedName>
  </definedNames>
  <calcPr calcId="125725"/>
</workbook>
</file>

<file path=xl/calcChain.xml><?xml version="1.0" encoding="utf-8"?>
<calcChain xmlns="http://schemas.openxmlformats.org/spreadsheetml/2006/main">
  <c r="C41" i="36"/>
  <c r="D41"/>
  <c r="B41"/>
  <c r="C39"/>
  <c r="D39"/>
  <c r="B39"/>
  <c r="D34"/>
  <c r="D35"/>
  <c r="D36"/>
  <c r="D37"/>
  <c r="C34"/>
  <c r="C35"/>
  <c r="C36"/>
  <c r="C37"/>
  <c r="B34"/>
  <c r="B35"/>
  <c r="B36"/>
  <c r="B37"/>
  <c r="D33"/>
  <c r="C33"/>
  <c r="B33"/>
  <c r="D31"/>
  <c r="C31"/>
  <c r="B31"/>
  <c r="D26"/>
  <c r="D27"/>
  <c r="D28"/>
  <c r="D29"/>
  <c r="C26"/>
  <c r="C27"/>
  <c r="C28"/>
  <c r="C29"/>
  <c r="B26"/>
  <c r="B27"/>
  <c r="B28"/>
  <c r="B29"/>
  <c r="C25"/>
  <c r="D25"/>
  <c r="B25"/>
  <c r="C24"/>
  <c r="D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C12"/>
  <c r="D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3"/>
  <c r="C3"/>
  <c r="B3"/>
  <c r="C2"/>
  <c r="D2"/>
  <c r="B2"/>
  <c r="C2" i="35"/>
  <c r="B2"/>
  <c r="C31"/>
  <c r="B31"/>
  <c r="C34"/>
  <c r="B34"/>
  <c r="C10"/>
  <c r="B10"/>
  <c r="C6" l="1"/>
  <c r="B6"/>
  <c r="C36"/>
  <c r="B36"/>
  <c r="C36" i="34" l="1"/>
  <c r="B36"/>
  <c r="B91"/>
  <c r="B94" s="1"/>
  <c r="C35" i="35"/>
  <c r="B35"/>
  <c r="C29"/>
  <c r="B29"/>
  <c r="B24"/>
  <c r="C33"/>
  <c r="B33"/>
  <c r="B22"/>
  <c r="C37"/>
  <c r="B37"/>
  <c r="C26"/>
  <c r="B26"/>
  <c r="D12"/>
  <c r="B92"/>
  <c r="B93"/>
  <c r="D40"/>
  <c r="D38"/>
  <c r="D36"/>
  <c r="D35"/>
  <c r="D34"/>
  <c r="D33"/>
  <c r="D31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9"/>
  <c r="D8"/>
  <c r="D7"/>
  <c r="D6"/>
  <c r="D5"/>
  <c r="D3"/>
  <c r="D2"/>
  <c r="C18" i="34"/>
  <c r="B18"/>
  <c r="B93"/>
  <c r="B92"/>
  <c r="G33"/>
  <c r="B37"/>
  <c r="B35"/>
  <c r="C34"/>
  <c r="B34"/>
  <c r="C33"/>
  <c r="B33"/>
  <c r="C28"/>
  <c r="B28"/>
  <c r="C14"/>
  <c r="B14"/>
  <c r="C10"/>
  <c r="B10"/>
  <c r="C6"/>
  <c r="B6"/>
  <c r="D24"/>
  <c r="G35"/>
  <c r="C31"/>
  <c r="B31"/>
  <c r="C2"/>
  <c r="B2"/>
  <c r="D40"/>
  <c r="D38"/>
  <c r="D37"/>
  <c r="D35"/>
  <c r="D34"/>
  <c r="D33"/>
  <c r="D31"/>
  <c r="D29"/>
  <c r="D28"/>
  <c r="D27"/>
  <c r="D26"/>
  <c r="D25"/>
  <c r="D23"/>
  <c r="D22"/>
  <c r="D21"/>
  <c r="D20"/>
  <c r="D19"/>
  <c r="D18"/>
  <c r="D17"/>
  <c r="D16"/>
  <c r="D15"/>
  <c r="D14"/>
  <c r="D13"/>
  <c r="D11"/>
  <c r="D10"/>
  <c r="D9"/>
  <c r="D8"/>
  <c r="D7"/>
  <c r="D6"/>
  <c r="D5"/>
  <c r="D3"/>
  <c r="D2"/>
  <c r="B90" i="33"/>
  <c r="B91"/>
  <c r="C18"/>
  <c r="B18"/>
  <c r="C2"/>
  <c r="B2"/>
  <c r="C30"/>
  <c r="B30"/>
  <c r="C35"/>
  <c r="B35"/>
  <c r="B28"/>
  <c r="C28"/>
  <c r="C32"/>
  <c r="B32"/>
  <c r="B6"/>
  <c r="C6"/>
  <c r="B34"/>
  <c r="D36"/>
  <c r="C34"/>
  <c r="B25"/>
  <c r="D25"/>
  <c r="B92"/>
  <c r="D39"/>
  <c r="D37"/>
  <c r="D35"/>
  <c r="D34"/>
  <c r="D33"/>
  <c r="D32"/>
  <c r="D30"/>
  <c r="D28"/>
  <c r="D27"/>
  <c r="D26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"/>
  <c r="C10" i="30"/>
  <c r="B10"/>
  <c r="C2" i="31"/>
  <c r="C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2"/>
  <c r="C33"/>
  <c r="C34"/>
  <c r="C35"/>
  <c r="C36"/>
  <c r="C38"/>
  <c r="C40"/>
  <c r="D38"/>
  <c r="B38"/>
  <c r="B33"/>
  <c r="D33"/>
  <c r="B34"/>
  <c r="D34"/>
  <c r="B35"/>
  <c r="D35"/>
  <c r="B36"/>
  <c r="D32"/>
  <c r="B32"/>
  <c r="D30"/>
  <c r="B30"/>
  <c r="B6"/>
  <c r="D6"/>
  <c r="B7"/>
  <c r="D7"/>
  <c r="B8"/>
  <c r="D8"/>
  <c r="B9"/>
  <c r="D9"/>
  <c r="B10"/>
  <c r="B2"/>
  <c r="B3"/>
  <c r="B5"/>
  <c r="B11"/>
  <c r="B12"/>
  <c r="B13"/>
  <c r="B14"/>
  <c r="B15"/>
  <c r="B16"/>
  <c r="B17"/>
  <c r="B18"/>
  <c r="B40" s="1"/>
  <c r="B19"/>
  <c r="B20"/>
  <c r="B21"/>
  <c r="B22"/>
  <c r="B23"/>
  <c r="B24"/>
  <c r="B25"/>
  <c r="B26"/>
  <c r="B27"/>
  <c r="B28"/>
  <c r="D11"/>
  <c r="D12"/>
  <c r="D13"/>
  <c r="D14"/>
  <c r="D15"/>
  <c r="D16"/>
  <c r="D17"/>
  <c r="D19"/>
  <c r="D20"/>
  <c r="D21"/>
  <c r="D22"/>
  <c r="D23"/>
  <c r="D24"/>
  <c r="D25"/>
  <c r="D26"/>
  <c r="D27"/>
  <c r="D28"/>
  <c r="D5"/>
  <c r="D3"/>
  <c r="D2"/>
  <c r="C33" i="30"/>
  <c r="B93" i="33"/>
  <c r="D2"/>
  <c r="B6" i="30"/>
  <c r="C6"/>
  <c r="C14"/>
  <c r="B14"/>
  <c r="C32"/>
  <c r="B32"/>
  <c r="C18"/>
  <c r="B18"/>
  <c r="C35"/>
  <c r="B35"/>
  <c r="B34"/>
  <c r="C34"/>
  <c r="C30"/>
  <c r="B30"/>
  <c r="C2"/>
  <c r="B2"/>
  <c r="B25"/>
  <c r="C27"/>
  <c r="B27"/>
  <c r="C23"/>
  <c r="B23"/>
  <c r="C28"/>
  <c r="B28"/>
  <c r="B89"/>
  <c r="B90"/>
  <c r="B91"/>
  <c r="D38"/>
  <c r="D36"/>
  <c r="D36" i="31" s="1"/>
  <c r="D35" i="30"/>
  <c r="D34"/>
  <c r="D33"/>
  <c r="D32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10" i="31"/>
  <c r="D9" i="30"/>
  <c r="D8"/>
  <c r="D7"/>
  <c r="D6"/>
  <c r="D5"/>
  <c r="D3"/>
  <c r="D2"/>
  <c r="C6" i="29"/>
  <c r="B6"/>
  <c r="C2"/>
  <c r="B2"/>
  <c r="C35"/>
  <c r="B35"/>
  <c r="C14"/>
  <c r="B14"/>
  <c r="C32"/>
  <c r="B32"/>
  <c r="B25"/>
  <c r="C28"/>
  <c r="B28"/>
  <c r="B89"/>
  <c r="B90"/>
  <c r="B91"/>
  <c r="D38"/>
  <c r="D36"/>
  <c r="D35"/>
  <c r="D34"/>
  <c r="D33"/>
  <c r="D32"/>
  <c r="D30"/>
  <c r="D28"/>
  <c r="D27"/>
  <c r="D26"/>
  <c r="D25"/>
  <c r="D24"/>
  <c r="D23"/>
  <c r="D22"/>
  <c r="D21"/>
  <c r="D20"/>
  <c r="D19"/>
  <c r="D18"/>
  <c r="D18" i="31" s="1"/>
  <c r="D17" i="29"/>
  <c r="D16"/>
  <c r="D15"/>
  <c r="D14"/>
  <c r="D13"/>
  <c r="D12"/>
  <c r="D11"/>
  <c r="D10"/>
  <c r="D9"/>
  <c r="D8"/>
  <c r="D7"/>
  <c r="D6"/>
  <c r="D5"/>
  <c r="D3"/>
  <c r="D2"/>
  <c r="C32" i="26"/>
  <c r="B32"/>
  <c r="C33"/>
  <c r="B33"/>
  <c r="C35"/>
  <c r="B35"/>
  <c r="D28"/>
  <c r="B28"/>
  <c r="B15" i="24"/>
  <c r="D38" i="25"/>
  <c r="D38" i="28"/>
  <c r="D2"/>
  <c r="D3"/>
  <c r="D42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2"/>
  <c r="D34"/>
  <c r="D35"/>
  <c r="D36"/>
  <c r="D37"/>
  <c r="D40"/>
  <c r="C38"/>
  <c r="C2"/>
  <c r="C3"/>
  <c r="C4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2"/>
  <c r="C34"/>
  <c r="C35"/>
  <c r="C36"/>
  <c r="C37"/>
  <c r="C40"/>
  <c r="B38"/>
  <c r="B2"/>
  <c r="B3"/>
  <c r="B4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2"/>
  <c r="B34"/>
  <c r="B35"/>
  <c r="B36"/>
  <c r="B37"/>
  <c r="B40"/>
  <c r="C6" i="26"/>
  <c r="B6"/>
  <c r="C2"/>
  <c r="B2"/>
  <c r="C23"/>
  <c r="B23"/>
  <c r="B89"/>
  <c r="C34"/>
  <c r="B34"/>
  <c r="D34"/>
  <c r="B22"/>
  <c r="C27"/>
  <c r="B27"/>
  <c r="B25"/>
  <c r="D25"/>
  <c r="B91"/>
  <c r="B90"/>
  <c r="D38"/>
  <c r="D36"/>
  <c r="D35"/>
  <c r="D33"/>
  <c r="D32"/>
  <c r="D30"/>
  <c r="D27"/>
  <c r="D26"/>
  <c r="D24"/>
  <c r="D22"/>
  <c r="D21"/>
  <c r="D20"/>
  <c r="D19"/>
  <c r="D18"/>
  <c r="D17"/>
  <c r="D16"/>
  <c r="D15"/>
  <c r="D14"/>
  <c r="D13"/>
  <c r="D12"/>
  <c r="D11"/>
  <c r="D10"/>
  <c r="D9"/>
  <c r="D8"/>
  <c r="D7"/>
  <c r="D5"/>
  <c r="D3"/>
  <c r="D2"/>
  <c r="C10" i="24"/>
  <c r="B7" i="25"/>
  <c r="C7"/>
  <c r="C35"/>
  <c r="B35"/>
  <c r="B91" i="24"/>
  <c r="D40" i="25"/>
  <c r="C37"/>
  <c r="B37"/>
  <c r="C19"/>
  <c r="B19"/>
  <c r="C15"/>
  <c r="B15"/>
  <c r="C32"/>
  <c r="B32"/>
  <c r="C36"/>
  <c r="B36"/>
  <c r="C24"/>
  <c r="B24"/>
  <c r="B29"/>
  <c r="C29"/>
  <c r="B27"/>
  <c r="C27"/>
  <c r="B34"/>
  <c r="C34"/>
  <c r="D34"/>
  <c r="B13"/>
  <c r="B23"/>
  <c r="C11"/>
  <c r="B11"/>
  <c r="B91"/>
  <c r="C32" i="24"/>
  <c r="B32"/>
  <c r="C30"/>
  <c r="C2"/>
  <c r="B2"/>
  <c r="B27"/>
  <c r="D40"/>
  <c r="C3" i="17"/>
  <c r="B3"/>
  <c r="C37" i="24"/>
  <c r="B37"/>
  <c r="C19"/>
  <c r="B19"/>
  <c r="B13"/>
  <c r="B30"/>
  <c r="B10"/>
  <c r="C34"/>
  <c r="B34"/>
  <c r="C11"/>
  <c r="B11"/>
  <c r="C36"/>
  <c r="B36"/>
  <c r="C5"/>
  <c r="B5"/>
  <c r="C7"/>
  <c r="B7"/>
  <c r="C15"/>
  <c r="C15" i="22"/>
  <c r="B15"/>
  <c r="C38"/>
  <c r="B38"/>
  <c r="B37"/>
  <c r="C37"/>
  <c r="B10"/>
  <c r="C13"/>
  <c r="B13"/>
  <c r="C30"/>
  <c r="B30"/>
  <c r="C24"/>
  <c r="B24"/>
  <c r="B27"/>
  <c r="C32"/>
  <c r="B32"/>
  <c r="C35"/>
  <c r="B35"/>
  <c r="C7"/>
  <c r="B7"/>
  <c r="C11"/>
  <c r="B11"/>
  <c r="C34"/>
  <c r="B34"/>
  <c r="C2"/>
  <c r="B2"/>
  <c r="B36"/>
  <c r="C36"/>
  <c r="C3" i="18"/>
  <c r="B3"/>
  <c r="D34" i="24"/>
  <c r="B93" i="25"/>
  <c r="B92"/>
  <c r="D37"/>
  <c r="D36"/>
  <c r="D35"/>
  <c r="D32"/>
  <c r="D30"/>
  <c r="D29"/>
  <c r="D28"/>
  <c r="D27"/>
  <c r="D26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3"/>
  <c r="D2"/>
  <c r="D5" i="24"/>
  <c r="B93"/>
  <c r="B92"/>
  <c r="D38"/>
  <c r="D37"/>
  <c r="D36"/>
  <c r="D35"/>
  <c r="D32"/>
  <c r="D30"/>
  <c r="D29"/>
  <c r="D28"/>
  <c r="D27"/>
  <c r="D26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3"/>
  <c r="D2"/>
  <c r="D20" i="22"/>
  <c r="D13"/>
  <c r="B93"/>
  <c r="B92"/>
  <c r="D38"/>
  <c r="D37"/>
  <c r="D36"/>
  <c r="D35"/>
  <c r="D34"/>
  <c r="D32"/>
  <c r="D30"/>
  <c r="D29"/>
  <c r="D28"/>
  <c r="D27"/>
  <c r="D26"/>
  <c r="D25"/>
  <c r="D24"/>
  <c r="D23"/>
  <c r="D22"/>
  <c r="D21"/>
  <c r="D19"/>
  <c r="D18"/>
  <c r="D17"/>
  <c r="D16"/>
  <c r="D15"/>
  <c r="D14"/>
  <c r="D12"/>
  <c r="D11"/>
  <c r="D10"/>
  <c r="D9"/>
  <c r="D8"/>
  <c r="D7"/>
  <c r="D6"/>
  <c r="D3"/>
  <c r="B91"/>
  <c r="D38" i="20"/>
  <c r="C38"/>
  <c r="B38"/>
  <c r="D37"/>
  <c r="C37"/>
  <c r="B37"/>
  <c r="D36"/>
  <c r="C36"/>
  <c r="B36"/>
  <c r="D35"/>
  <c r="C35"/>
  <c r="B35"/>
  <c r="D34"/>
  <c r="C34"/>
  <c r="B34"/>
  <c r="D30"/>
  <c r="C30"/>
  <c r="B30"/>
  <c r="D29"/>
  <c r="C29"/>
  <c r="B29"/>
  <c r="D32"/>
  <c r="C32"/>
  <c r="B32"/>
  <c r="D15"/>
  <c r="C15"/>
  <c r="B15"/>
  <c r="B28"/>
  <c r="D28"/>
  <c r="C28"/>
  <c r="D27"/>
  <c r="C27"/>
  <c r="B27"/>
  <c r="D26"/>
  <c r="C26"/>
  <c r="B26"/>
  <c r="B25"/>
  <c r="D25"/>
  <c r="C25"/>
  <c r="B24"/>
  <c r="D24"/>
  <c r="C24"/>
  <c r="B23"/>
  <c r="D23"/>
  <c r="C23"/>
  <c r="B22"/>
  <c r="D22"/>
  <c r="C22"/>
  <c r="B21"/>
  <c r="D21"/>
  <c r="C21"/>
  <c r="B20"/>
  <c r="D20"/>
  <c r="C20"/>
  <c r="D19"/>
  <c r="C19"/>
  <c r="B19"/>
  <c r="D18"/>
  <c r="C18"/>
  <c r="B18"/>
  <c r="D17"/>
  <c r="C17"/>
  <c r="B17"/>
  <c r="D16"/>
  <c r="C16"/>
  <c r="B16"/>
  <c r="D14"/>
  <c r="C14"/>
  <c r="B14"/>
  <c r="D13"/>
  <c r="C13"/>
  <c r="B13"/>
  <c r="C11"/>
  <c r="B11"/>
  <c r="D12"/>
  <c r="C12"/>
  <c r="B12"/>
  <c r="D11"/>
  <c r="D10"/>
  <c r="C10"/>
  <c r="B10"/>
  <c r="D9"/>
  <c r="C9"/>
  <c r="B9"/>
  <c r="B8"/>
  <c r="D8"/>
  <c r="C8"/>
  <c r="D7"/>
  <c r="C7"/>
  <c r="B7"/>
  <c r="D6"/>
  <c r="C6"/>
  <c r="B6"/>
  <c r="D5"/>
  <c r="C5"/>
  <c r="B5"/>
  <c r="B89" i="17"/>
  <c r="B88"/>
  <c r="B87"/>
  <c r="B94" i="24"/>
  <c r="B94" i="22"/>
  <c r="D2"/>
  <c r="B88" i="18"/>
  <c r="B87"/>
  <c r="C34" i="17"/>
  <c r="C2"/>
  <c r="B2"/>
  <c r="C36"/>
  <c r="B36"/>
  <c r="C22"/>
  <c r="B22"/>
  <c r="C10"/>
  <c r="B10"/>
  <c r="B25"/>
  <c r="C18"/>
  <c r="B18"/>
  <c r="C5"/>
  <c r="B5"/>
  <c r="C32"/>
  <c r="B32"/>
  <c r="C14"/>
  <c r="B14"/>
  <c r="C24"/>
  <c r="B24"/>
  <c r="D24"/>
  <c r="B30"/>
  <c r="C33"/>
  <c r="B33"/>
  <c r="C6"/>
  <c r="B6"/>
  <c r="B34"/>
  <c r="C35"/>
  <c r="B35"/>
  <c r="C28"/>
  <c r="B28"/>
  <c r="D28"/>
  <c r="D36"/>
  <c r="D34"/>
  <c r="D27"/>
  <c r="D26"/>
  <c r="D20"/>
  <c r="D14"/>
  <c r="D33"/>
  <c r="D32"/>
  <c r="D30"/>
  <c r="D25"/>
  <c r="D23"/>
  <c r="D22"/>
  <c r="D21"/>
  <c r="D19"/>
  <c r="D18"/>
  <c r="D17"/>
  <c r="D16"/>
  <c r="D15"/>
  <c r="D13"/>
  <c r="D12"/>
  <c r="D11"/>
  <c r="D10"/>
  <c r="D9"/>
  <c r="D8"/>
  <c r="D7"/>
  <c r="D6"/>
  <c r="D5"/>
  <c r="D3"/>
  <c r="B12" i="18"/>
  <c r="D12"/>
  <c r="C34"/>
  <c r="B34"/>
  <c r="C27"/>
  <c r="B27"/>
  <c r="B29" i="19"/>
  <c r="D8" i="18"/>
  <c r="B10"/>
  <c r="D10"/>
  <c r="C10"/>
  <c r="B9"/>
  <c r="D9"/>
  <c r="C32"/>
  <c r="B32"/>
  <c r="C31"/>
  <c r="B31"/>
  <c r="B24"/>
  <c r="C33"/>
  <c r="B33"/>
  <c r="D35"/>
  <c r="C6"/>
  <c r="B6"/>
  <c r="C21"/>
  <c r="B21"/>
  <c r="C5"/>
  <c r="B5"/>
  <c r="C23"/>
  <c r="B23"/>
  <c r="D23"/>
  <c r="D11"/>
  <c r="C2"/>
  <c r="B2"/>
  <c r="D29"/>
  <c r="D24"/>
  <c r="D22"/>
  <c r="D20"/>
  <c r="D18"/>
  <c r="D16"/>
  <c r="D15"/>
  <c r="D14"/>
  <c r="D13"/>
  <c r="D7"/>
  <c r="D3"/>
  <c r="C17"/>
  <c r="B17"/>
  <c r="C3" i="19"/>
  <c r="B3"/>
  <c r="D12"/>
  <c r="C31"/>
  <c r="B31"/>
  <c r="C6"/>
  <c r="B6"/>
  <c r="B21"/>
  <c r="B26"/>
  <c r="D26"/>
  <c r="C24"/>
  <c r="B24"/>
  <c r="C33"/>
  <c r="B33"/>
  <c r="B28"/>
  <c r="D28"/>
  <c r="C18"/>
  <c r="B18"/>
  <c r="C37"/>
  <c r="B37"/>
  <c r="D37"/>
  <c r="C29"/>
  <c r="D29"/>
  <c r="C36"/>
  <c r="B36"/>
  <c r="C2"/>
  <c r="B2"/>
  <c r="B35"/>
  <c r="B87"/>
  <c r="B86"/>
  <c r="D39"/>
  <c r="D35"/>
  <c r="D34"/>
  <c r="D31"/>
  <c r="D27"/>
  <c r="D25"/>
  <c r="D24"/>
  <c r="D22"/>
  <c r="D21"/>
  <c r="D20"/>
  <c r="D19"/>
  <c r="D18"/>
  <c r="D17"/>
  <c r="D16"/>
  <c r="D15"/>
  <c r="D14"/>
  <c r="D13"/>
  <c r="D11"/>
  <c r="D10"/>
  <c r="D9"/>
  <c r="D8"/>
  <c r="D7"/>
  <c r="D6"/>
  <c r="D5"/>
  <c r="D3"/>
  <c r="B85"/>
  <c r="B88"/>
  <c r="B90" i="17"/>
  <c r="D27" i="18"/>
  <c r="D32"/>
  <c r="D17"/>
  <c r="D6"/>
  <c r="D5"/>
  <c r="D35" i="17"/>
  <c r="D2"/>
  <c r="D2" i="20"/>
  <c r="D40"/>
  <c r="D34" i="18"/>
  <c r="D31"/>
  <c r="D33"/>
  <c r="D21"/>
  <c r="D2"/>
  <c r="D33" i="19"/>
  <c r="D36"/>
  <c r="D2"/>
  <c r="B86" i="18"/>
  <c r="C3" i="20"/>
  <c r="C2"/>
  <c r="C40"/>
  <c r="D3"/>
  <c r="B3"/>
  <c r="B2"/>
  <c r="B40"/>
  <c r="B89" i="18"/>
  <c r="D6" i="26"/>
  <c r="B94" i="25"/>
  <c r="D23" i="26"/>
  <c r="B92" i="29"/>
  <c r="B92" i="30"/>
  <c r="B92" i="26"/>
  <c r="D37" i="35"/>
  <c r="B91"/>
  <c r="B94" s="1"/>
  <c r="D40" i="31" l="1"/>
  <c r="D36" i="34"/>
</calcChain>
</file>

<file path=xl/comments1.xml><?xml version="1.0" encoding="utf-8"?>
<comments xmlns="http://schemas.openxmlformats.org/spreadsheetml/2006/main">
  <authors>
    <author>Lucia Rana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Lucia Rana:</t>
        </r>
        <r>
          <rPr>
            <sz val="9"/>
            <color indexed="81"/>
            <rFont val="Tahoma"/>
            <family val="2"/>
          </rPr>
          <t xml:space="preserve">
Gennaio</t>
        </r>
      </text>
    </comment>
  </commentList>
</comments>
</file>

<file path=xl/comments2.xml><?xml version="1.0" encoding="utf-8"?>
<comments xmlns="http://schemas.openxmlformats.org/spreadsheetml/2006/main">
  <authors>
    <author>Lucia Rana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>Lucia Rana:</t>
        </r>
        <r>
          <rPr>
            <sz val="9"/>
            <color indexed="81"/>
            <rFont val="Tahoma"/>
            <family val="2"/>
          </rPr>
          <t xml:space="preserve">
+ € 7,80 da NS Gennaio</t>
        </r>
      </text>
    </comment>
  </commentList>
</comments>
</file>

<file path=xl/sharedStrings.xml><?xml version="1.0" encoding="utf-8"?>
<sst xmlns="http://schemas.openxmlformats.org/spreadsheetml/2006/main" count="2647" uniqueCount="754">
  <si>
    <t>Bettini Marco</t>
  </si>
  <si>
    <t>Romeo Mauro</t>
  </si>
  <si>
    <t>Vincenzetti David</t>
  </si>
  <si>
    <t>Bedeschi Valeriano</t>
  </si>
  <si>
    <t>Chiodini Massimo</t>
  </si>
  <si>
    <t>OPERATIVI</t>
  </si>
  <si>
    <t>COMMERCIALE</t>
  </si>
  <si>
    <t>DIREZIONE GENERALE</t>
  </si>
  <si>
    <t>Milan Daniele</t>
  </si>
  <si>
    <t xml:space="preserve">Pelliccione Alberto </t>
  </si>
  <si>
    <t>AMMINISTRAZIONE</t>
  </si>
  <si>
    <t>Nota spese  Tot. Dovuto</t>
  </si>
  <si>
    <t>Nota spese  C/C aziendale</t>
  </si>
  <si>
    <t>Luppi Massimiliano</t>
  </si>
  <si>
    <t>Cornelli Fabrizio</t>
  </si>
  <si>
    <t>UTENTE</t>
  </si>
  <si>
    <t>CHIAMATE GENNAIO</t>
  </si>
  <si>
    <t>TRAFFICO DATI GENNAIO</t>
  </si>
  <si>
    <t>TRAFFICO SERVIZI INTERATTIVI GENNAIO</t>
  </si>
  <si>
    <t>TOT. NOTA SPESE</t>
  </si>
  <si>
    <t>Dettagli</t>
  </si>
  <si>
    <t>FT già in ACCESS</t>
  </si>
  <si>
    <t>COMMERCIALI</t>
  </si>
  <si>
    <t>Russo Giancarlo 328/8139385</t>
  </si>
  <si>
    <t>Mazzeo Antonio 331/1863741</t>
  </si>
  <si>
    <t>Milan Daniele 334/6221194</t>
  </si>
  <si>
    <t>Rumore Salvatore 335/5859824</t>
  </si>
  <si>
    <t>Cordoni Danilo 335/6675105</t>
  </si>
  <si>
    <t>Bedeschi Valeriano 335/7636888</t>
  </si>
  <si>
    <t>Chiodini Massimo 335/7710861</t>
  </si>
  <si>
    <t>Filippi Luca 340/5488603</t>
  </si>
  <si>
    <t>Romeo Mauro 347/6079478</t>
  </si>
  <si>
    <t>Ornaghi Alberto 348/0115642</t>
  </si>
  <si>
    <t>Pelliccione Alberto 348/6512408</t>
  </si>
  <si>
    <t>Valleri Marco 348/8261691</t>
  </si>
  <si>
    <t>Bettini Marco 348/8291450</t>
  </si>
  <si>
    <t>Vincenzetti David 349/4403823</t>
  </si>
  <si>
    <t>Cornelli Fabrizio 366/6539755</t>
  </si>
  <si>
    <t>Luppi Massimiliano 366/6539760</t>
  </si>
  <si>
    <t>SIM Internet 366/6712813 - Chiavetta Bettini 100 h</t>
  </si>
  <si>
    <t>SIM Internet 366/6539747 - Chiavetta Rumore 100 h</t>
  </si>
  <si>
    <t>SIM Internet 366/6712811 - Chiavetta Roattino 100 h</t>
  </si>
  <si>
    <t>SIM Test 335/5865863 - Pelliccione</t>
  </si>
  <si>
    <t>SIM Test 366/6539757 - Pelliccione</t>
  </si>
  <si>
    <t>SIM Test 366/6539758 - Pelliccione</t>
  </si>
  <si>
    <t>SIM Test 366/6648647- Pelliccione</t>
  </si>
  <si>
    <t>SIM Test 334/6221285 - Pelliccione</t>
  </si>
  <si>
    <t>SIM Internet 366/6539748 - Chiavetta Costantino 100 h</t>
  </si>
  <si>
    <t>SIM Internet 366/6539752 - Chiavetta David 100 h</t>
  </si>
  <si>
    <t>SIM Internet 335/5950448 - Chiavetta Filippi 100 h</t>
  </si>
  <si>
    <t>SIM DATI</t>
  </si>
  <si>
    <t>SIM Internet 366/6262131 - Chiavetta Banfi 100 h</t>
  </si>
  <si>
    <r>
      <t xml:space="preserve">SIM Internet 366/6539750 - Chiavetta Mauro 100 h - </t>
    </r>
    <r>
      <rPr>
        <sz val="10"/>
        <color rgb="FFFF0000"/>
        <rFont val="Tahoma"/>
        <family val="2"/>
      </rPr>
      <t>IN USO CORDONI</t>
    </r>
  </si>
  <si>
    <r>
      <t>SIM Internet 366/6712812 - Chiavetta Danilo 100 h -</t>
    </r>
    <r>
      <rPr>
        <sz val="10"/>
        <color rgb="FFFF0000"/>
        <rFont val="Tahoma"/>
        <family val="2"/>
      </rPr>
      <t xml:space="preserve"> IN USO ROMEO</t>
    </r>
  </si>
  <si>
    <t>SIM 335/5885358 i-Pad Bettini</t>
  </si>
  <si>
    <t>TOTALE CELLULARI</t>
  </si>
  <si>
    <t>TOTALE SIM DATI</t>
  </si>
  <si>
    <t xml:space="preserve">Costo cellulare              </t>
  </si>
  <si>
    <t xml:space="preserve">Costo cellulare                 </t>
  </si>
  <si>
    <t>Muschitiello Bruno 335/1732130</t>
  </si>
  <si>
    <t>Busatto Fabio 335/6089762</t>
  </si>
  <si>
    <t xml:space="preserve">Muschitiello Bruno </t>
  </si>
  <si>
    <t xml:space="preserve">Ornaghi Alberto </t>
  </si>
  <si>
    <t xml:space="preserve">Rumore Salvatore </t>
  </si>
  <si>
    <t>TOTALE NOTE SPESE</t>
  </si>
  <si>
    <t>COSTO</t>
  </si>
  <si>
    <t xml:space="preserve">Russo Giancarlo </t>
  </si>
  <si>
    <t>TOTALE APRILE</t>
  </si>
  <si>
    <t>de Giovanni Fulvio 366/6335128</t>
  </si>
  <si>
    <t>Scarafile Alessandro 338/6906194</t>
  </si>
  <si>
    <t>Maanna Mostapha 335/1725432</t>
  </si>
  <si>
    <t>Emanuele Levi</t>
  </si>
  <si>
    <t>EXTRA</t>
  </si>
  <si>
    <t>SIM i-Pad Russo 338/6147118</t>
  </si>
  <si>
    <t>SIM i-Pad Valleri 338/5784657</t>
  </si>
  <si>
    <t>SIM i-Pad Milan 338/6035792</t>
  </si>
  <si>
    <t>SIM i-Pad Pelliccione 338/5799796</t>
  </si>
  <si>
    <t>SIM i-Pad Ornaghi 338/6014231</t>
  </si>
  <si>
    <t>Landi Guido 366/6285429</t>
  </si>
  <si>
    <t xml:space="preserve">Filippi Luca </t>
  </si>
  <si>
    <t xml:space="preserve">Scarafile Alessandro </t>
  </si>
  <si>
    <t xml:space="preserve">Valleri Marco </t>
  </si>
  <si>
    <t>CATENA DEMO 1: 366/5798113</t>
  </si>
  <si>
    <t>SIM i-Pad de Giovanni 335/1798083</t>
  </si>
  <si>
    <t>Dettagli FT già in ACCESS</t>
  </si>
  <si>
    <t>Pagamento C/C aziendale</t>
  </si>
  <si>
    <t>Rimborso dovuto</t>
  </si>
  <si>
    <t xml:space="preserve">de Giovanni Fulvio </t>
  </si>
  <si>
    <t xml:space="preserve">Landi Guido </t>
  </si>
  <si>
    <t xml:space="preserve">Mazzeo Antonio </t>
  </si>
  <si>
    <t>SIM i-Pad Luppi 334/6195490</t>
  </si>
  <si>
    <t>SIM i-Pad Maanna 335/6166584</t>
  </si>
  <si>
    <t>Cino Giovanni 347/6082465</t>
  </si>
  <si>
    <t>Marcon Eros 348/6512411</t>
  </si>
  <si>
    <t>SIM Tablet Vincenzetti 366/5807966</t>
  </si>
  <si>
    <t>SIM Tablet Bedeschi 366/5802120</t>
  </si>
  <si>
    <t>SIM i-Pad Banfi 366/6868542</t>
  </si>
  <si>
    <t>SIM i-Pad Cordoni 338/6177315</t>
  </si>
  <si>
    <t>SIM i-Pad Rumore 338/6158296</t>
  </si>
  <si>
    <t>Velasco Alex 301/332/5654</t>
  </si>
  <si>
    <t>Catino Marco 366/5676136</t>
  </si>
  <si>
    <t>CATENA DEMO 2: 366/5798116</t>
  </si>
  <si>
    <t>CATENA DEMO 3: 366/5798119</t>
  </si>
  <si>
    <t>CATENA DEMO 4: 335/1754592</t>
  </si>
  <si>
    <t>CATENA DEMO 5: 335/1780295</t>
  </si>
  <si>
    <t>Oliva Matteo 338/6955204</t>
  </si>
  <si>
    <t>SIM Internet 335/8221272 - Chiavetta Russo</t>
  </si>
  <si>
    <t>MircoSim Test 335/7660700 - Pelliccione</t>
  </si>
  <si>
    <t>MircoSim Test 334/6405066 - Pelliccione</t>
  </si>
  <si>
    <t>MircoSim Test 334/6405249 - Pelliccione</t>
  </si>
  <si>
    <t>Micro-Sim Vincenzetti 338/6265521</t>
  </si>
  <si>
    <t>SIM VOCE x ALLARME 5° PIANO: 337/1050842</t>
  </si>
  <si>
    <t>SIM VOCE x ALLARME 5° PIANO: 334/6207225</t>
  </si>
  <si>
    <t>SIM Internet 338/2640490 - Chiavetta Mazzeo</t>
  </si>
  <si>
    <t>SIM Internet 338/2508322 - Chiavetta Maanna</t>
  </si>
  <si>
    <t>Giubertoni Diego 366/9022609</t>
  </si>
  <si>
    <t>SIM Internet 366/6263617 - Chiavetta Lomonaco 100 h</t>
  </si>
  <si>
    <t>Speziale Ivan 366/9003900</t>
  </si>
  <si>
    <t>Piani Gianluca 393/9310619</t>
  </si>
  <si>
    <t>Maglietta Daniel +65 912/73560</t>
  </si>
  <si>
    <t>Woon Serge +65 912/73063</t>
  </si>
  <si>
    <t xml:space="preserve">Numero chiamate:                  Durata chiamate:                                      Costo totale: </t>
  </si>
  <si>
    <t>Di Pasquale Andrea 349/3505788</t>
  </si>
  <si>
    <t>Iannelli Stefania 335/6675105</t>
  </si>
  <si>
    <t>SIM i-Pad Bettini 335/5885358</t>
  </si>
  <si>
    <t>SIM USB 335/5950448 -  Filippi</t>
  </si>
  <si>
    <t xml:space="preserve">SIM USB 366/6539747 - Rumore </t>
  </si>
  <si>
    <t>SIM USB 366/6539748 - Imbrauglio</t>
  </si>
  <si>
    <t xml:space="preserve">SIM USB 366/6539750 - Romeo </t>
  </si>
  <si>
    <t>SIM USB 366/6539752 - Vincenzetti</t>
  </si>
  <si>
    <t>SIM USB 366/6712811 - Roattino</t>
  </si>
  <si>
    <t xml:space="preserve">SIM USB 366/6712812 - Cordoni </t>
  </si>
  <si>
    <t>SIM USB 366/6712813 - Bettini</t>
  </si>
  <si>
    <t xml:space="preserve">SIM SIM USB 366/6263617 -Lomonaco </t>
  </si>
  <si>
    <t>SIM USB 338/2508322 - Mazzeo</t>
  </si>
  <si>
    <t>SIM USB 335/8221272 - Russo</t>
  </si>
  <si>
    <t>SIM USB 338/2640490 - Maanna</t>
  </si>
  <si>
    <t>SIM i-Pad Vincenzetti 338/6265521</t>
  </si>
  <si>
    <t xml:space="preserve">SIM Test Pelliccione - 334/6221285  </t>
  </si>
  <si>
    <t xml:space="preserve">SIM Test Pelliccione - 335/5865863 </t>
  </si>
  <si>
    <t xml:space="preserve">SIM Test Pelliccione - 366/6539757 </t>
  </si>
  <si>
    <t>SIM Test Pelliccione - 366/6539758</t>
  </si>
  <si>
    <t>SIM Test Pelliccione - 366/6648647</t>
  </si>
  <si>
    <t>MICRO-SIM TEST Pelliccione -335/7660700</t>
  </si>
  <si>
    <t>MICRO-SIM TEST Pelliccione - 334/6405066</t>
  </si>
  <si>
    <t>MICRO-SIM TEST Pelliccione -334/6405249</t>
  </si>
  <si>
    <t xml:space="preserve">SIM USB 366/6262131 - Banfi </t>
  </si>
  <si>
    <t>Micro-SIM 4GB Vincenzetti - 366/9603623</t>
  </si>
  <si>
    <t>Micro-SIM 4GB Vincenzetti - 366/9118338</t>
  </si>
  <si>
    <t>Micro-SIM 4GB Bedeschi - 366/9603620</t>
  </si>
  <si>
    <t>Micro-SIM 4GB Milan - 366/9295274</t>
  </si>
  <si>
    <t>Nano-Sim 4G Russo - 335/6363244</t>
  </si>
  <si>
    <t xml:space="preserve">             </t>
  </si>
  <si>
    <t xml:space="preserve">Busatto Fabio </t>
  </si>
  <si>
    <t xml:space="preserve">Catino Marco </t>
  </si>
  <si>
    <t xml:space="preserve">Cino Giovanni </t>
  </si>
  <si>
    <t xml:space="preserve">Cordoni Danilo </t>
  </si>
  <si>
    <t>Di Pasquale Andrea</t>
  </si>
  <si>
    <t>Giubertoni Diego</t>
  </si>
  <si>
    <t>Marcon Eros</t>
  </si>
  <si>
    <t>Oliva Matteo</t>
  </si>
  <si>
    <t>Piani Gianluca</t>
  </si>
  <si>
    <t>Speziale Ivan</t>
  </si>
  <si>
    <t>Iannelli Stefania</t>
  </si>
  <si>
    <t>Woon Serge</t>
  </si>
  <si>
    <t>Maanna Mostapha</t>
  </si>
  <si>
    <t>Maglietta Daniel</t>
  </si>
  <si>
    <t>Velasco Alex</t>
  </si>
  <si>
    <t>Galvagna Sara 348/0115641</t>
  </si>
  <si>
    <t>Molteni Daniele 331/6237813</t>
  </si>
  <si>
    <t>Bagnasco Stefano 393/9310619</t>
  </si>
  <si>
    <t>CHIAMATE FEBBRAIO</t>
  </si>
  <si>
    <t>TRAFFICO DATI FEBBRAIO</t>
  </si>
  <si>
    <t>TRAFFICO SERVIZI INTERATTIVI FEBBRAIO</t>
  </si>
  <si>
    <t xml:space="preserve">Numero chiamate:       Durata chiamate:           Totale pacchetti:              Costo totale: </t>
  </si>
  <si>
    <t>Numero chiamate:            Totale pacchetti:                Costo totale:</t>
  </si>
  <si>
    <t>Numero chiamate: 328                 Durata chiamate: 19:22:53                                       Costo totale: 94,22</t>
  </si>
  <si>
    <t xml:space="preserve">Numero chiamate: 4     Durata chiamate:           Totale pacchetti: 22445            Costo totale: 0 </t>
  </si>
  <si>
    <t>Numero chiamate: 294              Durata chiamate: 06:55:07                                       Costo totale: 394,93</t>
  </si>
  <si>
    <t xml:space="preserve">Numero chiamate: 844    Durata chiamate:           Totale pacchetti: 1657           Costo totale: 0 </t>
  </si>
  <si>
    <t>Numero chiamate: 87                 Durata chiamate: 02:36:26                                      Costo totale: 105,95</t>
  </si>
  <si>
    <t>Numero chiamate: 151      Durata chiamate:           Totale pacchetti: 191             Costo totale: 210,09</t>
  </si>
  <si>
    <t>Numero chiamate: 256                Durata chiamate: 14:47:21                                     Costo totale: 75,46</t>
  </si>
  <si>
    <t>Numero chiamate: 1      Durata chiamate:           Totale pacchetti: 8             Costo totale: 0</t>
  </si>
  <si>
    <t>Numero chiamate: 1           Totale pacchetti: 0               Costo totale: 0</t>
  </si>
  <si>
    <t>Numero chiamate: 80                Durata chiamate: 02:04:34                                     Costo totale: 60,89</t>
  </si>
  <si>
    <t xml:space="preserve">Numero chiamate: 524     Durata chiamate:           Totale pacchetti: 2653            Costo totale: 1,97 </t>
  </si>
  <si>
    <t>Numero chiamate: 84                Durata chiamate: 05:08:01                                     Costo totale: 46,36</t>
  </si>
  <si>
    <t>Numero chiamate: 168     Durata chiamate:           Totale pacchetti: 512      Costo totale: 0</t>
  </si>
  <si>
    <t>Numero chiamate: 276                Durata chiamate: 10:27:25                                   Costo totale: 651,72</t>
  </si>
  <si>
    <t>Numero chiamate: 937     Durata chiamate:           Totale pacchetti: 1483     Costo totale: 14,80</t>
  </si>
  <si>
    <t>Numero chiamate: 208                Durata chiamate: 07:16:34                                      Costo totale: 255,03</t>
  </si>
  <si>
    <t>Numero chiamate: 1653      Durata chiamate:           Totale pacchetti: 2398             Costo totale: 127,24</t>
  </si>
  <si>
    <t>Numero chiamate: 339                Durata chiamate: 14:43:24                                     Costo totale: 972,81</t>
  </si>
  <si>
    <t>Numero chiamate: 1582      Durata chiamate:           Totale pacchetti: 3154            Costo totale: 210,11</t>
  </si>
  <si>
    <t>Numero chiamate: 260               Durata chiamate: 08:49:06                                   Costo totale: 179,00</t>
  </si>
  <si>
    <t>Numero chiamate: 609     Durata chiamate:           Totale pacchetti: 2527    Costo totale: 0,02</t>
  </si>
  <si>
    <t>CHIAMATE MARZO</t>
  </si>
  <si>
    <t>TRAFFICO DATI MARZO</t>
  </si>
  <si>
    <t>TRAFFICO SERVIZI INTERATTIVI MARZO</t>
  </si>
  <si>
    <t>Numero chiamate: 397               Durata chiamate: 11:54:33                                     Costo totale: 384,07</t>
  </si>
  <si>
    <t>Numero chiamate: 999      Durata chiamate:           Totale pacchetti: 5293            Costo totale: 5,92</t>
  </si>
  <si>
    <t xml:space="preserve">Numero chiamate: 3            Totale pacchetti: 0               Costo totale: 0 </t>
  </si>
  <si>
    <t>Numero chiamate: 300                Durata chiamate: 10:01:23                                     Costo totale: 320,98</t>
  </si>
  <si>
    <t xml:space="preserve">Numero chiamate: 1045       Durata chiamate:           Totale pacchetti: 3586            Costo totale: 189,38 </t>
  </si>
  <si>
    <t>Numero chiamate: 9            Totale pacchetti: 0               Costo totale: 0</t>
  </si>
  <si>
    <t>Numero chiamate: 242                Durata chiamate: 05:18:33                                      Costo totale: 307,04</t>
  </si>
  <si>
    <t>Numero chiamate: 2141      Durata chiamate:           Totale pacchetti: 2967            Costo totale: 49,32</t>
  </si>
  <si>
    <t>Numero chiamate: 248               Durata chiamate: 06:24:44                                   Costo totale: 373,95</t>
  </si>
  <si>
    <t>Numero chiamate: 533    Durata chiamate:           Totale pacchetti: 1036          Costo totale: 0</t>
  </si>
  <si>
    <t>Numero chiamate: 163                Durata chiamate: 10:21:51                                   Costo totale: 418,60</t>
  </si>
  <si>
    <t>Numero chiamate: 632       Durata chiamate:           Totale pacchetti: 3155           Costo totale: 1,97</t>
  </si>
  <si>
    <t>Numero chiamate: 230                Durata chiamate: 07:51:23                                   Costo totale: 983,80</t>
  </si>
  <si>
    <t>Numero chiamate: 1174       Durata chiamate:           Totale pacchetti: 5282          Costo totale: 48,33</t>
  </si>
  <si>
    <t>Numero chiamate: 2      Durata chiamate:           Totale pacchetti: 2            Costo totale: 0</t>
  </si>
  <si>
    <t>Numero chiamate: 279               Durata chiamate: 10:51:33                                     Costo totale: 69,34</t>
  </si>
  <si>
    <t>Numero chiamate: 111                Durata chiamate: 02:32:24                               Costo totale: 263,27</t>
  </si>
  <si>
    <t>Numero chiamate: 957       Durata chiamate:           Totale pacchetti: 999        Costo totale: 0</t>
  </si>
  <si>
    <t>Numero chiamate: 118              Durata chiamate: 02:01:52                                     Costo totale: 78,42</t>
  </si>
  <si>
    <t>Numero chiamate: 638     Durata chiamate:           Totale pacchetti: 1926           Costo totale: 23,67</t>
  </si>
  <si>
    <t>Numero chiamate: 283               Durata chiamate: 10:26:05                                Costo totale: 103,52</t>
  </si>
  <si>
    <t>Numero chiamate: 11       Durata chiamate:           Totale pacchetti: 149        Costo totale: 0</t>
  </si>
  <si>
    <t>Numero chiamate: 259              Durata chiamate: 08:59:18                                     Costo totale: 523,68</t>
  </si>
  <si>
    <t>Numero chiamate: 1469    Durata chiamate:           Totale pacchetti: 2402            Costo totale: 2,95</t>
  </si>
  <si>
    <t>CHIAMATE APRILE</t>
  </si>
  <si>
    <t>CHIAMATE MAGGIO</t>
  </si>
  <si>
    <t>CHIAMATE GIUGNO</t>
  </si>
  <si>
    <t>TRAFFICO DATI APRILE</t>
  </si>
  <si>
    <t>TRAFFICO SERVIZI INTERATTIVI APRILE</t>
  </si>
  <si>
    <t>TRAFFICO DATI MAGGIO</t>
  </si>
  <si>
    <t>TRAFFICO SERVIZI INTERATTIVI MAGGIO</t>
  </si>
  <si>
    <t>TRAFFICO DATI GIUGNO</t>
  </si>
  <si>
    <t>TRAFFICO SERVIZI INTERATTIVI GIUGNO</t>
  </si>
  <si>
    <t>Numero chiamate: 425                Durata chiamate: 12:45:07                                     Costo totale: 408,88</t>
  </si>
  <si>
    <t>Numero chiamate: 669      Durata chiamate:104:07:24          Totale pacchetti: 3.280             Costo totale: 0,14</t>
  </si>
  <si>
    <t>Numero chiamate: 7           Totale pacchetti: 0               Costo totale: 0</t>
  </si>
  <si>
    <t>Numero chiamate: 0               Durata chiamate: 0                                     Costo totale: 0</t>
  </si>
  <si>
    <t>Numero chiamate: 2      Durata chiamate: 00:02:38           Totale pacchetti: 4             Costo totale: 0</t>
  </si>
  <si>
    <t>Numero chiamate: 2           Totale pacchetti: 0               Costo totale: 0</t>
  </si>
  <si>
    <t>Numero chiamate: 3               Durata chiamate: 0                                     Costo totale: 0,38</t>
  </si>
  <si>
    <t>Numero chiamate: 3      Durata chiamate: 00:02:33           Totale pacchetti: 13            Costo totale: 0</t>
  </si>
  <si>
    <t>Numero chiamate: 0           Totale pacchetti: 0               Costo totale: 0</t>
  </si>
  <si>
    <t>Numero chiamate: 405               Durata chiamate: 07:19:04                                     Costo totale: 161,04</t>
  </si>
  <si>
    <t>Numero chiamate: 462      Durata chiamate: 71:38:36           Totale pacchetti: 1.740            Costo totale: 12,82</t>
  </si>
  <si>
    <t>Numero chiamate: 367                Durata chiamate: 10:14:19                                     Costo totale: 341,45</t>
  </si>
  <si>
    <t>Numero chiamate: 659      Durata chiamate:77:38:18          Totale pacchetti: 1.111            Costo totale: 1,98</t>
  </si>
  <si>
    <t>Numero chiamate: 74               Durata chiamate: 02:45:41                                     Costo totale: 25,67</t>
  </si>
  <si>
    <t>Numero chiamate: 0      Durata chiamate: 00:00:00           Totale pacchetti: 0            Costo totale: 0</t>
  </si>
  <si>
    <t>Numero chiamate: 62                Durata chiamate: 01:37:36                                     Costo totale: 17,74</t>
  </si>
  <si>
    <t>Numero chiamate: 2      Durata chiamate: 00:02:34           Totale pacchetti: 47             Costo totale: 0</t>
  </si>
  <si>
    <t>Numero chiamate: 106               Durata chiamate: 06:05:00                                     Costo totale: 77,43</t>
  </si>
  <si>
    <t>Numero chiamate: 469      Durata chiamate: 89:15:54           Totale pacchetti: 737             Costo totale: 3,05</t>
  </si>
  <si>
    <t>Numero chiamate: 181                Durata chiamate: 10:43:39                                     Costo totale: 105,55</t>
  </si>
  <si>
    <t>Numero chiamate: 0      Durata chiamate: 00:00:00           Totale pacchetti: 0             Costo totale: 0</t>
  </si>
  <si>
    <t>Numero chiamate: 51                Durata chiamate: 01:47:03                                     Costo totale: 20,22</t>
  </si>
  <si>
    <t>Numero chiamate: 6      Durata chiamate: 00:05:25           Totale pacchetti: 2.822             Costo totale: 0</t>
  </si>
  <si>
    <t>Numero chiamate: 109                Durata chiamate: 04:35:47                                     Costo totale: 343,07</t>
  </si>
  <si>
    <t>Numero chiamate: 667      Durata chiamate:122:17:36          Totale pacchetti: 5.220             Costo totale: 11,89</t>
  </si>
  <si>
    <t>Numero chiamate: 11                Durata chiamate: 00:04:40                                     Costo totale: 1,51</t>
  </si>
  <si>
    <t>Numero chiamate: 4      Durata chiamate:00:06:53          Totale pacchetti: 25             Costo totale: 0</t>
  </si>
  <si>
    <t>Numero chiamate: 2                Durata chiamate: 00:01:28                                     Costo totale: 0</t>
  </si>
  <si>
    <t>Numero chiamate: 134                Durata chiamate: 07:50:14                                     Costo totale: 77,13</t>
  </si>
  <si>
    <t>Numero chiamate: 123               Durata chiamate: 01:35:00                                     Costo totale: 27,75</t>
  </si>
  <si>
    <t>Numero chiamate: 1.162      Durata chiamate: 246:23:21           Totale pacchetti: 1.621            Costo totale: 0</t>
  </si>
  <si>
    <t>Numero chiamate: 133               Durata chiamate: 06:23:30                                     Costo totale: 55,89</t>
  </si>
  <si>
    <t>Numero chiamate: 533      Durata chiamate: 77:19:56           Totale pacchetti: 1.195            Costo totale: 0</t>
  </si>
  <si>
    <t>Numero chiamate: 3           Totale pacchetti: 0               Costo totale: 0</t>
  </si>
  <si>
    <t>Numero chiamate: 64               Durata chiamate: 05:48:06                                     Costo totale: 56,82</t>
  </si>
  <si>
    <t>Numero chiamate: 178                Durata chiamate: 02:22:59                                    Costo totale: 38,47</t>
  </si>
  <si>
    <t>Numero chiamate: 403      Durata chiamate: 72:43:00          Totale pacchetti: 1.131             Costo totale: 0,14</t>
  </si>
  <si>
    <t>Numero chiamate: 212                Durata chiamate: 03:20:44                                     Costo totale: 87,19</t>
  </si>
  <si>
    <t>Numero chiamate: 769      Durata chiamate:112:59:04          Totale pacchetti: 1.698             Costo totale: 0,03</t>
  </si>
  <si>
    <t>Numero chiamate: 5           Totale pacchetti: 0               Costo totale: 0</t>
  </si>
  <si>
    <t>Numero chiamate: 5                Durata chiamate: 00:00:00                                     Costo totale: 0,62</t>
  </si>
  <si>
    <t>Numero chiamate: 3      Durata chiamate: 00:02:14           Totale pacchetti: 111             Costo totale: 0</t>
  </si>
  <si>
    <t>Numero chiamate: 339                Durata chiamate: 13:03:01                                     Costo totale: 353,5</t>
  </si>
  <si>
    <t>Numero chiamate: 0      Durata chiamate:           Totale pacchetti: 0             Costo totale: 0</t>
  </si>
  <si>
    <t>Numero chiamate: 169                Durata chiamate: 15:44:45                                     Costo totale: 729,68</t>
  </si>
  <si>
    <t>Numero chiamate: 1.346      Durata chiamate: 226:07:40           Totale pacchetti: 1.507             Costo totale: 16,79</t>
  </si>
  <si>
    <t>Numero chiamate: 4               Durata chiamate: 00:18:36                                     Costo totale: 0,00</t>
  </si>
  <si>
    <t>Numero chiamate: 3      Durata chiamate: 00:04:38           Totale pacchetti: 4.071            Costo totale: 0</t>
  </si>
  <si>
    <t>Numero chiamate: 254                Durata chiamate: 11:13:05                                     Costo totale: 539,45</t>
  </si>
  <si>
    <t>Numero chiamate: 652      Durata chiamate: 106:04:20           Totale pacchetti: 2.966             Costo totale: 298,86</t>
  </si>
  <si>
    <t>Numero chiamate: 10           Totale pacchetti: 0               Costo totale: 0</t>
  </si>
  <si>
    <t>Numero chiamate: 42                Durata chiamate: 01:12:44                                     Costo totale: 6,85</t>
  </si>
  <si>
    <t>Numero chiamate: 262                Durata chiamate: 08:16:39                                     Costo totale: 146,58</t>
  </si>
  <si>
    <t>Numero chiamate: 867      Durata chiamate:136:16:12          Totale pacchetti: 3.267             Costo totale: 0,00</t>
  </si>
  <si>
    <t>Rana Lucia 366/7216470</t>
  </si>
  <si>
    <t>Numero chiamate: 261                Durata chiamate: 02:26:27                                     Costo totale: 45,75</t>
  </si>
  <si>
    <t>Numero chiamate: 208      Durata chiamate: 24:27:45          Totale pacchetti: 3.198             Costo totale: 0</t>
  </si>
  <si>
    <t>Capaldo Antonella 366/7216471</t>
  </si>
  <si>
    <t>Numero chiamate: 193                Durata chiamate: 08:39:35                                     Costo totale: 89,13</t>
  </si>
  <si>
    <t>Numero chiamate: 11                Durata chiamate: 00:24:27                                     Costo totale: 3,91</t>
  </si>
  <si>
    <t>Numero chiamate: 5      Durata chiamate: 00:55:18          Totale pacchetti: 22.656             Costo totale: 0,00</t>
  </si>
  <si>
    <t>Numero chiamate: 2                Durata chiamate: 00:03:24                                     Costo totale: 0,03</t>
  </si>
  <si>
    <t>Numero chiamate: 6      Durata chiamate: 00:17:19           Totale pacchetti: 17.266             Costo totale: 0</t>
  </si>
  <si>
    <t>Bagnasco Stefano 393/9310619 (fino al 16/06)</t>
  </si>
  <si>
    <t>Numero chiamate: 2                Durata chiamate: 00:00:37                                     Costo totale: 0,00</t>
  </si>
  <si>
    <t>Numero chiamate: 2      Durata chiamate: 00:05:09           Totale pacchetti: 15             Costo totale: 0</t>
  </si>
  <si>
    <t>Numero chiamate: 24                Durata chiamate: 00:41:59                                     Costo totale: 4,19</t>
  </si>
  <si>
    <t>Numero chiamate: 786      Durata chiamate:113:30:16          Totale pacchetti: 3.288             Costo totale: 2,96</t>
  </si>
  <si>
    <t>Numero chiamate: 1               Durata chiamate: 00:01:31                                   Costo totale: 0</t>
  </si>
  <si>
    <t>Numero chiamate: 1      Durata chiamate: 00:01:13           Totale pacchetti: 1             Costo totale: 0</t>
  </si>
  <si>
    <t>Numero chiamate: 0               Durata chiamate: 00:00:00                                    Costo totale: 0</t>
  </si>
  <si>
    <t>Numero chiamate: 5      Durata chiamate: 00:03:49           Totale pacchetti: 17            Costo totale: 0</t>
  </si>
  <si>
    <t>Numero chiamate: 704               Durata chiamate: 25:09:23                                     Costo totale: 1.201,47</t>
  </si>
  <si>
    <t>Numero chiamate: 685      Durata chiamate: 105:54:24           Totale pacchetti: 1.513            Costo totale: 2,96</t>
  </si>
  <si>
    <t>Numero chiamate: 316                Durata chiamate: 15:21:29                                     Costo totale: 505,42</t>
  </si>
  <si>
    <t>Numero chiamate: 236      Durata chiamate: 34:05:51          Totale pacchetti: 239            Costo totale: 0</t>
  </si>
  <si>
    <t>Numero chiamate: 54               Durata chiamate: 02:44:35                                     Costo totale: 23,61</t>
  </si>
  <si>
    <t>Numero chiamate: 36                Durata chiamate: 01:31:13                                     Costo totale: 15,09</t>
  </si>
  <si>
    <t>Numero chiamate: 43               Durata chiamate: 02:26:39                                     Costo totale: 163,85</t>
  </si>
  <si>
    <t>Numero chiamate: 498      Durata chiamate: 08:09:08           Totale pacchetti: 754             Costo totale: 278,15</t>
  </si>
  <si>
    <t>Numero chiamate: 291                Durata chiamate: 20:12:28                                     Costo totale: 182,86</t>
  </si>
  <si>
    <t>Numero chiamate: 2      Durata chiamate: 00:01:01           Totale pacchetti: 2             Costo totale: 0</t>
  </si>
  <si>
    <t>Numero chiamate: 41                Durata chiamate: 01:08:27                                     Costo totale: 11,74</t>
  </si>
  <si>
    <t>Numero chiamate: 430                Durata chiamate: 10:33:07                                     Costo totale: 1.264,43</t>
  </si>
  <si>
    <t>Numero chiamate: 2.084      Durata chiamate:312:35:21          Totale pacchetti: 7.890             Costo totale: 43,00</t>
  </si>
  <si>
    <t>Numero chiamate: 21                Durata chiamate: 02:04:15                                     Costo totale: 21,98</t>
  </si>
  <si>
    <t>Numero chiamate: 0      Durata chiamate:00:00:00          Totale pacchetti: 00             Costo totale: 0</t>
  </si>
  <si>
    <t>Numero chiamate: 1                Durata chiamate: 00:11:28                                     Costo totale: 0</t>
  </si>
  <si>
    <t>Numero chiamate: 175                Durata chiamate: 10:57:30                                     Costo totale: 124,17</t>
  </si>
  <si>
    <t>Numero chiamate: 4           Totale pacchetti: 0               Costo totale: 0</t>
  </si>
  <si>
    <t>Numero chiamate: 10               Durata chiamate: 00:02:53                                     Costo totale: 1,45</t>
  </si>
  <si>
    <t>Numero chiamate: 20      Durata chiamate: 02:29:32           Totale pacchetti: 168            Costo totale: 0</t>
  </si>
  <si>
    <t>Numero chiamate: 63               Durata chiamate: 05:00:50                                     Costo totale: 40,43</t>
  </si>
  <si>
    <t>Numero chiamate: 4     Durata chiamate: 00:05:39           Totale pacchetti: 113            Costo totale: 0</t>
  </si>
  <si>
    <t>Numero chiamate: 48               Durata chiamate: 01:28:04                                     Costo totale: 14,84</t>
  </si>
  <si>
    <t>Numero chiamate: 206                Durata chiamate: 03:10:18                                    Costo totale: 36,04</t>
  </si>
  <si>
    <t>Numero chiamate: 0      Durata chiamate: 00:00:00          Totale pacchetti: 0
Costo totale: 0</t>
  </si>
  <si>
    <t>Numero chiamate: 259                Durata chiamate: 07:47:41                                     Costo totale: 604,61</t>
  </si>
  <si>
    <t>Numero chiamate: 393      Durata chiamate: 65:45:51          Totale pacchetti: 691           Costo totale: 8,88</t>
  </si>
  <si>
    <t>Numero chiamate: 19                Durata chiamate: 00:42:23                                     Costo totale: 7,68</t>
  </si>
  <si>
    <t>Numero chiamate: 218                Durata chiamate: 05:32:33                                     Costo totale: 178,76</t>
  </si>
  <si>
    <t>Numero chiamate: 705      Durata chiamate: 100:44:39          Totale pacchetti: 1.353            Costo totale: 43,75</t>
  </si>
  <si>
    <t>Numero chiamate: 99                Durata chiamate: 04:59:02                                     Costo totale: 275,58</t>
  </si>
  <si>
    <t>Numero chiamate: 862     Durata chiamate: 145:51:41           Totale pacchetti: 1.125             Costo totale: 0</t>
  </si>
  <si>
    <t>Numero chiamate: 6               Durata chiamate: 00:41:24                                     Costo totale: 0,10</t>
  </si>
  <si>
    <t>Numero chiamate: 12      Durata chiamate: 00:05:49           Totale pacchetti: 58           Costo totale: 0</t>
  </si>
  <si>
    <t>Numero chiamate:  395               Durata chiamate: 18:04:40                                     Costo totale: 1.041,95</t>
  </si>
  <si>
    <t>Numero chiamate: 2.010      Durata chiamate: 269:31:32           Totale pacchetti: 7.167            Costo totale: 11,19</t>
  </si>
  <si>
    <t>Numero chiamate: 9           Totale pacchetti: 0               Costo totale: 0</t>
  </si>
  <si>
    <t>Numero chiamate: 394                Durata chiamate: 04:45:34                                     Costo totale: 501,47</t>
  </si>
  <si>
    <t>Numero chiamate: 455      Durata chiamate: 79:21:47           Totale pacchetti: 1.677             Costo totale: 64,78</t>
  </si>
  <si>
    <t>Numero chiamate: 193                Durata chiamate: 07:17:43                                     Costo totale: 95,17</t>
  </si>
  <si>
    <t>Numero chiamate: 11      Durata chiamate: 01:20:28          Totale pacchetti: 81            Costo totale: 0,00</t>
  </si>
  <si>
    <t>Numero chiamate: 387                Durata chiamate: 02:43:32                                     Costo totale: 65,72</t>
  </si>
  <si>
    <t>Numero chiamate: 37      Durata chiamate: 01:00:11          Totale pacchetti: 401            Costo totale: 0</t>
  </si>
  <si>
    <t>Numero chiamate: 141                Durata chiamate: 03:48:17                                     Costo totale: 46,15</t>
  </si>
  <si>
    <t>Numero chiamate: 1      Durata chiamate: 00:01:00           Totale pacchetti: 231             Costo totale: 0</t>
  </si>
  <si>
    <t>Numero chiamate: 8                Durata chiamate: 00:13:20                                     Costo totale: 2,13</t>
  </si>
  <si>
    <t>Numero chiamate: 2      Durata chiamate: 00:02:32          Totale pacchetti: 9             Costo totale: 0,00</t>
  </si>
  <si>
    <t>Numero chiamate: 0                Durata chiamate: 00:00:00                                     Costo totale: 0,00</t>
  </si>
  <si>
    <t>Numero chiamate: 4      Durata chiamate: 00:10:42           Totale pacchetti: 9.647             Costo totale: 0</t>
  </si>
  <si>
    <t>Numero chiamate: 99                Durata chiamate: 04:43:08                                     Costo totale: 526,99</t>
  </si>
  <si>
    <t>Numero chiamate: 1.296      Durata chiamate: 242:37:22           Totale pacchetti: 3.062             Costo totale: 6,06</t>
  </si>
  <si>
    <t>TOTALE MAGGIO</t>
  </si>
  <si>
    <t>TOTALE GIUGNO</t>
  </si>
  <si>
    <t>TOTALE LUGLIO</t>
  </si>
  <si>
    <t xml:space="preserve">CHIAMATE LUGLIO </t>
  </si>
  <si>
    <t>TRAFFICO DATI LUGLIO</t>
  </si>
  <si>
    <t>TRAFFICO SERVIZI INTERATTIVI LUGLIO</t>
  </si>
  <si>
    <t>CHIAMATE AGOSTO</t>
  </si>
  <si>
    <t>TRAFFICO DATI AGOSTO</t>
  </si>
  <si>
    <t>TRAFFICO SERVIZI INTERATTIVI AGOSTO</t>
  </si>
  <si>
    <t>CHIAMATE SETTEMBRE</t>
  </si>
  <si>
    <t>TRAFFICO DATI SETTEMBRE</t>
  </si>
  <si>
    <t>TRAFFICO SERVIZI INTERATTIVI SETTEMBRE</t>
  </si>
  <si>
    <t>Numero chiamate: 408                Durata chiamate: 10:42:56                                   Costo totale: 98,84</t>
  </si>
  <si>
    <t>Numero chiamate: 224      Totale pacchetti: 640         Costo totale: 0,00</t>
  </si>
  <si>
    <t>Numero chiamate: 12           Totale pacchetti: 0               Costo totale: 0,00</t>
  </si>
  <si>
    <t>Numero chiamate: 0                Durata chiamate: 00:00:00                                   Costo totale: 0,00</t>
  </si>
  <si>
    <t>Numero chiamate: 6     Totale pacchetti: 38        Costo totale: 0,00</t>
  </si>
  <si>
    <t>Numero chiamate: 0           Totale pacchetti: 0               Costo totale: 0,00</t>
  </si>
  <si>
    <t>Numero chiamate: 1     Totale pacchetti: 7        Costo totale: 0,00</t>
  </si>
  <si>
    <t>Numero chiamate: 511                Durata chiamate: 9:09:17                                Costo totale: 132,66</t>
  </si>
  <si>
    <t>Numero chiamate: 336     Totale pacchetti: 887        Costo totale: 0,00</t>
  </si>
  <si>
    <t>Numero chiamate: 254                Durata chiamate: 13:13:49                                   Costo totale: 388,86</t>
  </si>
  <si>
    <t>Numero chiamate: 385     Totale pacchetti: 1.240        Costo totale: 0,00</t>
  </si>
  <si>
    <t>Numero chiamate: 2           Totale pacchetti: 0               Costo totale: 0,00</t>
  </si>
  <si>
    <t>Numero chiamate: 64                Durata chiamate: 3:09:48                                   Costo totale: 25,17</t>
  </si>
  <si>
    <t>Numero chiamate: 0     Totale pacchetti: 0        Costo totale: 0,00</t>
  </si>
  <si>
    <t>Numero chiamate: 25                Durata chiamate: 0:50:50                                  Costo totale: 8,16</t>
  </si>
  <si>
    <t>Numero chiamate: 4     Totale pacchetti: 55        Costo totale: 0,00</t>
  </si>
  <si>
    <t>Numero chiamate: 165                Durata chiamate: 1:42:44                                  Costo totale: 23,68</t>
  </si>
  <si>
    <t>Numero chiamate: 428     Totale pacchetti: 722        Costo totale: 0,00</t>
  </si>
  <si>
    <t>Numero chiamate: 192                Durata chiamate: 9:13:09                                Costo totale: 87,36</t>
  </si>
  <si>
    <t>Numero chiamate: 7     Totale pacchetti: 42        Costo totale: 0,00</t>
  </si>
  <si>
    <t>Numero chiamate: 4           Totale pacchetti: 0               Costo totale: 0,00</t>
  </si>
  <si>
    <t>Numero chiamate: 43                Durata chiamate: 0:49:27                                   Costo totale: 8,34</t>
  </si>
  <si>
    <t>Numero chiamate: 1           Totale pacchetti: 0               Costo totale: 0,00</t>
  </si>
  <si>
    <t>Numero chiamate: 159               Durata chiamate: 2:05:22                                 Costo totale: 193,54</t>
  </si>
  <si>
    <t>Numero chiamate: 781     Totale pacchetti: 6.800         Costo totale: 14,36</t>
  </si>
  <si>
    <t>Numero chiamate: 1                Durata chiamate: 0:01:02                                    Costo totale: 0,17</t>
  </si>
  <si>
    <t>Numero chiamate: 7                Durata chiamate: 0:17:15                                    Costo totale: 0,25</t>
  </si>
  <si>
    <t>Numero chiamate: 0                Durata chiamate: 0:00:00                                  Costo totale: 0,00</t>
  </si>
  <si>
    <t>Numero chiamate: 5     Totale pacchetti: 18        Costo totale: 0,00</t>
  </si>
  <si>
    <t>Numero chiamate: 279                Durata chiamate: 10:06:05                                  Costo totale: 105,87</t>
  </si>
  <si>
    <t>Numero chiamate: 196                Durata chiamate: 1:56:05                                     Costo totale: 156,11</t>
  </si>
  <si>
    <t>Numero chiamate: 467     Totale pacchetti: 553        Costo totale: 204,17</t>
  </si>
  <si>
    <t>Numero chiamate: 100                Durata chiamate: 7:21:56                                     Costo totale: 551,22</t>
  </si>
  <si>
    <t>Numero chiamate: 1.279     Totale pacchetti: 3.017        Costo totale: 43,40</t>
  </si>
  <si>
    <t>Numero chiamate: 78                Durata chiamate: 2:22:21                                   Costo totale: 23,40</t>
  </si>
  <si>
    <t>Numero chiamate: 283               Durata chiamate: 2:11:20                                 Costo totale: 115,37</t>
  </si>
  <si>
    <t>Numero chiamate: 37     Totale pacchetti: 60         Costo totale: 0,00</t>
  </si>
  <si>
    <t>Numero chiamate: 270                Durata chiamate: 7:02:01                                   Costo totale: 263,96</t>
  </si>
  <si>
    <t>Numero chiamate: 443      Totale pacchetti: 1.258         Costo totale: 0,00</t>
  </si>
  <si>
    <t>Numero chiamate: 9                Durata chiamate: 0:00:00                                  Costo totale: 0,12</t>
  </si>
  <si>
    <t>Numero chiamate: 205                Durata chiamate: 5:38:57                                     Costo totale: 64,36</t>
  </si>
  <si>
    <t>Numero chiamate: 40      Totale pacchetti: 59          Costo totale: 0,00</t>
  </si>
  <si>
    <t>Numero chiamate: 259                Durata chiamate: 15:11:25                                 Costo totale: 1.026,91</t>
  </si>
  <si>
    <t>Numero chiamate: 935     Totale pacchetti: 1.117        Costo totale: 5,93</t>
  </si>
  <si>
    <t>Numero chiamate: 21                Durata chiamate: 0:59:43                                  Costo totale: 8,83</t>
  </si>
  <si>
    <t>Numero chiamate: 1     Totale pacchetti: 0        Costo totale: 0,00</t>
  </si>
  <si>
    <t>Numero chiamate: 213                Durata chiamate: 10:21:45                              Costo totale: 102,7</t>
  </si>
  <si>
    <t>Numero chiamate: 13     Totale pacchetti: 296        Costo totale: 0,00</t>
  </si>
  <si>
    <t>Numero chiamate: 25           Totale pacchetti: 0               Costo totale: 0,00</t>
  </si>
  <si>
    <t>Numero chiamate: 38               Durata chiamate: 0:43:37                              Costo totale: 11,31</t>
  </si>
  <si>
    <t>Numero chiamate: 1.369     Totale pacchetti: 3.058        Costo totale: 0,11</t>
  </si>
  <si>
    <t>Numero chiamate: 323                Durata chiamate: 20:45:17                                   Costo totale: 1.011,34</t>
  </si>
  <si>
    <t>Numero chiamate: 1.093     Totale pacchetti: 11.550       Costo totale: 5,92</t>
  </si>
  <si>
    <t>Numero chiamate: 3           Totale pacchetti: 0               Costo totale: 0,00</t>
  </si>
  <si>
    <t>Numero chiamate: 309                Durata chiamate: 3:50:12                                     Costo totale: 62,46</t>
  </si>
  <si>
    <t>Numero chiamate: 163                Durata chiamate: 4:04:59                                   Costo totale: 47,70</t>
  </si>
  <si>
    <t>Numero chiamate: 6           Totale pacchetti: 0               Costo totale: 0,00</t>
  </si>
  <si>
    <t>Numero chiamate: 7                Durata chiamate: 0:08:56                                   Costo totale: 1.43</t>
  </si>
  <si>
    <t>Numero chiamate: 1     Totale pacchetti: 1        Costo totale: 0,00</t>
  </si>
  <si>
    <t>Numero chiamate: 3                Durata chiamate: 0:00:09                                  Costo totale: 0,15</t>
  </si>
  <si>
    <t>Numero chiamate: 6     Totale pacchetti: 11        Costo totale: 0,00</t>
  </si>
  <si>
    <t>Numero chiamate: 73                Durata chiamate: 0:16:35                                   Costo totale: 10,71</t>
  </si>
  <si>
    <t>Numero chiamate: 8     Totale pacchetti: 11        Costo totale: 0,00</t>
  </si>
  <si>
    <t xml:space="preserve">Gallucci Simonetta 393/9310619 </t>
  </si>
  <si>
    <t>Numero chiamate: 251                Durata chiamate: 7:19:54                                  Costo totale: 85,62</t>
  </si>
  <si>
    <t>Numero chiamate: 63     Totale pacchetti: 26.277        Costo totale: 0,00</t>
  </si>
  <si>
    <t>Numero chiamate: 7     Totale pacchetti: 22        Costo totale: 0,00</t>
  </si>
  <si>
    <t>Numero chiamate: 11                Durata chiamate: 0:25:34                                    Costo totale: 1.97</t>
  </si>
  <si>
    <t>Numero chiamate: 4     Totale pacchetti: 61.572        Costo totale: 0,00</t>
  </si>
  <si>
    <t>Numero chiamate: 277               Durata chiamate: 5:42:32                               Costo totale: 57,41</t>
  </si>
  <si>
    <t>Numero chiamate: 20     Totale pacchetti: 41        Costo totale: 0,79</t>
  </si>
  <si>
    <t>Numero chiamate: 168                Durata chiamate: 8:52:26                                    Costo totale: 201,59</t>
  </si>
  <si>
    <t>Numero chiamate: 842     Totale pacchetti: 1.834        Costo totale: 3,95</t>
  </si>
  <si>
    <t>Numero chiamate: 56                Durata chiamate: 3:21:17                                   Costo totale: 17,65</t>
  </si>
  <si>
    <t>Numero chiamate: 886     Totale pacchetti: 1.000        Costo totale: 0,00</t>
  </si>
  <si>
    <t>Numero chiamate: 66                Durata chiamate: 0:33:36                                   Costo totale: 10,00</t>
  </si>
  <si>
    <t>Numero chiamate: 844     Totale pacchetti: 11.084        Costo totale: 2,17</t>
  </si>
  <si>
    <t>Numero chiamate: 177                Durata chiamate: 8:23:23                                   Costo totale: 334,86</t>
  </si>
  <si>
    <t>Numero chiamate: 874     Totale pacchetti: 1.968        Costo totale: 0,00</t>
  </si>
  <si>
    <t>Numero chiamate: 143                Durata chiamate: 8:42:23                                Costo totale: 61,89</t>
  </si>
  <si>
    <t>Numero chiamate: 44                Durata chiamate: 1:11:51                                   Costo totale: 11,87</t>
  </si>
  <si>
    <t>Numero chiamate: 11     Totale pacchetti: 8.065        Costo totale: 0,00</t>
  </si>
  <si>
    <t>Numero chiamate: 99               Durata chiamate: 4:11:45                                 Costo totale: 507,94</t>
  </si>
  <si>
    <t>Numero chiamate: 1.215     Totale pacchetti: 5.709        Costo totale: 62,51</t>
  </si>
  <si>
    <t>Numero chiamate: 1                Durata chiamate: 0:01:14                                     Costo totale: 0,00</t>
  </si>
  <si>
    <t>Numero chiamate: 1     Totale pacchetti: 5        Costo totale: 0,00</t>
  </si>
  <si>
    <t>Numero chiamate: 8                Durata chiamate: 0:52:54                                    Costo totale: 0,25</t>
  </si>
  <si>
    <t>Numero chiamate: 16     Totale pacchetti: 111        Costo totale: 15,30</t>
  </si>
  <si>
    <t>Numero chiamate: 4                Durata chiamate: 0:00:00                                  Costo totale: 0,13</t>
  </si>
  <si>
    <t>Numero chiamate: 11     Totale pacchetti: 727        Costo totale: 0,32</t>
  </si>
  <si>
    <t>Numero chiamate: 76                Durata chiamate: 5:13:24                                  Costo totale: 48,00</t>
  </si>
  <si>
    <t>Numero chiamate: 1.767     Totale pacchetti: 1.776        Costo totale: 138,32</t>
  </si>
  <si>
    <t>Numero chiamate: 103                Durata chiamate: 0:44:49                                     Costo totale: 12,20</t>
  </si>
  <si>
    <t>Numero chiamate: 890     Totale pacchetti: 1.285        Costo totale: 0,03</t>
  </si>
  <si>
    <t>Numero chiamate: 49                Durata chiamate: 2:36:52                                     Costo totale: 44,01</t>
  </si>
  <si>
    <t>Numero chiamate: 2.045     Totale pacchetti: 5.527        Costo totale: 0,38</t>
  </si>
  <si>
    <t>Numero chiamate: 123                Durata chiamate: 9:11:03                                   Costo totale: 88,97</t>
  </si>
  <si>
    <t>Numero chiamate: 477               Durata chiamate: 3:02:13                                 Costo totale: 68,56</t>
  </si>
  <si>
    <t>Numero chiamate: 423     Totale pacchetti: 580         Costo totale: 0,00</t>
  </si>
  <si>
    <t>Numero chiamate: 142                Durata chiamate: 4:54:04                                   Costo totale: 74,33</t>
  </si>
  <si>
    <t>Numero chiamate: 637      Totale pacchetti: 1.196         Costo totale: 2,96</t>
  </si>
  <si>
    <t>Numero chiamate: 28                Durata chiamate: 0:51:25                                  Costo totale: 16,17</t>
  </si>
  <si>
    <t>Numero chiamate: 196                Durata chiamate: 6:03:29                                      Costo totale: 44,02</t>
  </si>
  <si>
    <t>Numero chiamate: 11     Totale pacchetti: 172             Costo totale: 0</t>
  </si>
  <si>
    <t>Numero chiamate: 37                Durata chiamate: 1:54:07                                 Costo totale: 23,37</t>
  </si>
  <si>
    <t>Numero chiamate: 705     Totale pacchetti: 859        Costo totale: 20,71</t>
  </si>
  <si>
    <t>Numero chiamate: 10                Durata chiamate: 0:40:56                                   Costo totale: 0,63</t>
  </si>
  <si>
    <t>Numero chiamate: 270                Durata chiamate: 7:40:48                              Costo totale: 92,22</t>
  </si>
  <si>
    <t>Numero chiamate: 1.211     Totale pacchetti: 4.396        Costo totale: 0,52</t>
  </si>
  <si>
    <t>Numero chiamate: 15           Totale pacchetti: 0               Costo totale: 0,00</t>
  </si>
  <si>
    <t>Numero chiamate: 32               Durata chiamate: 1:35:35                              Costo totale: 9,67</t>
  </si>
  <si>
    <t>Numero chiamate: 175    Totale pacchetti: 1.1074        Costo totale: 0,00</t>
  </si>
  <si>
    <t>Numero chiamate: 251                Durata chiamate: 10:17:34                                    Costo totale: 388,61</t>
  </si>
  <si>
    <t>Numero chiamate: 1.786     Totale pacchetti: 6.084       Costo totale: 12,82</t>
  </si>
  <si>
    <t>Numero chiamate: 254                Durata chiamate: 2:43:18                                     Costo totale: 45,48</t>
  </si>
  <si>
    <t>Numero chiamate: 7     Totale pacchetti: 39        Costo totale: 0,00</t>
  </si>
  <si>
    <t>Numero chiamate: 142                Durata chiamate: 2:18:30                                  Costo totale: 30,79</t>
  </si>
  <si>
    <t>Numero chiamate: 4     Totale pacchetti: 133        Costo totale: 0,00</t>
  </si>
  <si>
    <t>Numero chiamate: 2                Durata chiamate: 0:03:48                                 Costo totale: 0,61</t>
  </si>
  <si>
    <t>Numero chiamate: 2     Totale pacchetti: 12        Costo totale: 0,00</t>
  </si>
  <si>
    <t>Numero chiamate: 1                Durata chiamate: 0:00:32                                  Costo totale: 0,09</t>
  </si>
  <si>
    <t>Numero chiamate: 11     Totale pacchetti: 56.890        Costo totale: 0,00</t>
  </si>
  <si>
    <t>Numero chiamate: 24                Durata chiamate: 0:05:09                                   Costo totale: 2,43</t>
  </si>
  <si>
    <t>Shehata Emad 335/7939078</t>
  </si>
  <si>
    <t xml:space="preserve">Numero chiamate:                 Durata chiamate:                                       Costo totale: </t>
  </si>
  <si>
    <t xml:space="preserve">Numero chiamate:      
Totale pacchetti:              
Costo totale: </t>
  </si>
  <si>
    <t>Numero chiamate: 165                
 Durata chiamate: 03:59:17                                       
Costo totale: 94,47</t>
  </si>
  <si>
    <t>Numero chiamate: 911     
Totale pacchetti: 2.366             
Costo totale: 0,00</t>
  </si>
  <si>
    <t>Numero chiamate: 1                 Durata chiamate: 00:08:07                                    Costo totale: 1,30</t>
  </si>
  <si>
    <t>Numero chiamate: 5     
Totale pacchetti: 19             
Costo totale: 0,00</t>
  </si>
  <si>
    <t>Numero chiamate: 522                Durata chiamate: 11:27:36                                      Costo totale: 233,77</t>
  </si>
  <si>
    <t>Numero chiamate: 473      
Totale pacchetti: 2.184             
Costo totale: 9,86</t>
  </si>
  <si>
    <t>Numero chiamate: 6           Totale pacchetti: 0               Costo totale: 0</t>
  </si>
  <si>
    <t>Numero chiamate: 441                 Durata chiamate: 16:00:19                                      Costo totale: 803,20</t>
  </si>
  <si>
    <t>Numero chiamate: 715     
Totale pacchetti: 1.075             
Costo totale: 2,96</t>
  </si>
  <si>
    <t>Numero chiamate: 66                 Durata chiamate: 01:38:45                                       Costo totale: 20,30</t>
  </si>
  <si>
    <t xml:space="preserve">Numero chiamate: 921     
Totale pacchetti: 940             
Costo totale: </t>
  </si>
  <si>
    <t>Numero chiamate: 113                 Durata chiamate: 01:06:54                                      Costo totale: 20,29</t>
  </si>
  <si>
    <t>Numero chiamate:500     
Totale pacchetti: 3.359             
Costo totale: 0,00</t>
  </si>
  <si>
    <t>Numero chiamate: 411                Durata chiamate: 28:57:40                                      Costo totale: 846,28</t>
  </si>
  <si>
    <t>Numero chiamate: 998     
Totale pacchetti: 1.134             
Costo totale: 2,27</t>
  </si>
  <si>
    <t xml:space="preserve">Numero chiamate: 94                Durata chiamate: 06:15:41                                      Costo totale: 61,29 </t>
  </si>
  <si>
    <t xml:space="preserve">Numero chiamate: 3     
Totale pacchetti: 15             
Costo totale: </t>
  </si>
  <si>
    <t>Numero chiamate: 104                Durata chiamate: 03:01:04                                      Costo totale: 33,63</t>
  </si>
  <si>
    <t xml:space="preserve">Numero chiamate: 11     
Totale pacchetti: 3.638             
Costo totale: </t>
  </si>
  <si>
    <t>Numero chiamate: 304                 Durata chiamate: 07:22:49                                      Costo totale: 586,1</t>
  </si>
  <si>
    <t>Numero chiamate: 1.161
Totale pacchetti: 4.148             
Costo totale: 97,65</t>
  </si>
  <si>
    <t>Numero chiamate: 2     
Totale pacchetti: 13             
Costo totale: 0,00</t>
  </si>
  <si>
    <t>Numero chiamate: 7                Durata chiamate: 00:23:49                                      Costo totale: 0,25</t>
  </si>
  <si>
    <t>Numero chiamate:  2    
Totale pacchetti: 0             
Costo totale: 0,00</t>
  </si>
  <si>
    <t>Numero chiamate: 3                Durata chiamate: 00:12:53                                      Costo totale: 2,19</t>
  </si>
  <si>
    <t>Numero chiamate: 1     
Totale pacchetti: 6       
Costo totale: 0,00</t>
  </si>
  <si>
    <t>Numero chiamate: 121                Durata chiamate: 06:39:19                                      Costo totale: 58,81</t>
  </si>
  <si>
    <t>Numero chiamate: 2    
Totale pacchetti: 9             
Costo totale: 0</t>
  </si>
  <si>
    <t>Numero chiamate: 92                Durata chiamate: 01:47:05                                      Costo totale: 81,6</t>
  </si>
  <si>
    <t>Numero chiamate: 404     
Totale pacchetti: 1.126             
Costo totale: 0,00</t>
  </si>
  <si>
    <t>Numero chiamate: 62                 Durata chiamate: 03:05:34                                      Costo totale: 34,85</t>
  </si>
  <si>
    <t>Numero chiamate: 475     
Totale pacchetti: 1.273             
Costo totale: 1,97</t>
  </si>
  <si>
    <t>Numero chiamate: 116                Durata chiamate: 03:06:24                                      Costo totale: 30,95</t>
  </si>
  <si>
    <t>Numero chiamate:  0    
Totale pacchetti: 0             
Costo totale: 0,00</t>
  </si>
  <si>
    <t>Numero chiamate: 250                Durata chiamate: 02:16:47                                      Costo totale: 69,66</t>
  </si>
  <si>
    <t>Numero chiamate: 350     
Totale pacchetti: 1.735             
Costo totale: 1,98</t>
  </si>
  <si>
    <t>Numero chiamate: 194                Durata chiamate: 04:18:51                                      Costo totale: 119,77</t>
  </si>
  <si>
    <t>Numero chiamate: 684   
Totale pacchetti: 1.873             
Costo totale: 6,56</t>
  </si>
  <si>
    <t>Numero chiamate: 28                 Durata chiamate: 01:37:00                                      Costo totale: 8,90</t>
  </si>
  <si>
    <t xml:space="preserve">Numero chiamate: 2     
Totale pacchetti: 4.176             
Costo totale: 0,00 </t>
  </si>
  <si>
    <t>Numero chiamate: 250                Durata chiamate: 04:57:21                                      Costo totale: 171,97</t>
  </si>
  <si>
    <t>Numero chiamate: 577     
Totale pacchetti: 1.714             
Costo totale: 46,54</t>
  </si>
  <si>
    <t>Numero chiamate: 222                Durata chiamate: 28:06:17                                      Costo totale: 1.144,16</t>
  </si>
  <si>
    <t>Numero chiamate: 159      
Totale pacchetti: 1.926             
Costo totale: 142,04</t>
  </si>
  <si>
    <t>Numero chiamate: 20                 Durata chiamate: 00:36:02                                      Costo totale: 4,83</t>
  </si>
  <si>
    <t>Numero chiamate: 0     
Totale pacchetti: 0             
Costo totale: 0,00</t>
  </si>
  <si>
    <t xml:space="preserve">Numero chiamate: 408                 Durata chiamate: 15:10:19                                      Costo totale: 1.433,26 </t>
  </si>
  <si>
    <t>Numero chiamate: 2.693     
Totale pacchetti:  6.382            
Costo totale: 133,74</t>
  </si>
  <si>
    <t>Numero chiamate: 16           Totale pacchetti: 0               Costo totale: 0</t>
  </si>
  <si>
    <t>Numero chiamate: 47                 Durata chiamate: 00:39:07                                      Costo totale: 3,38</t>
  </si>
  <si>
    <t>Numero chiamate: 1     
Totale pacchetti: 14             
Costo totale: 0,00</t>
  </si>
  <si>
    <t>Numero chiamate: 203                Durata chiamate: 05:53:02                                      Costo totale: 103,07</t>
  </si>
  <si>
    <t>Numero chiamate:  296    
Totale pacchetti: 2.146             
Costo totale: 5,92</t>
  </si>
  <si>
    <t>Numero chiamate: 403                Durata chiamate: 05:06:43                                      Costo totale: 90,09</t>
  </si>
  <si>
    <t>Numero chiamate: 12     
Totale pacchetti: 12.002             
Costo totale: 0,00</t>
  </si>
  <si>
    <t>Numero chiamate: 206                Durata chiamate: 03:44:59                                      Costo totale: 84,82</t>
  </si>
  <si>
    <t>Numero chiamate:  2    
Totale pacchetti: 9             
Costo totale: 0,00</t>
  </si>
  <si>
    <t>Numero chiamate: 3                Durata chiamate: 00:04:30                                      Costo totale: 0,84</t>
  </si>
  <si>
    <t>Numero chiamate:  3    
Totale pacchetti: 2.979             
Costo totale: 0,00</t>
  </si>
  <si>
    <t>Numero chiamate: 0                Durata chiamate: 0                                      Costo totale: 0</t>
  </si>
  <si>
    <t>Numero chiamate: 2     
Totale pacchetti: 0             
Costo totale: 0,00</t>
  </si>
  <si>
    <t>Numero chiamate: 43                Durata chiamate: 03:59:22                                      Costo totale: 11,18</t>
  </si>
  <si>
    <t>Numero chiamate: 129     
Totale pacchetti: 1.725             
Costo totale: 00,00</t>
  </si>
  <si>
    <t>CHIAMATE OTTOBRE</t>
  </si>
  <si>
    <t>TRAFFICO DATI OTTOBRE</t>
  </si>
  <si>
    <t>TRAFFICO SERVIZI INTERATTIVI OTTOBRE</t>
  </si>
  <si>
    <t>CHIAMATE NOVEMBRE</t>
  </si>
  <si>
    <t>TRAFFICO DATI NOVEMBRE</t>
  </si>
  <si>
    <t>TRAFFICO SERVIZI INTERATTIVI NOVEMBRE</t>
  </si>
  <si>
    <t>CHIAMATE DICEMBRE</t>
  </si>
  <si>
    <t>TRAFFICO DATI DICEMBRE</t>
  </si>
  <si>
    <t>TRAFFICO SERVIZI INTERATTIVI DICEMBRE</t>
  </si>
  <si>
    <t xml:space="preserve">Numero chiamate: 0                Durata chiamate:                                      Costo totale: </t>
  </si>
  <si>
    <t>Numero chiamate: 0      Totale pacchetti: 0          Costo totale: 0,00</t>
  </si>
  <si>
    <t>Numero chiamate: 227                Durata chiamate: 04:56:39                                     Costo totale: 106,86</t>
  </si>
  <si>
    <t>Numero chiamate: 213      Totale pacchetti: 345          Costo totale: 0,00</t>
  </si>
  <si>
    <t>Numero chiamate: 12      Totale pacchetti: 485          Costo totale: 0,00</t>
  </si>
  <si>
    <t>Numero chiamate: 385                Durata chiamate: 07:50:26                                     Costo totale: 117,52</t>
  </si>
  <si>
    <t>Numero chiamate: 1      Totale pacchetti: 1          Costo totale: 0,00</t>
  </si>
  <si>
    <t>Numero chiamate: 582                Durata chiamate: 19:46:23                                     Costo totale: 486,78</t>
  </si>
  <si>
    <t>Numero chiamate: 684      Totale pacchetti: 1.613          Costo totale: 2,96</t>
  </si>
  <si>
    <t>Numero chiamate: 129                Durata chiamate: 04:05:54                                     Costo totale: 45,49</t>
  </si>
  <si>
    <t>Numero chiamate: 1      Totale pacchetti: 2.691          Costo totale: 0,00</t>
  </si>
  <si>
    <t>Numero chiamate: 8                Durata chiamate: 00:04:55                                     Costo totale: 1,16</t>
  </si>
  <si>
    <t>Numero chiamate: 164                Durata chiamate: 08:39:57                                     Costo totale: 47,61</t>
  </si>
  <si>
    <t>Numero chiamate: 439      Totale pacchetti: 470          Costo totale: 0,00</t>
  </si>
  <si>
    <t>Numero chiamate: 273                Durata chiamate: 14:00:22                                     Costo totale: 138,98</t>
  </si>
  <si>
    <t>Numero chiamate: 4      Totale pacchetti: 311          Costo totale: 0,00</t>
  </si>
  <si>
    <t>Numero chiamate: 37                Durata chiamate: 01:15:04                                     Costo totale: 12,98</t>
  </si>
  <si>
    <t>Numero chiamate: 5      Totale pacchetti: 30          Costo totale: 0,00</t>
  </si>
  <si>
    <t>Numero chiamate: 273                Durata chiamate: 06:04:57                                     Costo totale: 89,01</t>
  </si>
  <si>
    <t>Numero chiamate: 32      Totale pacchetti: 48          Costo totale: 4,20</t>
  </si>
  <si>
    <t>Numero chiamate: 21           Totale pacchetti: 0               Costo totale: 0</t>
  </si>
  <si>
    <t>Numero chiamate: 128                Durata chiamate: 03:37:03                                     Costo totale: 158,54</t>
  </si>
  <si>
    <t>Numero chiamate: 494      Totale pacchetti: 1.582          Costo totale: 26,63</t>
  </si>
  <si>
    <t>Numero chiamate: 16                Durata chiamate: 01:26:41                                     Costo totale: 4,22</t>
  </si>
  <si>
    <t>Numero chiamate: 5                Durata chiamate: 00:50:09                                     Costo totale: 0,26</t>
  </si>
  <si>
    <t>Numero chiamate: 152                Durata chiamate: 07:18:43                                     Costo totale: 69,31</t>
  </si>
  <si>
    <t>Numero chiamate: 22                Durata chiamate: 00:00:22                                     Costo totale: 2,50</t>
  </si>
  <si>
    <t>Numero chiamate: 50                Durata chiamate: 02:53:45                                     Costo totale: 22,75</t>
  </si>
  <si>
    <t>Numero chiamate: 1      Totale pacchetti: 9          Costo totale: 0,00</t>
  </si>
  <si>
    <t>Numero chiamate: 121                Durata chiamate: 05:31:37                                     Costo totale: 53,69</t>
  </si>
  <si>
    <t>Numero chiamate: 16      Totale pacchetti: 509.879          Costo totale: 0,00</t>
  </si>
  <si>
    <t xml:space="preserve">Numero chiamate: 238                Durata chiamate:  02:02:00                                    Costo totale: 39,24 </t>
  </si>
  <si>
    <t>Numero chiamate: 1      Totale pacchetti: 3          Costo totale: 0,00</t>
  </si>
  <si>
    <t>Numero chiamate: 316                Durata chiamate: 10:41:51                                     Costo totale: 637,45</t>
  </si>
  <si>
    <t>Numero chiamate: 842      Totale pacchetti: 2588          Costo totale: 146,93</t>
  </si>
  <si>
    <t>Numero chiamate: 52                Durata chiamate: 00:30:30                                     Costo totale: 9,06</t>
  </si>
  <si>
    <t>Numero chiamate: 179      Totale pacchetti: 1.060          Costo totale: 2,71</t>
  </si>
  <si>
    <t>Numero chiamate: 153                Durata chiamate: 04:14:02                                     Costo totale: 122,41</t>
  </si>
  <si>
    <t>Numero chiamate: 232      Totale pacchetti: 694          Costo totale: 29,03</t>
  </si>
  <si>
    <t>Numero chiamate: 371                Durata chiamate: 22:03:52                                     Costo totale: 1.892,21</t>
  </si>
  <si>
    <t>Numero chiamate: 1.096      Totale pacchetti: 1.408          Costo totale: 34,52</t>
  </si>
  <si>
    <t>Numero chiamate: 4                Durata chiamate:  00:24:32                                    Costo totale: 0,13</t>
  </si>
  <si>
    <t>Numero chiamate: 351                Durata chiamate: 09:52:24                                     Costo totale: 669,26</t>
  </si>
  <si>
    <t>Numero chiamate: 625      Totale pacchetti: 1.235          Costo totale: 5,92</t>
  </si>
  <si>
    <t>Numero chiamate: 22                Durata chiamate: 00:49:50                                     Costo totale: 2,17</t>
  </si>
  <si>
    <t>Numero chiamate: 4      Totale pacchetti: 35          Costo totale: 0,00</t>
  </si>
  <si>
    <t>Numero chiamate: 71                Durata chiamate:  02:15:33                                    Costo totale: 65,02</t>
  </si>
  <si>
    <t>Numero chiamate: 399                Durata chiamate: 05:41:27                                     Costo totale: 94,37</t>
  </si>
  <si>
    <t>Numero chiamate: 11      Totale pacchetti: 147          Costo totale: 0,00</t>
  </si>
  <si>
    <t>Numero chiamate: 278                Durata chiamate: 04:23:25                                     Costo totale: 61,27</t>
  </si>
  <si>
    <t>Numero chiamate: 1      Totale pacchetti: 6          Costo totale: 0,00</t>
  </si>
  <si>
    <t>Numero chiamate: 18                Durata chiamate: 00:07:03                                     Costo totale: 1,09</t>
  </si>
  <si>
    <t>Numero chiamate: 3      Totale pacchetti: 11.367          Costo totale: 0,00</t>
  </si>
  <si>
    <t>Numero chiamate: 5      Totale pacchetti: 64          Costo totale: 0,00</t>
  </si>
  <si>
    <t>Numero chiamate: 47                Durata chiamate: 02:29:21                                     Costo totale: 10,61</t>
  </si>
  <si>
    <t>Numero chiamate: 41      Totale pacchetti: 494          Costo totale: 0,00</t>
  </si>
  <si>
    <t>TOTALE OTTOBRE</t>
  </si>
  <si>
    <t>TOTALE SETTEMBRE</t>
  </si>
  <si>
    <t>TOTALE AGOSTO</t>
  </si>
  <si>
    <t xml:space="preserve">Numero chiamate:                Durata chiamate:                                      Costo totale: </t>
  </si>
  <si>
    <t xml:space="preserve">Numero chiamate:       Totale pacchetti:           Costo totale: </t>
  </si>
  <si>
    <t>Numero chiamate: 373               Durata chiamate: 7:12:19                                       Costo totale: 368,40</t>
  </si>
  <si>
    <t>Numero chiamate: 1102      Totale pacchetti: 6.342           Costo totale: 0,00</t>
  </si>
  <si>
    <t>Numero chiamate: 6               Durata chiamate:  1:04:11                                    Costo totale: 0,29</t>
  </si>
  <si>
    <t>Numero chiamate:  3     Totale pacchetti: 10          Costo totale: 0,00</t>
  </si>
  <si>
    <t>Numero chiamate:   0             Durata chiamate:    0                                  Costo totale: 0</t>
  </si>
  <si>
    <t>Numero chiamate:   1    Totale pacchetti:  7         Costo totale: 0</t>
  </si>
  <si>
    <t>Numero chiamate:   846             Durata chiamate:  11:44:17                                    Costo totale: 452,9</t>
  </si>
  <si>
    <t>Numero chiamate: 1977      Totale pacchetti:  14.328          Costo totale: 560,37</t>
  </si>
  <si>
    <t>Numero chiamate: 319               Durata chiamate: 10:19:30                                     Costo totale: 317,59</t>
  </si>
  <si>
    <t>Numero chiamate:  765     Totale pacchetti: 1.476           Costo totale: 0,00</t>
  </si>
  <si>
    <t>Numero chiamate:  113              Durata chiamate:  2:52:41                                    Costo totale: 30,78</t>
  </si>
  <si>
    <t>Numero chiamate: 207      Totale pacchetti: 3.688            Costo totale: 0,00</t>
  </si>
  <si>
    <t>Numero chiamate:  2              Durata chiamate: 0:02:04                                     Costo totale: 0,33</t>
  </si>
  <si>
    <t>Numero chiamate: 0      Totale pacchetti:  0         Costo totale: 0,00</t>
  </si>
  <si>
    <t>Numero chiamate: 19               Durata chiamate: 1:33:37                                       Costo totale: 12,77</t>
  </si>
  <si>
    <t>Numero chiamate: 0      Totale pacchetti: 0         Costo totale: 0</t>
  </si>
  <si>
    <t>Numero chiamate: 145               Durata chiamate: 9:29:36                                     Costo totale: 76,80</t>
  </si>
  <si>
    <t>Numero chiamate: 0    Totale pacchetti: 0          Costo totale: 0,00</t>
  </si>
  <si>
    <t>Numero chiamate:   59             Durata chiamate: 2:06:30                                       Costo totale: 22,79</t>
  </si>
  <si>
    <t>Numero chiamate:  0     Totale pacchetti:  0         Costo totale: 0,00</t>
  </si>
  <si>
    <t>Numero chiamate: 365               Durata chiamate: 5:25:34                                     Costo totale: 157,63</t>
  </si>
  <si>
    <t xml:space="preserve">Numero chiamate: 865       Totale pacchetti: 1.344           Costo totale: 4,2 </t>
  </si>
  <si>
    <t>Bettini Marco BIS 338/6737284</t>
  </si>
  <si>
    <t>Numero chiamate:  64              Durata chiamate:   2:34:02                                   Costo totale: 236,15</t>
  </si>
  <si>
    <t>Numero chiamate: 214      Totale pacchetti:  906         Costo totale: 26,63</t>
  </si>
  <si>
    <t>Numero chiamate: 53               Durata chiamate: 1:01:40                                       Costo totale: 9,83</t>
  </si>
  <si>
    <t>Numero chiamate:12              Durata chiamate:   1:30:31                                   Costo totale: 0,50</t>
  </si>
  <si>
    <t>Numero chiamate: 0      Totale pacchetti: 0           Costo totale: 0,00</t>
  </si>
  <si>
    <t>Numero chiamate: 5              Durata chiamate:  0:02:57                                    Costo totale: 1,05</t>
  </si>
  <si>
    <t>Numero chiamate:  3              Durata chiamate:    0:14:02                                   Costo totale: 0,00</t>
  </si>
  <si>
    <t xml:space="preserve">Numero chiamate: 2      Totale pacchetti:  4.163         Costo totale: 0,00 </t>
  </si>
  <si>
    <t>Rodriguez Sergio 348/0115641</t>
  </si>
  <si>
    <t>Numero chiamate:  37              Durata chiamate: 0:29:55                                      Costo totale: 5,42</t>
  </si>
  <si>
    <t>Numero chiamate:  1032     Totale pacchetti: 1201          Costo totale: 0,00</t>
  </si>
  <si>
    <t>Numero chiamate:  19              Durata chiamate:   0:02:41                                    Costo totale: 1,74</t>
  </si>
  <si>
    <t>Numero chiamate:  4     Totale pacchetti: 13          Costo totale: 0,00</t>
  </si>
  <si>
    <t>Numero chiamate: 61               Durata chiamate: 7:06:01                                     Costo totale: 26,62</t>
  </si>
  <si>
    <t>Numero chiamate: 1       Totale pacchetti: 6          Costo totale: 0,00</t>
  </si>
  <si>
    <t>Numero chiamate: 143               Durata chiamate: 6:28:36                                     Costo totale: 63,43</t>
  </si>
  <si>
    <t>Numero chiamate: 11      Totale pacchetti: 13.004           Costo totale: 0,00</t>
  </si>
  <si>
    <t>Numero chiamate: 185               Durata chiamate: 1:50:51                                     Costo totale: 29,51</t>
  </si>
  <si>
    <t>Numero chiamate: 1       Totale pacchetti: 1          Costo totale: 0,00</t>
  </si>
  <si>
    <t>Numero chiamate:   214             Durata chiamate:  5:16:01                                     Costo totale: 169,14</t>
  </si>
  <si>
    <t>Numero chiamate: 637     Totale pacchetti: 1.611           Costo totale: 0,00</t>
  </si>
  <si>
    <t>Numero chiamate:  45              Durata chiamate:   0:13:33                                   Costo totale: 4,17</t>
  </si>
  <si>
    <t>Numero chiamate: 0     Totale pacchetti: 0          Costo totale: 0,00</t>
  </si>
  <si>
    <t>Numero chiamate:   323             Durata chiamate: 7:54:02                                     Costo totale: 261,34</t>
  </si>
  <si>
    <t>Numero chiamate:  264     Totale pacchetti:  642         Costo totale: 38,12</t>
  </si>
  <si>
    <t>Numero chiamate:   154            Durata chiamate:   16:50:20                                   Costo totale: 310,20</t>
  </si>
  <si>
    <t>Numero chiamate: 852      Totale pacchetti: 1075          Costo totale: 35,51</t>
  </si>
  <si>
    <t>Numero chiamate:  1              Durata chiamate:  0:09:57                                    Costo totale: 1,59</t>
  </si>
  <si>
    <t>Numero chiamate: 240               Durata chiamate:9:30:44                                       Costo totale: 353,28</t>
  </si>
  <si>
    <t>Numero chiamate:   354    Totale pacchetti: 1.588            Costo totale: 45,39</t>
  </si>
  <si>
    <t>Numero chiamate: 25               Durata chiamate: 2:23:36                                      Costo totale: 2,66</t>
  </si>
  <si>
    <t>Numero chiamate: 160               Durata chiamate: 3:28:03                                     Costo totale: 391,04</t>
  </si>
  <si>
    <t>Numero chiamate: 935     Totale pacchetti: 1.280            Costo totale: 5,92</t>
  </si>
  <si>
    <t>Numero chiamate: 265              Durata chiamate: 5:48:11                                     Costo totale: 69,21</t>
  </si>
  <si>
    <t>Numero chiamate: 8      Totale pacchetti:  56         Costo totale: 0,00</t>
  </si>
  <si>
    <t>Numero chiamate:  335              Durata chiamate:  9:37:06                                     Costo totale: 112,96</t>
  </si>
  <si>
    <t>Numero chiamate:  1     Totale pacchetti:  7         Costo totale: 0,00</t>
  </si>
  <si>
    <t xml:space="preserve">Numero chiamate:  9              Durata chiamate:  0:30:31                                     Costo totale:5,38 </t>
  </si>
  <si>
    <t>Numero chiamate:  0     Totale pacchetti:   0        Costo totale: 0,00</t>
  </si>
  <si>
    <t>Furlan Walter 366/9237125</t>
  </si>
  <si>
    <t>Numero chiamate:  0              Durata chiamate:  0                                  Costo totale: 0,00</t>
  </si>
  <si>
    <t>Numero chiamate: 2     Totale pacchetti: 0          Costo totale: 7,40</t>
  </si>
  <si>
    <t>Numero chiamate:  29              Durata chiamate: 3:28:30                                       Costo totale: 0,93</t>
  </si>
  <si>
    <t>Numero chiamate:  77     Totale pacchetti:   1593        Costo totale: 0,00</t>
  </si>
  <si>
    <t xml:space="preserve">Rodriguez Sergio +34608662179 </t>
  </si>
  <si>
    <t>Numero chiamate: 355                Durata chiamate:  9:33:20                                    Costo totale: 468,69</t>
  </si>
  <si>
    <t>Numero chiamate: 597      Totale pacchetti: 98.136          Costo totale: 0,00</t>
  </si>
  <si>
    <t>Numero chiamate: 4                Durata chiamate:  0:02:29                                    Costo totale: 0,40</t>
  </si>
  <si>
    <t>Numero chiamate: 3      Totale pacchetti: 15          Costo totale: 0,00</t>
  </si>
  <si>
    <t>Numero chiamate: 389                Durata chiamate:  12:29:53                                    Costo totale: 107,12</t>
  </si>
  <si>
    <t>Numero chiamate: 567      Totale pacchetti: 2.714           Costo totale: 0,00</t>
  </si>
  <si>
    <t>Numero chiamate: 464                Durata chiamate:  12:28:24                                     Costo totale: 809,86</t>
  </si>
  <si>
    <t>Numero chiamate: 1256      Totale pacchetti: 2.994          Costo totale: 3,25</t>
  </si>
  <si>
    <t xml:space="preserve">Numero chiamate: 113                Durata chiamate: 2:49:25                                      Costo totale: 25,40 </t>
  </si>
  <si>
    <t>Numero chiamate: 4                Durata chiamate: 0:02:45                                      Costo totale: 0,57</t>
  </si>
  <si>
    <t>Numero chiamate: 2      Totale pacchetti: 16          Costo totale: 0,00</t>
  </si>
  <si>
    <t>Numero chiamate: 382                Durata chiamate: 20:56:06                                      Costo totale: 1460,03</t>
  </si>
  <si>
    <t>Numero chiamate: 1639      Totale pacchetti: 1.866          Costo totale: 4,69</t>
  </si>
  <si>
    <t>Numero chiamate: 200                Durata chiamate: 10:29:36                                     Costo totale: 83,21</t>
  </si>
  <si>
    <t>Numero chiamate: 3      Totale pacchetti: 6          Costo totale: 0,00</t>
  </si>
  <si>
    <t>Numero chiamate: 49                Durata chiamate:  1:51:47                                    Costo totale: 20,14</t>
  </si>
  <si>
    <t>Numero chiamate: 1      Totale pacchetti: 334          Costo totale: 0,00</t>
  </si>
  <si>
    <t>Numero chiamate: 309                Durata chiamate: 5:10:56                                     Costo totale: 199,60</t>
  </si>
  <si>
    <t>Numero chiamate: 814      Totale pacchetti: 2.012           Costo totale: 6,07</t>
  </si>
  <si>
    <t>Numero chiamate: 188                Durata chiamate: 3:13:44                                       Costo totale: 253,88</t>
  </si>
  <si>
    <t>Numero chiamate: 985      Totale pacchetti: 5.754           Costo totale: 23,67</t>
  </si>
  <si>
    <t>Numero chiamate: 0                Durata chiamate: 0:26:28                                     Costo totale: 0,00</t>
  </si>
  <si>
    <t>Numero chiamate: 32                Durata chiamate: 0:35:58                                      Costo totale: 5,08</t>
  </si>
  <si>
    <t>Numero chiamate: 256      Totale pacchetti:           Costo totale: 0,29</t>
  </si>
  <si>
    <t>Numero chiamate: 34                Durata chiamate: 0:56:48                                      Costo totale: 11,37</t>
  </si>
  <si>
    <t>Numero chiamate: 457      Totale pacchetti: 11.999           Costo totale: 5,26</t>
  </si>
  <si>
    <t>Numero chiamate: 2      Totale pacchetti: 15          Costo totale: 0,00</t>
  </si>
  <si>
    <t>Numero chiamate: 103                Durata chiamate:  2:12:03                                     Costo totale: 205,46</t>
  </si>
  <si>
    <t>Numero chiamate: 488      Totale pacchetti: 831          Costo totale: 0,00</t>
  </si>
  <si>
    <t>Numero chiamate: 116                Durata chiamate:   3:58:22                                   Costo totale: 33,18</t>
  </si>
  <si>
    <t>Numero chiamate: 162                Durata chiamate: 6:43:07                                      Costo totale: 77,44</t>
  </si>
  <si>
    <t>Numero chiamate: 26      Totale pacchetti: 2.102.245           Costo totale: 0,00</t>
  </si>
  <si>
    <t>Numero chiamate: 327                Durata chiamate: 5:30:46                                       Costo totale: 204,18</t>
  </si>
  <si>
    <t>Numero chiamate: 423      Totale pacchetti: 40.324           Costo totale: 0,00</t>
  </si>
  <si>
    <t>Numero chiamate: 440                Durata chiamate: 13:45:35                                       Costo totale: 713,91</t>
  </si>
  <si>
    <t>Numero chiamate: 585      Totale pacchetti: 2.615           Costo totale: 61,76</t>
  </si>
  <si>
    <t>Numero chiamate: 80                Durata chiamate: 0:39:39                                     Costo totale: 12,88</t>
  </si>
  <si>
    <t>Numero chiamate: 461      Totale pacchetti: 3.545          Costo totale: 59,42</t>
  </si>
  <si>
    <t>Numero chiamate: 154                Durata chiamate:  5:44:52                                     Costo totale: 101,17</t>
  </si>
  <si>
    <t>Numero chiamate: 241                Durata chiamate: 20:17:23                                      Costo totale: 1249,65</t>
  </si>
  <si>
    <t>Numero chiamate: 1952       Totale pacchetti: 2.658           Costo totale: 71,31</t>
  </si>
  <si>
    <t>Numero chiamate: 23                Durata chiamate: 0:41:39                                      Costo totale: 34,75</t>
  </si>
  <si>
    <t>Numero chiamate: 467      Totale pacchetti: 655          Costo totale: 0,00</t>
  </si>
  <si>
    <t>Numero chiamate: 366                Durata chiamate:   17:35:18                                   Costo totale: 181,49</t>
  </si>
  <si>
    <t>Numero chiamate: 147      Totale pacchetti: 675           Costo totale: 11,84</t>
  </si>
  <si>
    <t>Numero chiamate: 19                Durata chiamate: 2:02:32                                     Costo totale: 1,38</t>
  </si>
  <si>
    <t>Numero chiamate: 115                Durata chiamate:  2:21:01                                   Costo totale: 104,89</t>
  </si>
  <si>
    <t>Numero chiamate: 430      Totale pacchetti: 472          Costo totale: 0,00</t>
  </si>
  <si>
    <t>Numero chiamate: 259                Durata chiamate: 4:32:09                                        Costo totale: 71,92</t>
  </si>
  <si>
    <t>Numero chiamate: 62      Totale pacchetti: 291.352           Costo totale: 0,00</t>
  </si>
  <si>
    <t>Numero chiamate: 314                Durata chiamate: 6:48:06                                      Costo totale: 93,47</t>
  </si>
  <si>
    <t>Numero chiamate: 8      Totale pacchetti: 194          Costo totale: 0,00</t>
  </si>
  <si>
    <t>Numero chiamate: 10                Durata chiamate: 4:31:51                                       Costo totale: 43,50</t>
  </si>
  <si>
    <t>Numero chiamate: 17      Totale pacchetti: 299.257           Costo totale: 0,00</t>
  </si>
  <si>
    <t>Numero chiamate: 1                Durata chiamate:                                      Costo totale: 0,13</t>
  </si>
  <si>
    <t>Numero chiamate: 122               Durata chiamate: 2:50:01                                     Costo totale: 32,97</t>
  </si>
  <si>
    <t>Numero chiamate: 78      Totale pacchetti: 32          Costo totale: 76,5</t>
  </si>
  <si>
    <t>Numero chiamate: 159                Durata chiamate: 8:08:28                                       Costo totale: 62,61</t>
  </si>
  <si>
    <t>Numero chiamate: 334      Totale pacchetti: 7.948           Costo totale: 0,00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</si>
</sst>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[$$-409]#,##0.00"/>
    <numFmt numFmtId="167" formatCode="[$$-4809]#,##0.00"/>
  </numFmts>
  <fonts count="1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2"/>
      <color rgb="FF00B050"/>
      <name val="Tahoma"/>
      <family val="2"/>
    </font>
    <font>
      <b/>
      <sz val="10"/>
      <color theme="9" tint="-0.249977111117893"/>
      <name val="Tahoma"/>
      <family val="2"/>
    </font>
    <font>
      <sz val="10"/>
      <color rgb="FFFF0000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2" fontId="2" fillId="0" borderId="4" xfId="0" applyNumberFormat="1" applyFont="1" applyBorder="1" applyAlignment="1">
      <alignment wrapText="1"/>
    </xf>
    <xf numFmtId="0" fontId="2" fillId="0" borderId="5" xfId="0" applyFont="1" applyFill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1" xfId="0" applyFont="1" applyFill="1" applyBorder="1"/>
    <xf numFmtId="4" fontId="2" fillId="0" borderId="14" xfId="0" applyNumberFormat="1" applyFont="1" applyFill="1" applyBorder="1"/>
    <xf numFmtId="0" fontId="2" fillId="0" borderId="15" xfId="0" applyFont="1" applyFill="1" applyBorder="1" applyAlignment="1">
      <alignment vertical="center" wrapText="1"/>
    </xf>
    <xf numFmtId="2" fontId="2" fillId="0" borderId="17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/>
    <xf numFmtId="0" fontId="3" fillId="0" borderId="18" xfId="0" applyFont="1" applyFill="1" applyBorder="1" applyAlignment="1">
      <alignment horizontal="center" vertical="center"/>
    </xf>
    <xf numFmtId="0" fontId="6" fillId="0" borderId="0" xfId="0" applyFont="1"/>
    <xf numFmtId="0" fontId="2" fillId="0" borderId="19" xfId="0" applyFont="1" applyFill="1" applyBorder="1"/>
    <xf numFmtId="0" fontId="2" fillId="0" borderId="23" xfId="0" applyFont="1" applyFill="1" applyBorder="1" applyAlignment="1">
      <alignment vertical="center" wrapText="1"/>
    </xf>
    <xf numFmtId="2" fontId="2" fillId="0" borderId="24" xfId="0" applyNumberFormat="1" applyFont="1" applyFill="1" applyBorder="1" applyAlignment="1">
      <alignment vertical="center"/>
    </xf>
    <xf numFmtId="0" fontId="2" fillId="0" borderId="23" xfId="0" applyFont="1" applyFill="1" applyBorder="1"/>
    <xf numFmtId="2" fontId="2" fillId="0" borderId="24" xfId="0" applyNumberFormat="1" applyFont="1" applyFill="1" applyBorder="1" applyAlignment="1"/>
    <xf numFmtId="2" fontId="2" fillId="0" borderId="24" xfId="1" applyNumberFormat="1" applyFont="1" applyFill="1" applyBorder="1"/>
    <xf numFmtId="2" fontId="2" fillId="0" borderId="0" xfId="1" applyNumberFormat="1" applyFont="1" applyFill="1" applyBorder="1" applyAlignment="1"/>
    <xf numFmtId="0" fontId="2" fillId="0" borderId="15" xfId="0" applyFont="1" applyFill="1" applyBorder="1"/>
    <xf numFmtId="0" fontId="3" fillId="0" borderId="7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/>
    <xf numFmtId="2" fontId="2" fillId="0" borderId="27" xfId="0" applyNumberFormat="1" applyFont="1" applyFill="1" applyBorder="1" applyAlignment="1"/>
    <xf numFmtId="2" fontId="3" fillId="0" borderId="10" xfId="1" applyNumberFormat="1" applyFont="1" applyFill="1" applyBorder="1"/>
    <xf numFmtId="0" fontId="2" fillId="0" borderId="29" xfId="0" applyFont="1" applyFill="1" applyBorder="1" applyAlignment="1">
      <alignment vertical="center" wrapText="1"/>
    </xf>
    <xf numFmtId="0" fontId="2" fillId="0" borderId="0" xfId="0" applyFont="1" applyFill="1" applyBorder="1"/>
    <xf numFmtId="164" fontId="2" fillId="0" borderId="0" xfId="1" applyFont="1" applyBorder="1"/>
    <xf numFmtId="164" fontId="2" fillId="0" borderId="0" xfId="1" applyFont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2" fillId="0" borderId="0" xfId="0" applyNumberFormat="1" applyFont="1"/>
    <xf numFmtId="2" fontId="3" fillId="0" borderId="35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/>
    <xf numFmtId="2" fontId="2" fillId="0" borderId="32" xfId="0" applyNumberFormat="1" applyFont="1" applyFill="1" applyBorder="1" applyAlignment="1">
      <alignment vertical="center" wrapText="1"/>
    </xf>
    <xf numFmtId="2" fontId="2" fillId="0" borderId="34" xfId="0" applyNumberFormat="1" applyFont="1" applyFill="1" applyBorder="1" applyAlignment="1">
      <alignment vertical="center" wrapText="1"/>
    </xf>
    <xf numFmtId="2" fontId="2" fillId="0" borderId="34" xfId="0" applyNumberFormat="1" applyFont="1" applyFill="1" applyBorder="1"/>
    <xf numFmtId="2" fontId="2" fillId="0" borderId="36" xfId="0" applyNumberFormat="1" applyFont="1" applyFill="1" applyBorder="1"/>
    <xf numFmtId="2" fontId="2" fillId="0" borderId="0" xfId="0" applyNumberFormat="1" applyFont="1" applyBorder="1"/>
    <xf numFmtId="2" fontId="3" fillId="0" borderId="8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2" fillId="0" borderId="12" xfId="1" applyNumberFormat="1" applyFont="1" applyFill="1" applyBorder="1"/>
    <xf numFmtId="2" fontId="2" fillId="0" borderId="13" xfId="0" applyNumberFormat="1" applyFont="1" applyFill="1" applyBorder="1"/>
    <xf numFmtId="2" fontId="3" fillId="0" borderId="9" xfId="0" applyNumberFormat="1" applyFont="1" applyBorder="1" applyAlignment="1">
      <alignment horizontal="center" vertical="center" wrapText="1"/>
    </xf>
    <xf numFmtId="2" fontId="2" fillId="0" borderId="20" xfId="1" applyNumberFormat="1" applyFont="1" applyFill="1" applyBorder="1"/>
    <xf numFmtId="2" fontId="2" fillId="0" borderId="21" xfId="0" applyNumberFormat="1" applyFont="1" applyFill="1" applyBorder="1"/>
    <xf numFmtId="2" fontId="2" fillId="0" borderId="25" xfId="1" applyNumberFormat="1" applyFont="1" applyFill="1" applyBorder="1"/>
    <xf numFmtId="2" fontId="2" fillId="0" borderId="24" xfId="0" applyNumberFormat="1" applyFont="1" applyFill="1" applyBorder="1" applyAlignment="1">
      <alignment horizontal="right"/>
    </xf>
    <xf numFmtId="2" fontId="2" fillId="0" borderId="25" xfId="0" applyNumberFormat="1" applyFont="1" applyFill="1" applyBorder="1"/>
    <xf numFmtId="2" fontId="2" fillId="0" borderId="24" xfId="0" applyNumberFormat="1" applyFont="1" applyFill="1" applyBorder="1"/>
    <xf numFmtId="2" fontId="2" fillId="0" borderId="0" xfId="1" applyNumberFormat="1" applyFont="1"/>
    <xf numFmtId="165" fontId="3" fillId="0" borderId="35" xfId="1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/>
    <xf numFmtId="2" fontId="3" fillId="0" borderId="0" xfId="1" applyNumberFormat="1" applyFont="1" applyFill="1" applyBorder="1"/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wrapText="1"/>
    </xf>
    <xf numFmtId="0" fontId="3" fillId="3" borderId="7" xfId="0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/>
    <xf numFmtId="2" fontId="3" fillId="0" borderId="10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/>
    <xf numFmtId="2" fontId="2" fillId="0" borderId="32" xfId="0" applyNumberFormat="1" applyFont="1" applyFill="1" applyBorder="1"/>
    <xf numFmtId="2" fontId="2" fillId="0" borderId="16" xfId="1" applyNumberFormat="1" applyFont="1" applyFill="1" applyBorder="1"/>
    <xf numFmtId="2" fontId="2" fillId="0" borderId="17" xfId="1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/>
    <xf numFmtId="0" fontId="3" fillId="5" borderId="1" xfId="0" applyFont="1" applyFill="1" applyBorder="1"/>
    <xf numFmtId="2" fontId="3" fillId="0" borderId="2" xfId="0" applyNumberFormat="1" applyFont="1" applyFill="1" applyBorder="1"/>
    <xf numFmtId="2" fontId="2" fillId="0" borderId="28" xfId="0" applyNumberFormat="1" applyFont="1" applyFill="1" applyBorder="1" applyAlignment="1">
      <alignment vertical="center" wrapText="1"/>
    </xf>
    <xf numFmtId="2" fontId="2" fillId="0" borderId="40" xfId="0" applyNumberFormat="1" applyFont="1" applyFill="1" applyBorder="1" applyAlignment="1">
      <alignment vertical="center" wrapText="1"/>
    </xf>
    <xf numFmtId="0" fontId="2" fillId="0" borderId="29" xfId="0" applyFont="1" applyFill="1" applyBorder="1"/>
    <xf numFmtId="2" fontId="3" fillId="0" borderId="41" xfId="0" applyNumberFormat="1" applyFont="1" applyFill="1" applyBorder="1" applyAlignment="1">
      <alignment horizontal="center" vertical="center"/>
    </xf>
    <xf numFmtId="3" fontId="2" fillId="0" borderId="31" xfId="1" applyNumberFormat="1" applyFont="1" applyFill="1" applyBorder="1"/>
    <xf numFmtId="2" fontId="2" fillId="0" borderId="3" xfId="0" applyNumberFormat="1" applyFont="1" applyBorder="1" applyAlignment="1">
      <alignment wrapText="1"/>
    </xf>
    <xf numFmtId="0" fontId="1" fillId="0" borderId="0" xfId="0" applyFont="1"/>
    <xf numFmtId="0" fontId="3" fillId="4" borderId="39" xfId="0" applyFont="1" applyFill="1" applyBorder="1"/>
    <xf numFmtId="2" fontId="3" fillId="0" borderId="35" xfId="0" applyNumberFormat="1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vertical="center"/>
    </xf>
    <xf numFmtId="2" fontId="2" fillId="0" borderId="27" xfId="1" applyNumberFormat="1" applyFont="1" applyFill="1" applyBorder="1"/>
    <xf numFmtId="2" fontId="2" fillId="0" borderId="42" xfId="0" applyNumberFormat="1" applyFont="1" applyFill="1" applyBorder="1" applyAlignment="1"/>
    <xf numFmtId="2" fontId="2" fillId="0" borderId="17" xfId="0" applyNumberFormat="1" applyFont="1" applyFill="1" applyBorder="1" applyAlignment="1"/>
    <xf numFmtId="0" fontId="2" fillId="0" borderId="0" xfId="0" applyFont="1" applyFill="1" applyBorder="1" applyAlignment="1">
      <alignment horizontal="left" wrapText="1"/>
    </xf>
    <xf numFmtId="0" fontId="3" fillId="2" borderId="1" xfId="0" applyFont="1" applyFill="1" applyBorder="1"/>
    <xf numFmtId="0" fontId="2" fillId="0" borderId="11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2" fontId="2" fillId="0" borderId="45" xfId="0" applyNumberFormat="1" applyFont="1" applyFill="1" applyBorder="1" applyAlignment="1">
      <alignment vertical="center" wrapText="1"/>
    </xf>
    <xf numFmtId="2" fontId="2" fillId="0" borderId="43" xfId="0" applyNumberFormat="1" applyFont="1" applyFill="1" applyBorder="1" applyAlignment="1">
      <alignment vertical="center" wrapText="1"/>
    </xf>
    <xf numFmtId="2" fontId="3" fillId="0" borderId="44" xfId="0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 wrapText="1"/>
    </xf>
    <xf numFmtId="2" fontId="3" fillId="0" borderId="4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3" fontId="2" fillId="0" borderId="0" xfId="1" applyNumberFormat="1" applyFont="1" applyFill="1" applyBorder="1"/>
    <xf numFmtId="3" fontId="2" fillId="0" borderId="47" xfId="1" applyNumberFormat="1" applyFont="1" applyFill="1" applyBorder="1"/>
    <xf numFmtId="3" fontId="2" fillId="0" borderId="36" xfId="1" applyNumberFormat="1" applyFont="1" applyFill="1" applyBorder="1"/>
    <xf numFmtId="3" fontId="2" fillId="0" borderId="48" xfId="1" applyNumberFormat="1" applyFont="1" applyFill="1" applyBorder="1"/>
    <xf numFmtId="3" fontId="2" fillId="0" borderId="33" xfId="1" applyNumberFormat="1" applyFont="1" applyFill="1" applyBorder="1"/>
    <xf numFmtId="3" fontId="2" fillId="0" borderId="22" xfId="1" applyNumberFormat="1" applyFont="1" applyFill="1" applyBorder="1"/>
    <xf numFmtId="2" fontId="2" fillId="0" borderId="41" xfId="1" applyNumberFormat="1" applyFont="1" applyFill="1" applyBorder="1"/>
    <xf numFmtId="0" fontId="1" fillId="0" borderId="4" xfId="0" applyFont="1" applyBorder="1" applyAlignment="1">
      <alignment wrapText="1"/>
    </xf>
    <xf numFmtId="0" fontId="2" fillId="6" borderId="23" xfId="0" applyFont="1" applyFill="1" applyBorder="1" applyAlignment="1">
      <alignment wrapText="1"/>
    </xf>
    <xf numFmtId="2" fontId="2" fillId="0" borderId="49" xfId="0" applyNumberFormat="1" applyFont="1" applyFill="1" applyBorder="1"/>
    <xf numFmtId="2" fontId="2" fillId="0" borderId="42" xfId="1" applyNumberFormat="1" applyFont="1" applyFill="1" applyBorder="1"/>
    <xf numFmtId="166" fontId="2" fillId="0" borderId="32" xfId="0" applyNumberFormat="1" applyFont="1" applyFill="1" applyBorder="1"/>
    <xf numFmtId="2" fontId="2" fillId="0" borderId="0" xfId="0" applyNumberFormat="1" applyFont="1" applyBorder="1" applyAlignment="1">
      <alignment wrapText="1"/>
    </xf>
    <xf numFmtId="0" fontId="2" fillId="0" borderId="23" xfId="0" applyFont="1" applyFill="1" applyBorder="1" applyAlignment="1">
      <alignment horizontal="left" wrapText="1"/>
    </xf>
    <xf numFmtId="3" fontId="2" fillId="0" borderId="20" xfId="1" applyNumberFormat="1" applyFont="1" applyFill="1" applyBorder="1"/>
    <xf numFmtId="3" fontId="2" fillId="0" borderId="50" xfId="1" applyNumberFormat="1" applyFont="1" applyFill="1" applyBorder="1"/>
    <xf numFmtId="3" fontId="2" fillId="0" borderId="12" xfId="1" applyNumberFormat="1" applyFont="1" applyFill="1" applyBorder="1"/>
    <xf numFmtId="0" fontId="3" fillId="0" borderId="6" xfId="0" applyFont="1" applyBorder="1" applyAlignment="1">
      <alignment horizontal="center" vertical="center" wrapText="1"/>
    </xf>
    <xf numFmtId="4" fontId="2" fillId="0" borderId="32" xfId="0" applyNumberFormat="1" applyFont="1" applyFill="1" applyBorder="1"/>
    <xf numFmtId="4" fontId="2" fillId="0" borderId="51" xfId="0" applyNumberFormat="1" applyFont="1" applyFill="1" applyBorder="1"/>
    <xf numFmtId="2" fontId="2" fillId="0" borderId="10" xfId="0" applyNumberFormat="1" applyFont="1" applyFill="1" applyBorder="1"/>
    <xf numFmtId="2" fontId="2" fillId="0" borderId="8" xfId="1" applyNumberFormat="1" applyFont="1" applyFill="1" applyBorder="1"/>
    <xf numFmtId="0" fontId="2" fillId="6" borderId="23" xfId="0" applyFont="1" applyFill="1" applyBorder="1"/>
    <xf numFmtId="0" fontId="2" fillId="6" borderId="11" xfId="0" applyFont="1" applyFill="1" applyBorder="1"/>
    <xf numFmtId="166" fontId="2" fillId="0" borderId="32" xfId="0" applyNumberFormat="1" applyFont="1" applyFill="1" applyBorder="1" applyAlignment="1">
      <alignment horizontal="right"/>
    </xf>
    <xf numFmtId="0" fontId="2" fillId="6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wrapText="1"/>
    </xf>
    <xf numFmtId="0" fontId="2" fillId="2" borderId="29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167" fontId="2" fillId="0" borderId="37" xfId="0" applyNumberFormat="1" applyFont="1" applyFill="1" applyBorder="1"/>
    <xf numFmtId="167" fontId="2" fillId="0" borderId="52" xfId="1" applyNumberFormat="1" applyFont="1" applyFill="1" applyBorder="1"/>
    <xf numFmtId="2" fontId="2" fillId="0" borderId="34" xfId="0" applyNumberFormat="1" applyFont="1" applyFill="1" applyBorder="1" applyAlignment="1"/>
    <xf numFmtId="2" fontId="2" fillId="0" borderId="4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2" fontId="2" fillId="0" borderId="53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/>
    <xf numFmtId="0" fontId="2" fillId="0" borderId="23" xfId="0" applyFont="1" applyFill="1" applyBorder="1" applyAlignment="1"/>
    <xf numFmtId="0" fontId="2" fillId="0" borderId="29" xfId="0" applyFont="1" applyFill="1" applyBorder="1" applyAlignment="1"/>
    <xf numFmtId="0" fontId="2" fillId="6" borderId="23" xfId="0" applyFont="1" applyFill="1" applyBorder="1" applyAlignment="1"/>
    <xf numFmtId="3" fontId="2" fillId="0" borderId="41" xfId="1" applyNumberFormat="1" applyFont="1" applyFill="1" applyBorder="1"/>
    <xf numFmtId="3" fontId="2" fillId="0" borderId="54" xfId="1" applyNumberFormat="1" applyFont="1" applyFill="1" applyBorder="1"/>
    <xf numFmtId="3" fontId="2" fillId="0" borderId="24" xfId="1" applyNumberFormat="1" applyFont="1" applyFill="1" applyBorder="1"/>
    <xf numFmtId="3" fontId="2" fillId="0" borderId="55" xfId="1" applyNumberFormat="1" applyFont="1" applyFill="1" applyBorder="1"/>
    <xf numFmtId="3" fontId="2" fillId="0" borderId="27" xfId="1" applyNumberFormat="1" applyFont="1" applyFill="1" applyBorder="1"/>
    <xf numFmtId="3" fontId="2" fillId="0" borderId="14" xfId="1" applyNumberFormat="1" applyFont="1" applyFill="1" applyBorder="1"/>
    <xf numFmtId="3" fontId="2" fillId="0" borderId="56" xfId="1" applyNumberFormat="1" applyFont="1" applyFill="1" applyBorder="1"/>
    <xf numFmtId="0" fontId="3" fillId="0" borderId="1" xfId="0" applyFont="1" applyFill="1" applyBorder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2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wrapText="1"/>
    </xf>
    <xf numFmtId="0" fontId="8" fillId="0" borderId="0" xfId="2" applyAlignment="1" applyProtection="1">
      <alignment horizontal="left"/>
    </xf>
    <xf numFmtId="2" fontId="2" fillId="0" borderId="57" xfId="0" applyNumberFormat="1" applyFont="1" applyBorder="1" applyAlignment="1">
      <alignment wrapText="1"/>
    </xf>
    <xf numFmtId="0" fontId="1" fillId="0" borderId="4" xfId="0" applyFont="1" applyBorder="1" applyAlignment="1">
      <alignment horizontal="right"/>
    </xf>
    <xf numFmtId="21" fontId="1" fillId="0" borderId="4" xfId="0" applyNumberFormat="1" applyFont="1" applyBorder="1" applyAlignment="1">
      <alignment horizontal="right"/>
    </xf>
    <xf numFmtId="0" fontId="8" fillId="0" borderId="4" xfId="2" applyBorder="1" applyAlignment="1" applyProtection="1">
      <alignment horizontal="left"/>
    </xf>
    <xf numFmtId="3" fontId="1" fillId="0" borderId="4" xfId="0" applyNumberFormat="1" applyFont="1" applyBorder="1" applyAlignment="1">
      <alignment horizontal="right"/>
    </xf>
    <xf numFmtId="0" fontId="2" fillId="0" borderId="58" xfId="0" applyFont="1" applyFill="1" applyBorder="1" applyAlignment="1"/>
    <xf numFmtId="4" fontId="2" fillId="0" borderId="31" xfId="0" applyNumberFormat="1" applyFont="1" applyFill="1" applyBorder="1"/>
    <xf numFmtId="4" fontId="2" fillId="0" borderId="13" xfId="0" applyNumberFormat="1" applyFont="1" applyFill="1" applyBorder="1"/>
    <xf numFmtId="2" fontId="7" fillId="0" borderId="4" xfId="0" applyNumberFormat="1" applyFont="1" applyBorder="1" applyAlignment="1">
      <alignment wrapText="1"/>
    </xf>
    <xf numFmtId="2" fontId="7" fillId="0" borderId="57" xfId="0" applyNumberFormat="1" applyFont="1" applyBorder="1" applyAlignment="1">
      <alignment wrapText="1"/>
    </xf>
    <xf numFmtId="2" fontId="3" fillId="0" borderId="59" xfId="0" applyNumberFormat="1" applyFont="1" applyFill="1" applyBorder="1" applyAlignment="1">
      <alignment horizontal="center" vertical="center"/>
    </xf>
    <xf numFmtId="2" fontId="3" fillId="0" borderId="6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61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Fill="1" applyBorder="1" applyAlignment="1">
      <alignment vertical="center" wrapText="1"/>
    </xf>
    <xf numFmtId="2" fontId="2" fillId="0" borderId="49" xfId="1" applyNumberFormat="1" applyFont="1" applyFill="1" applyBorder="1"/>
    <xf numFmtId="2" fontId="2" fillId="0" borderId="42" xfId="0" applyNumberFormat="1" applyFont="1" applyFill="1" applyBorder="1" applyAlignment="1">
      <alignment vertical="center"/>
    </xf>
    <xf numFmtId="0" fontId="2" fillId="0" borderId="24" xfId="0" applyFont="1" applyFill="1" applyBorder="1"/>
    <xf numFmtId="4" fontId="3" fillId="0" borderId="35" xfId="1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2" fillId="0" borderId="31" xfId="1" applyNumberFormat="1" applyFont="1" applyFill="1" applyBorder="1"/>
    <xf numFmtId="4" fontId="2" fillId="0" borderId="20" xfId="1" applyNumberFormat="1" applyFont="1" applyFill="1" applyBorder="1"/>
    <xf numFmtId="4" fontId="2" fillId="0" borderId="47" xfId="1" applyNumberFormat="1" applyFont="1" applyFill="1" applyBorder="1"/>
    <xf numFmtId="4" fontId="3" fillId="0" borderId="8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5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4" fontId="2" fillId="0" borderId="0" xfId="1" applyNumberFormat="1" applyFont="1" applyBorder="1"/>
    <xf numFmtId="4" fontId="3" fillId="0" borderId="2" xfId="0" applyNumberFormat="1" applyFont="1" applyFill="1" applyBorder="1"/>
    <xf numFmtId="4" fontId="2" fillId="0" borderId="0" xfId="0" applyNumberFormat="1" applyFont="1"/>
    <xf numFmtId="4" fontId="2" fillId="0" borderId="0" xfId="1" applyNumberFormat="1" applyFont="1"/>
    <xf numFmtId="167" fontId="2" fillId="0" borderId="31" xfId="1" applyNumberFormat="1" applyFont="1" applyFill="1" applyBorder="1"/>
    <xf numFmtId="166" fontId="2" fillId="0" borderId="31" xfId="1" applyNumberFormat="1" applyFont="1" applyFill="1" applyBorder="1"/>
    <xf numFmtId="2" fontId="7" fillId="0" borderId="27" xfId="0" applyNumberFormat="1" applyFont="1" applyFill="1" applyBorder="1" applyAlignment="1"/>
    <xf numFmtId="2" fontId="7" fillId="0" borderId="27" xfId="0" applyNumberFormat="1" applyFont="1" applyFill="1" applyBorder="1" applyAlignment="1">
      <alignment vertical="center"/>
    </xf>
    <xf numFmtId="2" fontId="2" fillId="0" borderId="5" xfId="0" applyNumberFormat="1" applyFont="1" applyBorder="1" applyAlignment="1">
      <alignment wrapText="1"/>
    </xf>
    <xf numFmtId="0" fontId="8" fillId="0" borderId="0" xfId="2" applyBorder="1" applyAlignment="1" applyProtection="1">
      <alignment horizontal="left"/>
    </xf>
    <xf numFmtId="0" fontId="1" fillId="0" borderId="0" xfId="0" applyFont="1" applyBorder="1" applyAlignment="1">
      <alignment horizontal="right"/>
    </xf>
    <xf numFmtId="2" fontId="7" fillId="0" borderId="28" xfId="0" applyNumberFormat="1" applyFont="1" applyFill="1" applyBorder="1" applyAlignment="1"/>
    <xf numFmtId="4" fontId="7" fillId="0" borderId="27" xfId="1" applyNumberFormat="1" applyFont="1" applyFill="1" applyBorder="1"/>
    <xf numFmtId="4" fontId="2" fillId="0" borderId="27" xfId="1" applyNumberFormat="1" applyFont="1" applyFill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topLeftCell="A28" workbookViewId="0">
      <selection activeCell="G9" sqref="G9"/>
    </sheetView>
  </sheetViews>
  <sheetFormatPr defaultColWidth="19.7109375" defaultRowHeight="12.75"/>
  <cols>
    <col min="1" max="1" width="50.8554687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125" t="s">
        <v>36</v>
      </c>
      <c r="B2" s="38">
        <f>1272.5+1198.48</f>
        <v>2470.98</v>
      </c>
      <c r="C2" s="38">
        <f>1152.6+1198.48</f>
        <v>2351.08</v>
      </c>
      <c r="D2" s="49">
        <f>B2-C2</f>
        <v>119.90000000000009</v>
      </c>
      <c r="E2" s="63"/>
      <c r="F2" s="38"/>
      <c r="G2" s="10"/>
    </row>
    <row r="3" spans="1:12" s="14" customFormat="1" ht="13.5" thickBot="1">
      <c r="A3" s="127" t="s">
        <v>28</v>
      </c>
      <c r="B3" s="39">
        <f>1145.9+59.66</f>
        <v>1205.5600000000002</v>
      </c>
      <c r="C3" s="39">
        <f>827+59.66</f>
        <v>886.66</v>
      </c>
      <c r="D3" s="39">
        <f>B3-C3</f>
        <v>318.9000000000002</v>
      </c>
      <c r="E3" s="39"/>
      <c r="F3" s="39"/>
      <c r="G3" s="12"/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29" si="0">B5-C5</f>
        <v>0</v>
      </c>
      <c r="E5" s="51"/>
      <c r="F5" s="21"/>
      <c r="G5" s="88"/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116.19+227.6</f>
        <v>343.78999999999996</v>
      </c>
      <c r="C6" s="51">
        <f>14.15</f>
        <v>14.15</v>
      </c>
      <c r="D6" s="51">
        <f>B6-C6</f>
        <v>329.64</v>
      </c>
      <c r="E6" s="51"/>
      <c r="F6" s="21"/>
      <c r="G6" s="88"/>
      <c r="H6" s="13"/>
      <c r="I6" s="13"/>
      <c r="J6" s="13"/>
      <c r="K6" s="13"/>
      <c r="L6" s="13"/>
    </row>
    <row r="7" spans="1:12" s="14" customFormat="1">
      <c r="A7" s="20" t="s">
        <v>29</v>
      </c>
      <c r="B7" s="41"/>
      <c r="C7" s="51"/>
      <c r="D7" s="51">
        <f t="shared" si="0"/>
        <v>0</v>
      </c>
      <c r="E7" s="51"/>
      <c r="F7" s="21"/>
      <c r="G7" s="27"/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/>
      <c r="H8" s="13"/>
      <c r="I8" s="13"/>
      <c r="J8" s="13"/>
      <c r="K8" s="13"/>
      <c r="L8" s="13"/>
    </row>
    <row r="9" spans="1:12" s="14" customFormat="1">
      <c r="A9" s="20" t="s">
        <v>27</v>
      </c>
      <c r="B9" s="41"/>
      <c r="C9" s="51"/>
      <c r="D9" s="51">
        <f t="shared" si="0"/>
        <v>0</v>
      </c>
      <c r="E9" s="51"/>
      <c r="F9" s="21"/>
      <c r="G9" s="27"/>
      <c r="H9" s="13"/>
      <c r="I9" s="13"/>
      <c r="J9" s="13"/>
      <c r="K9" s="13"/>
      <c r="L9" s="13"/>
    </row>
    <row r="10" spans="1:12" s="14" customFormat="1">
      <c r="A10" s="20" t="s">
        <v>37</v>
      </c>
      <c r="B10" s="41"/>
      <c r="C10" s="51"/>
      <c r="D10" s="51">
        <f t="shared" si="0"/>
        <v>0</v>
      </c>
      <c r="E10" s="51"/>
      <c r="F10" s="21"/>
      <c r="G10" s="27"/>
      <c r="H10" s="13"/>
      <c r="I10" s="13"/>
      <c r="J10" s="13"/>
      <c r="K10" s="13"/>
      <c r="L10" s="13"/>
    </row>
    <row r="11" spans="1:12" s="14" customFormat="1">
      <c r="A11" s="20" t="s">
        <v>68</v>
      </c>
      <c r="B11" s="41"/>
      <c r="C11" s="51"/>
      <c r="D11" s="51">
        <f t="shared" si="0"/>
        <v>0</v>
      </c>
      <c r="E11" s="51"/>
      <c r="F11" s="21"/>
      <c r="G11" s="27"/>
      <c r="H11" s="13"/>
      <c r="I11" s="13"/>
      <c r="J11" s="13"/>
      <c r="K11" s="13"/>
      <c r="L11" s="13"/>
    </row>
    <row r="12" spans="1:12" s="14" customFormat="1">
      <c r="A12" s="20" t="s">
        <v>122</v>
      </c>
      <c r="B12" s="41">
        <v>1000</v>
      </c>
      <c r="C12" s="51">
        <v>0</v>
      </c>
      <c r="D12" s="51">
        <f t="shared" si="0"/>
        <v>1000</v>
      </c>
      <c r="E12" s="51"/>
      <c r="F12" s="21"/>
      <c r="G12" s="27"/>
      <c r="H12" s="13"/>
      <c r="I12" s="13"/>
      <c r="J12" s="13"/>
      <c r="K12" s="13"/>
      <c r="L12" s="13"/>
    </row>
    <row r="13" spans="1:12" s="14" customFormat="1">
      <c r="A13" s="20" t="s">
        <v>30</v>
      </c>
      <c r="B13" s="41"/>
      <c r="C13" s="51"/>
      <c r="D13" s="51">
        <f t="shared" si="0"/>
        <v>0</v>
      </c>
      <c r="E13" s="51"/>
      <c r="F13" s="21"/>
      <c r="G13" s="27"/>
      <c r="H13" s="13"/>
      <c r="I13" s="13"/>
      <c r="J13" s="13"/>
      <c r="K13" s="13"/>
      <c r="L13" s="13"/>
    </row>
    <row r="14" spans="1:12" s="14" customFormat="1">
      <c r="A14" s="20" t="s">
        <v>115</v>
      </c>
      <c r="B14" s="41"/>
      <c r="C14" s="51"/>
      <c r="D14" s="51">
        <f t="shared" si="0"/>
        <v>0</v>
      </c>
      <c r="E14" s="51"/>
      <c r="F14" s="21"/>
      <c r="G14" s="27"/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/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1"/>
      <c r="G16" s="27"/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/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f>498.74+291.52</f>
        <v>790.26</v>
      </c>
      <c r="C18" s="51">
        <f>445.74+214.28</f>
        <v>660.02</v>
      </c>
      <c r="D18" s="51">
        <f t="shared" si="0"/>
        <v>130.24</v>
      </c>
      <c r="E18" s="51"/>
      <c r="F18" s="22"/>
      <c r="G18" s="89"/>
      <c r="H18" s="13"/>
      <c r="I18" s="13"/>
      <c r="J18" s="13"/>
      <c r="K18" s="13"/>
      <c r="L18" s="13"/>
    </row>
    <row r="19" spans="1:12" s="14" customFormat="1">
      <c r="A19" s="18" t="s">
        <v>59</v>
      </c>
      <c r="B19" s="40"/>
      <c r="C19" s="51"/>
      <c r="D19" s="51">
        <f t="shared" si="0"/>
        <v>0</v>
      </c>
      <c r="E19" s="51"/>
      <c r="F19" s="19"/>
      <c r="G19" s="89"/>
      <c r="H19" s="13"/>
      <c r="I19" s="13"/>
      <c r="J19" s="13"/>
      <c r="K19" s="13"/>
      <c r="L19" s="13"/>
    </row>
    <row r="20" spans="1:12" s="14" customFormat="1">
      <c r="A20" s="18" t="s">
        <v>105</v>
      </c>
      <c r="B20" s="40"/>
      <c r="C20" s="51"/>
      <c r="D20" s="51">
        <f t="shared" si="0"/>
        <v>0</v>
      </c>
      <c r="E20" s="51"/>
      <c r="F20" s="19"/>
      <c r="G20" s="89"/>
      <c r="H20" s="13"/>
      <c r="I20" s="13"/>
      <c r="J20" s="13"/>
      <c r="K20" s="13"/>
      <c r="L20" s="13"/>
    </row>
    <row r="21" spans="1:12" s="14" customFormat="1">
      <c r="A21" s="18" t="s">
        <v>32</v>
      </c>
      <c r="B21" s="40">
        <f>27.39</f>
        <v>27.39</v>
      </c>
      <c r="C21" s="51">
        <v>0</v>
      </c>
      <c r="D21" s="51">
        <f t="shared" si="0"/>
        <v>27.39</v>
      </c>
      <c r="E21" s="51"/>
      <c r="F21" s="21"/>
      <c r="G21" s="88"/>
      <c r="H21" s="13"/>
      <c r="I21" s="13"/>
      <c r="J21" s="13"/>
      <c r="K21" s="13"/>
      <c r="L21" s="13"/>
    </row>
    <row r="22" spans="1:12" s="14" customFormat="1">
      <c r="A22" s="20" t="s">
        <v>33</v>
      </c>
      <c r="B22" s="41"/>
      <c r="C22" s="51"/>
      <c r="D22" s="51">
        <f>B22-C22</f>
        <v>0</v>
      </c>
      <c r="E22" s="51"/>
      <c r="F22" s="21"/>
      <c r="G22" s="27"/>
      <c r="H22" s="13"/>
      <c r="I22" s="13"/>
      <c r="J22" s="13"/>
      <c r="K22" s="13"/>
      <c r="L22" s="13"/>
    </row>
    <row r="23" spans="1:12" s="14" customFormat="1">
      <c r="A23" s="20" t="s">
        <v>118</v>
      </c>
      <c r="B23" s="41"/>
      <c r="C23" s="51"/>
      <c r="D23" s="51">
        <v>0</v>
      </c>
      <c r="E23" s="51"/>
      <c r="F23" s="21"/>
      <c r="G23" s="27"/>
      <c r="H23" s="13"/>
      <c r="I23" s="13"/>
      <c r="J23" s="13"/>
      <c r="K23" s="13"/>
      <c r="L23" s="13"/>
    </row>
    <row r="24" spans="1:12" s="14" customFormat="1">
      <c r="A24" s="20" t="s">
        <v>31</v>
      </c>
      <c r="B24" s="41">
        <f>661.05</f>
        <v>661.05</v>
      </c>
      <c r="C24" s="51">
        <f>205.26</f>
        <v>205.26</v>
      </c>
      <c r="D24" s="51">
        <f>B24-C24</f>
        <v>455.78999999999996</v>
      </c>
      <c r="E24" s="51"/>
      <c r="F24" s="21"/>
      <c r="G24" s="27"/>
      <c r="H24" s="13"/>
      <c r="I24" s="13"/>
      <c r="J24" s="13"/>
      <c r="K24" s="13"/>
      <c r="L24" s="13"/>
    </row>
    <row r="25" spans="1:12" s="14" customFormat="1" ht="12.75" customHeight="1">
      <c r="A25" s="20" t="s">
        <v>26</v>
      </c>
      <c r="B25" s="41"/>
      <c r="C25" s="51"/>
      <c r="D25" s="51">
        <f t="shared" si="0"/>
        <v>0</v>
      </c>
      <c r="E25" s="51"/>
      <c r="F25" s="21"/>
      <c r="G25" s="27"/>
      <c r="H25" s="23"/>
      <c r="I25" s="13"/>
      <c r="J25" s="13"/>
      <c r="K25" s="13"/>
      <c r="L25" s="13"/>
    </row>
    <row r="26" spans="1:12" s="14" customFormat="1" ht="12.75" customHeight="1">
      <c r="A26" s="81" t="s">
        <v>69</v>
      </c>
      <c r="B26" s="54">
        <f>91.29</f>
        <v>91.29</v>
      </c>
      <c r="C26" s="22">
        <v>0</v>
      </c>
      <c r="D26" s="52">
        <f t="shared" si="0"/>
        <v>91.29</v>
      </c>
      <c r="E26" s="41"/>
      <c r="F26" s="21"/>
      <c r="G26" s="90"/>
      <c r="H26" s="23"/>
      <c r="I26" s="13"/>
      <c r="J26" s="13"/>
      <c r="K26" s="13"/>
      <c r="L26" s="13"/>
    </row>
    <row r="27" spans="1:12" s="14" customFormat="1" ht="13.5" customHeight="1">
      <c r="A27" s="81" t="s">
        <v>117</v>
      </c>
      <c r="B27" s="54"/>
      <c r="C27" s="22"/>
      <c r="D27" s="52">
        <f t="shared" si="0"/>
        <v>0</v>
      </c>
      <c r="E27" s="41"/>
      <c r="F27" s="21"/>
      <c r="G27" s="90"/>
      <c r="H27" s="23"/>
      <c r="I27" s="13"/>
      <c r="J27" s="13"/>
      <c r="K27" s="13"/>
      <c r="L27" s="13"/>
    </row>
    <row r="28" spans="1:12" s="14" customFormat="1" ht="12.75" customHeight="1">
      <c r="A28" s="81" t="s">
        <v>34</v>
      </c>
      <c r="B28" s="54">
        <f>55.5</f>
        <v>55.5</v>
      </c>
      <c r="C28" s="51">
        <v>0</v>
      </c>
      <c r="D28" s="52">
        <f t="shared" si="0"/>
        <v>55.5</v>
      </c>
      <c r="E28" s="41"/>
      <c r="F28" s="134"/>
      <c r="G28" s="90"/>
      <c r="H28" s="23"/>
      <c r="I28" s="13"/>
      <c r="J28" s="13"/>
      <c r="K28" s="13"/>
      <c r="L28" s="13"/>
    </row>
    <row r="29" spans="1:12" s="14" customFormat="1" ht="13.5" thickBot="1">
      <c r="A29" s="24" t="s">
        <v>120</v>
      </c>
      <c r="B29" s="132">
        <f>242.48+583.07+564.26+469.44</f>
        <v>1859.25</v>
      </c>
      <c r="C29" s="132">
        <f>236.31+476.24+166.17+428.72</f>
        <v>1307.44</v>
      </c>
      <c r="D29" s="133">
        <f t="shared" si="0"/>
        <v>551.80999999999995</v>
      </c>
      <c r="E29" s="42"/>
      <c r="F29" s="42"/>
      <c r="G29" s="91"/>
      <c r="H29" s="13"/>
      <c r="I29" s="13"/>
      <c r="J29" s="13"/>
      <c r="K29" s="13"/>
      <c r="L29" s="13"/>
    </row>
    <row r="30" spans="1:12" s="14" customFormat="1" ht="30.75" thickBot="1">
      <c r="A30" s="25" t="s">
        <v>10</v>
      </c>
      <c r="B30" s="37" t="s">
        <v>19</v>
      </c>
      <c r="C30" s="48" t="s">
        <v>12</v>
      </c>
      <c r="D30" s="44" t="s">
        <v>11</v>
      </c>
      <c r="E30" s="37" t="s">
        <v>21</v>
      </c>
      <c r="F30" s="37" t="s">
        <v>20</v>
      </c>
      <c r="G30" s="70" t="s">
        <v>58</v>
      </c>
      <c r="H30" s="65"/>
    </row>
    <row r="31" spans="1:12" s="14" customFormat="1" ht="15.75" thickBot="1">
      <c r="A31" s="125" t="s">
        <v>23</v>
      </c>
      <c r="B31" s="38">
        <f>744.36</f>
        <v>744.36</v>
      </c>
      <c r="C31" s="47">
        <f>649.31</f>
        <v>649.30999999999995</v>
      </c>
      <c r="D31" s="46">
        <f>B31-C31</f>
        <v>95.050000000000068</v>
      </c>
      <c r="E31" s="61"/>
      <c r="F31" s="62"/>
      <c r="G31" s="26"/>
      <c r="H31" s="13"/>
      <c r="I31" s="13"/>
      <c r="J31" s="13"/>
      <c r="K31" s="13"/>
      <c r="L31" s="13"/>
    </row>
    <row r="32" spans="1:12" s="14" customFormat="1" ht="30.75" thickBot="1">
      <c r="A32" s="25" t="s">
        <v>22</v>
      </c>
      <c r="B32" s="37" t="s">
        <v>19</v>
      </c>
      <c r="C32" s="48" t="s">
        <v>12</v>
      </c>
      <c r="D32" s="44" t="s">
        <v>11</v>
      </c>
      <c r="E32" s="37" t="s">
        <v>21</v>
      </c>
      <c r="F32" s="37" t="s">
        <v>20</v>
      </c>
      <c r="G32" s="70" t="s">
        <v>58</v>
      </c>
      <c r="H32" s="65"/>
    </row>
    <row r="33" spans="1:12" s="14" customFormat="1" ht="15">
      <c r="A33" s="9" t="s">
        <v>35</v>
      </c>
      <c r="B33" s="38">
        <f>189.91</f>
        <v>189.91</v>
      </c>
      <c r="C33" s="50">
        <f>77</f>
        <v>77</v>
      </c>
      <c r="D33" s="49">
        <f>B33-C33</f>
        <v>112.91</v>
      </c>
      <c r="E33" s="82"/>
      <c r="F33" s="60"/>
      <c r="G33" s="76"/>
      <c r="H33" s="13"/>
      <c r="I33" s="13"/>
      <c r="J33" s="13"/>
      <c r="K33" s="13"/>
      <c r="L33" s="13"/>
    </row>
    <row r="34" spans="1:12" s="14" customFormat="1" ht="17.25" customHeight="1">
      <c r="A34" s="20" t="s">
        <v>38</v>
      </c>
      <c r="B34" s="41"/>
      <c r="C34" s="53"/>
      <c r="D34" s="22">
        <f>B34-C34</f>
        <v>0</v>
      </c>
      <c r="E34" s="54"/>
      <c r="F34" s="41"/>
      <c r="G34" s="27"/>
      <c r="H34" s="13"/>
      <c r="I34" s="13"/>
      <c r="J34" s="13"/>
      <c r="K34" s="13"/>
      <c r="L34" s="13"/>
    </row>
    <row r="35" spans="1:12" s="14" customFormat="1">
      <c r="A35" s="124" t="s">
        <v>70</v>
      </c>
      <c r="B35" s="41">
        <f>2446.5</f>
        <v>2446.5</v>
      </c>
      <c r="C35" s="51">
        <v>820.5</v>
      </c>
      <c r="D35" s="22">
        <f>B35-C35</f>
        <v>1626</v>
      </c>
      <c r="E35" s="54"/>
      <c r="F35" s="41"/>
      <c r="G35" s="27"/>
      <c r="H35" s="13"/>
      <c r="I35" s="13"/>
      <c r="J35" s="13"/>
      <c r="K35" s="13"/>
      <c r="L35" s="13"/>
    </row>
    <row r="36" spans="1:12" s="14" customFormat="1">
      <c r="A36" s="81" t="s">
        <v>119</v>
      </c>
      <c r="B36" s="132">
        <f>2108.69+54.22+434.34+264.39</f>
        <v>2861.64</v>
      </c>
      <c r="C36" s="132">
        <f>2115.99+33.28+434.34+264.39</f>
        <v>2848</v>
      </c>
      <c r="D36" s="133">
        <f>B36-C36</f>
        <v>13.639999999999873</v>
      </c>
      <c r="E36" s="111"/>
      <c r="F36" s="57"/>
      <c r="G36" s="112"/>
      <c r="K36" s="13"/>
      <c r="L36" s="13"/>
    </row>
    <row r="37" spans="1:12" s="14" customFormat="1" ht="13.5" thickBot="1">
      <c r="A37" s="24" t="s">
        <v>99</v>
      </c>
      <c r="B37" s="126">
        <f>10099.25</f>
        <v>10099.25</v>
      </c>
      <c r="C37" s="113">
        <f>0</f>
        <v>0</v>
      </c>
      <c r="D37" s="126">
        <f>B37</f>
        <v>10099.25</v>
      </c>
      <c r="E37" s="71"/>
      <c r="F37" s="72"/>
      <c r="G37" s="74"/>
      <c r="K37" s="13"/>
      <c r="L37" s="13"/>
    </row>
    <row r="38" spans="1:12" ht="34.5" customHeight="1" thickBot="1">
      <c r="A38" s="25" t="s">
        <v>72</v>
      </c>
      <c r="B38" s="37" t="s">
        <v>19</v>
      </c>
      <c r="C38" s="48" t="s">
        <v>12</v>
      </c>
      <c r="D38" s="44" t="s">
        <v>11</v>
      </c>
      <c r="E38" s="37" t="s">
        <v>21</v>
      </c>
      <c r="F38" s="87" t="s">
        <v>84</v>
      </c>
      <c r="G38" s="68"/>
      <c r="H38" s="13"/>
      <c r="I38" s="13"/>
      <c r="J38" s="13"/>
      <c r="K38" s="13"/>
      <c r="L38" s="13"/>
    </row>
    <row r="39" spans="1:12" ht="19.5" customHeight="1" thickBot="1">
      <c r="A39" s="9" t="s">
        <v>71</v>
      </c>
      <c r="B39" s="120"/>
      <c r="C39" s="120">
        <v>0</v>
      </c>
      <c r="D39" s="121">
        <f>B39-C39</f>
        <v>0</v>
      </c>
      <c r="E39" s="123"/>
      <c r="F39" s="122"/>
      <c r="G39" s="68"/>
    </row>
    <row r="40" spans="1:12" ht="15.75" thickBot="1">
      <c r="A40" s="25" t="s">
        <v>50</v>
      </c>
      <c r="B40" s="75" t="s">
        <v>65</v>
      </c>
      <c r="C40" s="68"/>
      <c r="D40" s="68"/>
      <c r="E40" s="68"/>
      <c r="F40" s="68"/>
      <c r="G40" s="68"/>
    </row>
    <row r="41" spans="1:12" ht="15">
      <c r="A41" s="29" t="s">
        <v>46</v>
      </c>
      <c r="B41" s="79"/>
      <c r="C41" s="68"/>
      <c r="D41" s="68"/>
      <c r="E41" s="68"/>
      <c r="F41" s="68"/>
      <c r="G41" s="68"/>
    </row>
    <row r="42" spans="1:12" ht="15">
      <c r="A42" s="29" t="s">
        <v>42</v>
      </c>
      <c r="B42" s="80"/>
      <c r="C42" s="68"/>
      <c r="D42" s="68"/>
      <c r="E42" s="68"/>
      <c r="F42" s="68"/>
      <c r="G42" s="68"/>
    </row>
    <row r="43" spans="1:12" ht="15">
      <c r="A43" s="18" t="s">
        <v>49</v>
      </c>
      <c r="B43" s="80"/>
      <c r="C43" s="68"/>
      <c r="D43" s="68"/>
      <c r="E43" s="68"/>
      <c r="F43" s="68"/>
      <c r="G43" s="68"/>
    </row>
    <row r="44" spans="1:12" ht="15">
      <c r="A44" s="29" t="s">
        <v>40</v>
      </c>
      <c r="B44" s="80"/>
      <c r="C44" s="68"/>
      <c r="D44" s="68"/>
      <c r="E44" s="68"/>
      <c r="F44" s="68"/>
      <c r="G44" s="68"/>
    </row>
    <row r="45" spans="1:12" ht="15">
      <c r="A45" s="129" t="s">
        <v>47</v>
      </c>
      <c r="B45" s="80"/>
      <c r="C45" s="68"/>
      <c r="D45" s="68"/>
      <c r="E45" s="68"/>
      <c r="F45" s="68"/>
      <c r="G45" s="68"/>
    </row>
    <row r="46" spans="1:12" ht="25.5">
      <c r="A46" s="29" t="s">
        <v>52</v>
      </c>
      <c r="B46" s="80"/>
      <c r="C46" s="68"/>
      <c r="D46" s="68"/>
      <c r="E46" s="68"/>
      <c r="F46" s="68"/>
      <c r="G46" s="68"/>
    </row>
    <row r="47" spans="1:12" ht="15">
      <c r="A47" s="29" t="s">
        <v>48</v>
      </c>
      <c r="B47" s="80"/>
      <c r="C47" s="68"/>
      <c r="D47" s="68"/>
      <c r="E47" s="68"/>
      <c r="F47" s="68"/>
      <c r="G47" s="68"/>
    </row>
    <row r="48" spans="1:12" ht="14.25" customHeight="1">
      <c r="A48" s="29" t="s">
        <v>43</v>
      </c>
      <c r="B48" s="80"/>
      <c r="C48" s="68"/>
      <c r="D48" s="68"/>
      <c r="E48" s="68"/>
      <c r="F48" s="68"/>
      <c r="G48" s="68"/>
    </row>
    <row r="49" spans="1:12" ht="14.25" customHeight="1">
      <c r="A49" s="29" t="s">
        <v>44</v>
      </c>
      <c r="B49" s="80"/>
      <c r="C49" s="68"/>
      <c r="D49" s="68"/>
      <c r="E49" s="68"/>
      <c r="F49" s="68"/>
      <c r="G49" s="68"/>
    </row>
    <row r="50" spans="1:12" ht="26.25" customHeight="1">
      <c r="A50" s="20" t="s">
        <v>45</v>
      </c>
      <c r="B50" s="80"/>
      <c r="C50" s="68"/>
      <c r="D50" s="68"/>
      <c r="E50" s="68"/>
      <c r="F50" s="68"/>
      <c r="G50" s="68"/>
    </row>
    <row r="51" spans="1:12" ht="33" customHeight="1">
      <c r="A51" s="20" t="s">
        <v>107</v>
      </c>
      <c r="B51" s="80"/>
      <c r="C51" s="68"/>
      <c r="D51" s="68"/>
      <c r="E51" s="68"/>
      <c r="F51" s="68"/>
      <c r="G51" s="68"/>
      <c r="J51" s="13"/>
      <c r="K51" s="13"/>
      <c r="L51" s="13"/>
    </row>
    <row r="52" spans="1:12" ht="32.25" customHeight="1">
      <c r="A52" s="20" t="s">
        <v>108</v>
      </c>
      <c r="B52" s="80"/>
      <c r="C52" s="68"/>
      <c r="D52" s="68"/>
      <c r="E52" s="68"/>
      <c r="F52" s="68"/>
      <c r="G52" s="68"/>
    </row>
    <row r="53" spans="1:12" ht="31.5" customHeight="1">
      <c r="A53" s="20" t="s">
        <v>109</v>
      </c>
      <c r="B53" s="80"/>
      <c r="C53" s="68"/>
      <c r="D53" s="68"/>
      <c r="E53" s="68"/>
      <c r="F53" s="68"/>
      <c r="G53" s="68"/>
    </row>
    <row r="54" spans="1:12" s="14" customFormat="1" ht="15">
      <c r="A54" s="129" t="s">
        <v>41</v>
      </c>
      <c r="B54" s="80"/>
      <c r="C54" s="68"/>
      <c r="D54" s="68"/>
      <c r="E54" s="68"/>
      <c r="F54" s="68"/>
      <c r="G54" s="68"/>
      <c r="H54" s="3"/>
      <c r="I54" s="3"/>
      <c r="J54" s="13"/>
      <c r="K54" s="13"/>
      <c r="L54" s="13"/>
    </row>
    <row r="55" spans="1:12" s="14" customFormat="1" ht="25.5">
      <c r="A55" s="29" t="s">
        <v>53</v>
      </c>
      <c r="B55" s="80"/>
      <c r="C55" s="68"/>
      <c r="D55" s="68"/>
      <c r="E55" s="68"/>
      <c r="F55" s="68"/>
      <c r="G55" s="68"/>
      <c r="H55" s="3"/>
      <c r="I55" s="3"/>
      <c r="J55" s="13"/>
      <c r="K55" s="13"/>
      <c r="L55" s="13"/>
    </row>
    <row r="56" spans="1:12" s="14" customFormat="1" ht="15">
      <c r="A56" s="29" t="s">
        <v>106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64" t="s">
        <v>39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64" t="s">
        <v>114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64" t="s">
        <v>113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ht="15">
      <c r="A60" s="81" t="s">
        <v>54</v>
      </c>
      <c r="B60" s="80"/>
      <c r="C60" s="68"/>
      <c r="D60" s="68"/>
      <c r="E60" s="68"/>
      <c r="F60" s="68"/>
      <c r="G60" s="68"/>
    </row>
    <row r="61" spans="1:12" ht="15">
      <c r="A61" s="130" t="s">
        <v>116</v>
      </c>
      <c r="B61" s="80"/>
      <c r="C61" s="68"/>
      <c r="D61" s="68"/>
      <c r="E61" s="68"/>
      <c r="F61" s="68"/>
      <c r="G61" s="68"/>
    </row>
    <row r="62" spans="1:12" ht="15">
      <c r="A62" s="131" t="s">
        <v>51</v>
      </c>
      <c r="B62" s="80"/>
      <c r="C62" s="68"/>
      <c r="D62" s="68"/>
      <c r="E62" s="68"/>
      <c r="F62" s="68"/>
      <c r="G62" s="68"/>
    </row>
    <row r="63" spans="1:12" ht="15">
      <c r="A63" s="64" t="s">
        <v>73</v>
      </c>
      <c r="B63" s="80"/>
      <c r="C63" s="68"/>
      <c r="D63" s="68"/>
      <c r="E63" s="68"/>
      <c r="F63" s="68"/>
      <c r="G63" s="68"/>
    </row>
    <row r="64" spans="1:12" ht="15">
      <c r="A64" s="64" t="s">
        <v>74</v>
      </c>
      <c r="B64" s="80"/>
      <c r="C64" s="68"/>
      <c r="D64" s="68"/>
      <c r="E64" s="68"/>
      <c r="F64" s="68"/>
      <c r="G64" s="68"/>
    </row>
    <row r="65" spans="1:12" ht="15">
      <c r="A65" s="64" t="s">
        <v>76</v>
      </c>
      <c r="B65" s="80"/>
      <c r="C65" s="68"/>
      <c r="D65" s="68"/>
      <c r="E65" s="68"/>
      <c r="F65" s="68"/>
      <c r="G65" s="68"/>
    </row>
    <row r="66" spans="1:12" ht="15">
      <c r="A66" s="64" t="s">
        <v>75</v>
      </c>
      <c r="B66" s="80"/>
      <c r="C66" s="68"/>
      <c r="D66" s="68"/>
      <c r="E66" s="68"/>
      <c r="F66" s="68"/>
      <c r="G66" s="68"/>
    </row>
    <row r="67" spans="1:12" s="14" customFormat="1" ht="15">
      <c r="A67" s="64" t="s">
        <v>77</v>
      </c>
      <c r="B67" s="80"/>
      <c r="C67" s="68"/>
      <c r="D67" s="68"/>
      <c r="E67" s="68"/>
      <c r="F67" s="68"/>
      <c r="G67" s="68"/>
      <c r="H67" s="13"/>
      <c r="I67" s="13"/>
      <c r="J67" s="3"/>
      <c r="K67" s="3"/>
      <c r="L67" s="3"/>
    </row>
    <row r="68" spans="1:12" ht="15">
      <c r="A68" s="64" t="s">
        <v>83</v>
      </c>
      <c r="B68" s="80"/>
      <c r="C68" s="68"/>
      <c r="D68" s="68"/>
      <c r="E68" s="68"/>
      <c r="F68" s="68"/>
      <c r="G68" s="68"/>
      <c r="H68" s="13"/>
      <c r="I68" s="13"/>
    </row>
    <row r="69" spans="1:12" ht="15">
      <c r="A69" s="64" t="s">
        <v>90</v>
      </c>
      <c r="B69" s="80"/>
      <c r="C69" s="68"/>
      <c r="D69" s="68"/>
      <c r="E69" s="68"/>
      <c r="F69" s="68"/>
      <c r="G69" s="68"/>
    </row>
    <row r="70" spans="1:12" ht="15">
      <c r="A70" s="64" t="s">
        <v>91</v>
      </c>
      <c r="B70" s="80"/>
      <c r="C70" s="68"/>
      <c r="D70" s="68"/>
      <c r="E70" s="68"/>
      <c r="F70" s="68"/>
      <c r="G70" s="68"/>
    </row>
    <row r="71" spans="1:12" ht="15">
      <c r="A71" s="130" t="s">
        <v>96</v>
      </c>
      <c r="B71" s="80"/>
      <c r="C71" s="68"/>
      <c r="D71" s="68"/>
      <c r="E71" s="68"/>
      <c r="F71" s="68"/>
      <c r="G71" s="68"/>
    </row>
    <row r="72" spans="1:12" ht="15">
      <c r="A72" s="110" t="s">
        <v>97</v>
      </c>
      <c r="B72" s="80"/>
      <c r="C72" s="68"/>
      <c r="D72" s="68"/>
      <c r="E72" s="68"/>
      <c r="F72" s="68"/>
    </row>
    <row r="73" spans="1:12" ht="15">
      <c r="A73" s="110" t="s">
        <v>98</v>
      </c>
      <c r="B73" s="80"/>
      <c r="C73" s="68"/>
      <c r="D73" s="68"/>
      <c r="E73" s="68"/>
      <c r="F73" s="68"/>
    </row>
    <row r="74" spans="1:12" ht="15">
      <c r="A74" s="64" t="s">
        <v>94</v>
      </c>
      <c r="B74" s="80"/>
      <c r="C74" s="36"/>
      <c r="D74" s="55"/>
      <c r="E74" s="59"/>
      <c r="F74" s="59"/>
    </row>
    <row r="75" spans="1:12" ht="15">
      <c r="A75" s="64" t="s">
        <v>95</v>
      </c>
      <c r="B75" s="80"/>
      <c r="C75" s="36"/>
      <c r="D75" s="55"/>
      <c r="E75" s="59"/>
      <c r="F75" s="59"/>
    </row>
    <row r="76" spans="1:12" ht="15">
      <c r="A76" s="94" t="s">
        <v>82</v>
      </c>
      <c r="B76" s="80"/>
      <c r="C76" s="36"/>
      <c r="D76" s="55"/>
      <c r="E76" s="59"/>
      <c r="F76" s="59"/>
    </row>
    <row r="77" spans="1:12" s="14" customFormat="1" ht="15">
      <c r="A77" s="94" t="s">
        <v>101</v>
      </c>
      <c r="B77" s="80"/>
      <c r="C77" s="36"/>
      <c r="D77" s="55"/>
      <c r="E77" s="59"/>
      <c r="F77" s="59"/>
      <c r="G77" s="58"/>
      <c r="H77" s="13"/>
      <c r="I77" s="13"/>
      <c r="J77" s="13"/>
      <c r="K77" s="13"/>
      <c r="L77" s="13"/>
    </row>
    <row r="78" spans="1:12" s="14" customFormat="1" ht="15">
      <c r="A78" s="94" t="s">
        <v>102</v>
      </c>
      <c r="B78" s="80"/>
      <c r="C78" s="36"/>
      <c r="D78" s="55"/>
      <c r="E78" s="59"/>
      <c r="F78" s="59"/>
      <c r="G78" s="30"/>
      <c r="H78" s="13"/>
      <c r="I78" s="13"/>
      <c r="J78" s="13"/>
      <c r="K78" s="13"/>
      <c r="L78" s="13"/>
    </row>
    <row r="79" spans="1:12" ht="15">
      <c r="A79" s="94" t="s">
        <v>103</v>
      </c>
      <c r="B79" s="80"/>
      <c r="C79" s="69"/>
      <c r="D79" s="58"/>
      <c r="E79" s="68"/>
      <c r="F79" s="68"/>
    </row>
    <row r="80" spans="1:12" ht="15">
      <c r="A80" s="94" t="s">
        <v>104</v>
      </c>
      <c r="B80" s="80"/>
      <c r="C80" s="58"/>
      <c r="D80" s="58"/>
      <c r="E80" s="68"/>
      <c r="F80" s="68"/>
    </row>
    <row r="81" spans="1:12" ht="15">
      <c r="A81" s="115" t="s">
        <v>112</v>
      </c>
      <c r="B81" s="80"/>
      <c r="C81" s="36"/>
      <c r="D81" s="55"/>
      <c r="E81" s="59"/>
      <c r="F81" s="59"/>
    </row>
    <row r="82" spans="1:12">
      <c r="A82" s="115" t="s">
        <v>111</v>
      </c>
      <c r="B82" s="80"/>
      <c r="C82" s="36"/>
      <c r="D82" s="55"/>
    </row>
    <row r="83" spans="1:12" ht="13.5" thickBot="1">
      <c r="A83" s="128" t="s">
        <v>110</v>
      </c>
      <c r="B83" s="96"/>
      <c r="C83" s="36"/>
      <c r="D83" s="55"/>
    </row>
    <row r="84" spans="1:12" s="36" customFormat="1" ht="13.5" thickBot="1">
      <c r="A84" s="3"/>
      <c r="D84" s="55"/>
      <c r="G84" s="33"/>
      <c r="H84" s="3"/>
      <c r="I84" s="3"/>
      <c r="J84" s="3"/>
      <c r="K84" s="3"/>
      <c r="L84" s="3"/>
    </row>
    <row r="85" spans="1:12" s="36" customFormat="1" ht="15.75" thickBot="1">
      <c r="A85" s="93" t="s">
        <v>64</v>
      </c>
      <c r="B85" s="78">
        <f>SUM(B2:B35)</f>
        <v>11885.84</v>
      </c>
      <c r="G85" s="33"/>
      <c r="H85" s="3"/>
      <c r="I85" s="3"/>
      <c r="J85" s="3"/>
      <c r="K85" s="3"/>
      <c r="L85" s="3"/>
    </row>
    <row r="86" spans="1:12" s="36" customFormat="1" ht="15.75" thickBot="1">
      <c r="A86" s="67" t="s">
        <v>55</v>
      </c>
      <c r="B86" s="28">
        <f>SUM(G2:G35)</f>
        <v>0</v>
      </c>
      <c r="G86" s="33"/>
      <c r="H86" s="3"/>
      <c r="I86" s="3"/>
      <c r="J86" s="3"/>
      <c r="K86" s="3"/>
      <c r="L86" s="3"/>
    </row>
    <row r="87" spans="1:12" s="36" customFormat="1" ht="15.75" thickBot="1">
      <c r="A87" s="86" t="s">
        <v>56</v>
      </c>
      <c r="B87" s="78">
        <f>SUM(B41:B77)</f>
        <v>0</v>
      </c>
      <c r="G87" s="33"/>
      <c r="H87" s="3"/>
      <c r="I87" s="3"/>
      <c r="J87" s="3"/>
      <c r="K87" s="3"/>
      <c r="L87" s="3"/>
    </row>
    <row r="88" spans="1:12" s="36" customFormat="1" ht="15.75" thickBot="1">
      <c r="A88" s="77" t="s">
        <v>67</v>
      </c>
      <c r="B88" s="78">
        <f>B85+B86+B87</f>
        <v>11885.84</v>
      </c>
      <c r="G88" s="33"/>
      <c r="H88" s="3"/>
      <c r="I88" s="3"/>
      <c r="J88" s="3"/>
      <c r="K88" s="3"/>
      <c r="L88" s="3"/>
    </row>
    <row r="89" spans="1:12">
      <c r="C89" s="36"/>
      <c r="D89" s="36"/>
    </row>
    <row r="90" spans="1:12">
      <c r="C90" s="36"/>
      <c r="D90" s="36"/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pane xSplit="4" ySplit="1" topLeftCell="I2" activePane="bottomRight" state="frozen"/>
      <selection pane="topRight" activeCell="E1" sqref="E1"/>
      <selection pane="bottomLeft" activeCell="A2" sqref="A2"/>
      <selection pane="bottomRight" activeCell="K6" sqref="K6"/>
    </sheetView>
  </sheetViews>
  <sheetFormatPr defaultRowHeight="12.75"/>
  <cols>
    <col min="1" max="1" width="47.140625" style="3" customWidth="1"/>
    <col min="2" max="2" width="29" style="3" hidden="1" customWidth="1"/>
    <col min="3" max="3" width="24.42578125" style="3" hidden="1" customWidth="1"/>
    <col min="4" max="4" width="24.5703125" style="3" hidden="1" customWidth="1"/>
    <col min="5" max="5" width="29" style="3" customWidth="1"/>
    <col min="6" max="6" width="24.42578125" style="3" customWidth="1"/>
    <col min="7" max="7" width="24.5703125" style="3" customWidth="1"/>
    <col min="8" max="8" width="29" style="3" customWidth="1"/>
    <col min="9" max="9" width="24.42578125" style="3" customWidth="1"/>
    <col min="10" max="10" width="24.5703125" style="3" customWidth="1"/>
    <col min="11" max="11" width="29" style="3" customWidth="1"/>
    <col min="12" max="12" width="24.42578125" style="3" customWidth="1"/>
    <col min="13" max="13" width="24.5703125" style="3" customWidth="1"/>
    <col min="14" max="16384" width="9.140625" style="3"/>
  </cols>
  <sheetData>
    <row r="1" spans="1:17" ht="46.5" customHeight="1" thickBot="1">
      <c r="A1" s="1" t="s">
        <v>15</v>
      </c>
      <c r="B1" s="1" t="s">
        <v>16</v>
      </c>
      <c r="C1" s="1" t="s">
        <v>17</v>
      </c>
      <c r="D1" s="2" t="s">
        <v>18</v>
      </c>
      <c r="E1" s="1" t="s">
        <v>224</v>
      </c>
      <c r="F1" s="1" t="s">
        <v>227</v>
      </c>
      <c r="G1" s="2" t="s">
        <v>228</v>
      </c>
      <c r="H1" s="1" t="s">
        <v>225</v>
      </c>
      <c r="I1" s="1" t="s">
        <v>229</v>
      </c>
      <c r="J1" s="2" t="s">
        <v>230</v>
      </c>
      <c r="K1" s="1" t="s">
        <v>226</v>
      </c>
      <c r="L1" s="1" t="s">
        <v>231</v>
      </c>
      <c r="M1" s="2" t="s">
        <v>232</v>
      </c>
    </row>
    <row r="2" spans="1:17" ht="53.25" customHeight="1">
      <c r="A2" s="138" t="s">
        <v>36</v>
      </c>
      <c r="B2" s="84" t="s">
        <v>121</v>
      </c>
      <c r="C2" s="84" t="s">
        <v>174</v>
      </c>
      <c r="D2" s="5" t="s">
        <v>175</v>
      </c>
      <c r="E2" s="5"/>
      <c r="F2" s="5"/>
      <c r="G2" s="5"/>
      <c r="H2" s="5" t="s">
        <v>333</v>
      </c>
      <c r="I2" s="5" t="s">
        <v>334</v>
      </c>
      <c r="J2" s="5" t="s">
        <v>241</v>
      </c>
      <c r="K2" s="5" t="s">
        <v>275</v>
      </c>
      <c r="L2" s="5" t="s">
        <v>276</v>
      </c>
      <c r="M2" s="5" t="s">
        <v>238</v>
      </c>
    </row>
    <row r="3" spans="1:17" ht="53.25" customHeight="1">
      <c r="A3" s="138" t="s">
        <v>28</v>
      </c>
      <c r="B3" s="5"/>
      <c r="C3" s="5"/>
      <c r="D3" s="5"/>
      <c r="E3" s="5"/>
      <c r="F3" s="5"/>
      <c r="G3" s="5"/>
      <c r="H3" s="5" t="s">
        <v>313</v>
      </c>
      <c r="I3" s="5" t="s">
        <v>314</v>
      </c>
      <c r="J3" s="5" t="s">
        <v>266</v>
      </c>
      <c r="K3" s="5" t="s">
        <v>252</v>
      </c>
      <c r="L3" s="5" t="s">
        <v>253</v>
      </c>
      <c r="M3" s="5" t="s">
        <v>184</v>
      </c>
      <c r="N3" s="152"/>
      <c r="O3" s="150"/>
      <c r="P3" s="153"/>
      <c r="Q3"/>
    </row>
    <row r="4" spans="1:17" ht="53.25" customHeight="1">
      <c r="A4" s="139" t="s">
        <v>296</v>
      </c>
      <c r="B4" s="109"/>
      <c r="C4" s="136"/>
      <c r="D4" s="5"/>
      <c r="E4" s="109"/>
      <c r="F4" s="136"/>
      <c r="G4" s="5"/>
      <c r="H4" s="163" t="s">
        <v>354</v>
      </c>
      <c r="I4" s="5" t="s">
        <v>355</v>
      </c>
      <c r="J4" s="5" t="s">
        <v>184</v>
      </c>
      <c r="K4" s="5" t="s">
        <v>297</v>
      </c>
      <c r="L4" s="5" t="s">
        <v>298</v>
      </c>
      <c r="M4" s="5" t="s">
        <v>241</v>
      </c>
    </row>
    <row r="5" spans="1:17" ht="53.25" customHeight="1">
      <c r="A5" s="64" t="s">
        <v>60</v>
      </c>
      <c r="B5" s="5"/>
      <c r="C5" s="5"/>
      <c r="D5" s="5"/>
      <c r="E5" s="5"/>
      <c r="F5" s="5"/>
      <c r="G5" s="5"/>
      <c r="H5" s="5" t="s">
        <v>310</v>
      </c>
      <c r="I5" s="5" t="s">
        <v>253</v>
      </c>
      <c r="J5" s="5" t="s">
        <v>241</v>
      </c>
      <c r="K5" s="5" t="s">
        <v>248</v>
      </c>
      <c r="L5" s="5" t="s">
        <v>249</v>
      </c>
      <c r="M5" s="5" t="s">
        <v>238</v>
      </c>
      <c r="N5" s="150"/>
      <c r="O5" s="150"/>
      <c r="P5" s="150"/>
      <c r="Q5" s="153"/>
    </row>
    <row r="6" spans="1:17" ht="53.25" customHeight="1">
      <c r="A6" s="64" t="s">
        <v>290</v>
      </c>
      <c r="B6" s="5"/>
      <c r="C6" s="5"/>
      <c r="D6" s="5"/>
      <c r="E6" s="5"/>
      <c r="F6" s="5"/>
      <c r="G6" s="5"/>
      <c r="H6" s="5" t="s">
        <v>348</v>
      </c>
      <c r="I6" s="5" t="s">
        <v>349</v>
      </c>
      <c r="J6" s="5" t="s">
        <v>184</v>
      </c>
      <c r="K6" s="5" t="s">
        <v>291</v>
      </c>
      <c r="L6" s="5" t="s">
        <v>253</v>
      </c>
      <c r="M6" s="5" t="s">
        <v>272</v>
      </c>
      <c r="N6" s="150"/>
      <c r="O6" s="150"/>
      <c r="P6" s="150"/>
      <c r="Q6" s="153"/>
    </row>
    <row r="7" spans="1:17" ht="53.25" customHeight="1">
      <c r="A7" s="64" t="s">
        <v>100</v>
      </c>
      <c r="B7" s="5"/>
      <c r="C7" s="5"/>
      <c r="D7" s="5"/>
      <c r="E7" s="5"/>
      <c r="F7" s="5"/>
      <c r="G7" s="5"/>
      <c r="H7" s="163" t="s">
        <v>335</v>
      </c>
      <c r="I7" s="5" t="s">
        <v>336</v>
      </c>
      <c r="J7" s="5" t="s">
        <v>241</v>
      </c>
      <c r="K7" s="163" t="s">
        <v>277</v>
      </c>
      <c r="L7" s="5" t="s">
        <v>278</v>
      </c>
      <c r="M7" s="5" t="s">
        <v>238</v>
      </c>
    </row>
    <row r="8" spans="1:17" ht="53.25" customHeight="1">
      <c r="A8" s="139" t="s">
        <v>29</v>
      </c>
      <c r="B8" s="5"/>
      <c r="C8" s="135"/>
      <c r="D8" s="5"/>
      <c r="E8" s="5"/>
      <c r="F8" s="5"/>
      <c r="G8" s="5"/>
      <c r="H8" s="5" t="s">
        <v>315</v>
      </c>
      <c r="I8" s="5" t="s">
        <v>253</v>
      </c>
      <c r="J8" s="5" t="s">
        <v>241</v>
      </c>
      <c r="K8" s="5" t="s">
        <v>254</v>
      </c>
      <c r="L8" s="5" t="s">
        <v>255</v>
      </c>
      <c r="M8" s="5" t="s">
        <v>184</v>
      </c>
    </row>
    <row r="9" spans="1:17" ht="53.25" customHeight="1">
      <c r="A9" s="139" t="s">
        <v>92</v>
      </c>
      <c r="B9" s="5"/>
      <c r="C9" s="135"/>
      <c r="D9" s="5"/>
      <c r="E9" s="5"/>
      <c r="F9" s="5"/>
      <c r="G9" s="5"/>
      <c r="H9" s="5" t="s">
        <v>320</v>
      </c>
      <c r="I9" s="5" t="s">
        <v>253</v>
      </c>
      <c r="J9" s="5" t="s">
        <v>184</v>
      </c>
      <c r="K9" s="5" t="s">
        <v>260</v>
      </c>
      <c r="L9" s="5" t="s">
        <v>253</v>
      </c>
      <c r="M9" s="5" t="s">
        <v>241</v>
      </c>
    </row>
    <row r="10" spans="1:17" ht="53.25" customHeight="1">
      <c r="A10" s="139" t="s">
        <v>37</v>
      </c>
      <c r="B10" s="5"/>
      <c r="C10" s="135"/>
      <c r="D10" s="114"/>
      <c r="E10" s="5"/>
      <c r="F10" s="5"/>
      <c r="G10" s="5"/>
      <c r="H10" s="163" t="s">
        <v>342</v>
      </c>
      <c r="I10" s="163" t="s">
        <v>343</v>
      </c>
      <c r="J10" s="5" t="s">
        <v>241</v>
      </c>
      <c r="K10" s="5" t="s">
        <v>284</v>
      </c>
      <c r="L10" s="5" t="s">
        <v>253</v>
      </c>
      <c r="M10" s="5" t="s">
        <v>241</v>
      </c>
    </row>
    <row r="11" spans="1:17" ht="53.25" customHeight="1">
      <c r="A11" s="139" t="s">
        <v>68</v>
      </c>
      <c r="B11" s="5"/>
      <c r="C11" s="135"/>
      <c r="D11" s="85"/>
      <c r="E11" s="5"/>
      <c r="F11" s="5"/>
      <c r="G11" s="5"/>
      <c r="H11" s="163" t="s">
        <v>339</v>
      </c>
      <c r="I11" s="5" t="s">
        <v>340</v>
      </c>
      <c r="J11" s="5" t="s">
        <v>341</v>
      </c>
      <c r="K11" s="163" t="s">
        <v>281</v>
      </c>
      <c r="L11" s="163" t="s">
        <v>282</v>
      </c>
      <c r="M11" s="5" t="s">
        <v>283</v>
      </c>
    </row>
    <row r="12" spans="1:17" ht="53.25" customHeight="1">
      <c r="A12" s="139" t="s">
        <v>122</v>
      </c>
      <c r="B12" s="5"/>
      <c r="C12" s="135"/>
      <c r="D12" s="5"/>
      <c r="E12" s="5"/>
      <c r="F12" s="135"/>
      <c r="G12" s="5"/>
      <c r="H12" s="5" t="s">
        <v>332</v>
      </c>
      <c r="I12" s="5" t="s">
        <v>253</v>
      </c>
      <c r="J12" s="5" t="s">
        <v>241</v>
      </c>
      <c r="K12" s="5" t="s">
        <v>273</v>
      </c>
      <c r="L12" s="5" t="s">
        <v>274</v>
      </c>
      <c r="M12" s="5" t="s">
        <v>241</v>
      </c>
    </row>
    <row r="13" spans="1:17" ht="53.25" customHeight="1">
      <c r="A13" s="139" t="s">
        <v>168</v>
      </c>
      <c r="B13" s="5"/>
      <c r="C13" s="135"/>
      <c r="D13" s="5"/>
      <c r="E13" s="5"/>
      <c r="F13" s="135"/>
      <c r="G13" s="5"/>
      <c r="H13" s="5" t="s">
        <v>321</v>
      </c>
      <c r="I13" s="5" t="s">
        <v>253</v>
      </c>
      <c r="J13" s="5" t="s">
        <v>322</v>
      </c>
      <c r="K13" s="5" t="s">
        <v>261</v>
      </c>
      <c r="L13" s="5" t="s">
        <v>253</v>
      </c>
      <c r="M13" s="5" t="s">
        <v>241</v>
      </c>
    </row>
    <row r="14" spans="1:17" ht="53.25" customHeight="1">
      <c r="A14" s="139" t="s">
        <v>115</v>
      </c>
      <c r="B14" s="5"/>
      <c r="C14" s="135"/>
      <c r="D14" s="5"/>
      <c r="E14" s="5"/>
      <c r="F14" s="135"/>
      <c r="G14" s="5"/>
      <c r="H14" s="5" t="s">
        <v>352</v>
      </c>
      <c r="I14" s="5" t="s">
        <v>353</v>
      </c>
      <c r="J14" s="5" t="s">
        <v>241</v>
      </c>
      <c r="K14" s="5" t="s">
        <v>294</v>
      </c>
      <c r="L14" s="5" t="s">
        <v>295</v>
      </c>
      <c r="M14" s="5" t="s">
        <v>241</v>
      </c>
    </row>
    <row r="15" spans="1:17" ht="53.25" customHeight="1">
      <c r="A15" s="139" t="s">
        <v>123</v>
      </c>
      <c r="B15" s="5"/>
      <c r="C15" s="135"/>
      <c r="D15" s="5"/>
      <c r="E15" s="5"/>
      <c r="F15" s="135"/>
      <c r="G15" s="5"/>
      <c r="H15" s="5" t="s">
        <v>311</v>
      </c>
      <c r="I15" s="163" t="s">
        <v>312</v>
      </c>
      <c r="J15" s="5" t="s">
        <v>241</v>
      </c>
      <c r="K15" s="5" t="s">
        <v>250</v>
      </c>
      <c r="L15" s="5" t="s">
        <v>251</v>
      </c>
      <c r="M15" s="5" t="s">
        <v>241</v>
      </c>
    </row>
    <row r="16" spans="1:17" ht="53.25" customHeight="1">
      <c r="A16" s="139" t="s">
        <v>78</v>
      </c>
      <c r="B16" s="5"/>
      <c r="C16" s="135"/>
      <c r="D16" s="5"/>
      <c r="E16" s="5"/>
      <c r="F16" s="135"/>
      <c r="G16" s="5"/>
      <c r="H16" s="5" t="s">
        <v>337</v>
      </c>
      <c r="I16" s="5" t="s">
        <v>338</v>
      </c>
      <c r="J16" s="5" t="s">
        <v>241</v>
      </c>
      <c r="K16" s="5" t="s">
        <v>279</v>
      </c>
      <c r="L16" s="5" t="s">
        <v>280</v>
      </c>
      <c r="M16" s="5" t="s">
        <v>241</v>
      </c>
    </row>
    <row r="17" spans="1:13" ht="53.25" customHeight="1">
      <c r="A17" s="139" t="s">
        <v>93</v>
      </c>
      <c r="B17" s="5"/>
      <c r="C17" s="135"/>
      <c r="D17" s="5"/>
      <c r="E17" s="5"/>
      <c r="F17" s="135"/>
      <c r="G17" s="5"/>
      <c r="H17" s="5" t="s">
        <v>327</v>
      </c>
      <c r="I17" s="5" t="s">
        <v>253</v>
      </c>
      <c r="J17" s="5" t="s">
        <v>241</v>
      </c>
      <c r="K17" s="5" t="s">
        <v>267</v>
      </c>
      <c r="L17" s="5" t="s">
        <v>253</v>
      </c>
      <c r="M17" s="5" t="s">
        <v>241</v>
      </c>
    </row>
    <row r="18" spans="1:13" ht="53.25" customHeight="1">
      <c r="A18" s="64" t="s">
        <v>24</v>
      </c>
      <c r="B18" s="5"/>
      <c r="C18" s="135"/>
      <c r="D18" s="5"/>
      <c r="E18" s="5"/>
      <c r="F18" s="135"/>
      <c r="G18" s="5"/>
      <c r="H18" s="5" t="s">
        <v>301</v>
      </c>
      <c r="I18" s="5" t="s">
        <v>302</v>
      </c>
      <c r="J18" s="5" t="s">
        <v>241</v>
      </c>
      <c r="K18" s="5" t="s">
        <v>236</v>
      </c>
      <c r="L18" s="5" t="s">
        <v>237</v>
      </c>
      <c r="M18" s="5" t="s">
        <v>238</v>
      </c>
    </row>
    <row r="19" spans="1:13" ht="53.25" customHeight="1">
      <c r="A19" s="64" t="s">
        <v>25</v>
      </c>
      <c r="B19" s="109"/>
      <c r="C19" s="136"/>
      <c r="D19" s="5"/>
      <c r="E19" s="5"/>
      <c r="F19" s="5"/>
      <c r="G19" s="5"/>
      <c r="H19" s="163" t="s">
        <v>305</v>
      </c>
      <c r="I19" s="5" t="s">
        <v>306</v>
      </c>
      <c r="J19" s="5" t="s">
        <v>272</v>
      </c>
      <c r="K19" s="5" t="s">
        <v>242</v>
      </c>
      <c r="L19" s="5" t="s">
        <v>243</v>
      </c>
      <c r="M19" s="5" t="s">
        <v>184</v>
      </c>
    </row>
    <row r="20" spans="1:13" ht="53.25" customHeight="1">
      <c r="A20" s="64" t="s">
        <v>169</v>
      </c>
      <c r="B20" s="109"/>
      <c r="C20" s="136"/>
      <c r="D20" s="5"/>
      <c r="E20" s="5"/>
      <c r="F20" s="5"/>
      <c r="G20" s="5"/>
      <c r="H20" s="5" t="s">
        <v>303</v>
      </c>
      <c r="I20" s="5" t="s">
        <v>304</v>
      </c>
      <c r="J20" s="5" t="s">
        <v>241</v>
      </c>
      <c r="K20" s="5" t="s">
        <v>239</v>
      </c>
      <c r="L20" s="5" t="s">
        <v>240</v>
      </c>
      <c r="M20" s="5" t="s">
        <v>241</v>
      </c>
    </row>
    <row r="21" spans="1:13" ht="53.25" customHeight="1">
      <c r="A21" s="64" t="s">
        <v>59</v>
      </c>
      <c r="B21" s="5"/>
      <c r="C21" s="135"/>
      <c r="D21" s="5"/>
      <c r="E21" s="5"/>
      <c r="F21" s="135"/>
      <c r="G21" s="5"/>
      <c r="H21" s="5" t="s">
        <v>309</v>
      </c>
      <c r="I21" s="5" t="s">
        <v>247</v>
      </c>
      <c r="J21" s="5" t="s">
        <v>241</v>
      </c>
      <c r="K21" s="5" t="s">
        <v>246</v>
      </c>
      <c r="L21" s="5" t="s">
        <v>247</v>
      </c>
      <c r="M21" s="5" t="s">
        <v>241</v>
      </c>
    </row>
    <row r="22" spans="1:13" ht="53.25" customHeight="1">
      <c r="A22" s="64" t="s">
        <v>105</v>
      </c>
      <c r="B22" s="109"/>
      <c r="C22" s="136"/>
      <c r="D22" s="5"/>
      <c r="E22" s="109"/>
      <c r="F22" s="136"/>
      <c r="G22" s="5"/>
      <c r="H22" s="158"/>
      <c r="I22" s="156"/>
      <c r="J22" s="156"/>
      <c r="K22" s="109"/>
      <c r="L22" s="136"/>
      <c r="M22" s="5"/>
    </row>
    <row r="23" spans="1:13" ht="53.25" customHeight="1">
      <c r="A23" s="64" t="s">
        <v>32</v>
      </c>
      <c r="B23" s="109"/>
      <c r="C23" s="136"/>
      <c r="D23" s="5"/>
      <c r="E23" s="109"/>
      <c r="F23" s="136"/>
      <c r="G23" s="5"/>
      <c r="H23" s="5" t="s">
        <v>323</v>
      </c>
      <c r="I23" s="5" t="s">
        <v>324</v>
      </c>
      <c r="J23" s="5" t="s">
        <v>241</v>
      </c>
      <c r="K23" s="5" t="s">
        <v>262</v>
      </c>
      <c r="L23" s="5" t="s">
        <v>263</v>
      </c>
      <c r="M23" s="5" t="s">
        <v>238</v>
      </c>
    </row>
    <row r="24" spans="1:13" ht="53.25" customHeight="1">
      <c r="A24" s="139" t="s">
        <v>33</v>
      </c>
      <c r="B24" s="109"/>
      <c r="C24" s="136"/>
      <c r="D24" s="5"/>
      <c r="E24" s="5"/>
      <c r="F24" s="5"/>
      <c r="G24" s="5"/>
      <c r="H24" s="5" t="s">
        <v>325</v>
      </c>
      <c r="I24" s="5" t="s">
        <v>326</v>
      </c>
      <c r="J24" s="5" t="s">
        <v>241</v>
      </c>
      <c r="K24" s="5" t="s">
        <v>264</v>
      </c>
      <c r="L24" s="5" t="s">
        <v>265</v>
      </c>
      <c r="M24" s="5" t="s">
        <v>266</v>
      </c>
    </row>
    <row r="25" spans="1:13" ht="53.25" customHeight="1">
      <c r="A25" s="139" t="s">
        <v>287</v>
      </c>
      <c r="B25" s="109"/>
      <c r="C25" s="136"/>
      <c r="D25" s="5"/>
      <c r="E25" s="109"/>
      <c r="F25" s="136"/>
      <c r="G25" s="5"/>
      <c r="H25" s="5" t="s">
        <v>346</v>
      </c>
      <c r="I25" s="5" t="s">
        <v>347</v>
      </c>
      <c r="J25" s="5" t="s">
        <v>241</v>
      </c>
      <c r="K25" s="5" t="s">
        <v>288</v>
      </c>
      <c r="L25" s="5" t="s">
        <v>289</v>
      </c>
      <c r="M25" s="5" t="s">
        <v>241</v>
      </c>
    </row>
    <row r="26" spans="1:13" ht="53.25" customHeight="1">
      <c r="A26" s="139" t="s">
        <v>31</v>
      </c>
      <c r="B26" s="5"/>
      <c r="C26" s="135"/>
      <c r="D26" s="5"/>
      <c r="E26" s="109"/>
      <c r="F26" s="136"/>
      <c r="G26" s="5"/>
      <c r="H26" s="5" t="s">
        <v>318</v>
      </c>
      <c r="I26" s="5" t="s">
        <v>319</v>
      </c>
      <c r="J26" s="5" t="s">
        <v>241</v>
      </c>
      <c r="K26" s="5" t="s">
        <v>258</v>
      </c>
      <c r="L26" s="5" t="s">
        <v>259</v>
      </c>
      <c r="M26" s="5" t="s">
        <v>241</v>
      </c>
    </row>
    <row r="27" spans="1:13" ht="53.25" customHeight="1">
      <c r="A27" s="139" t="s">
        <v>69</v>
      </c>
      <c r="B27" s="109"/>
      <c r="C27" s="136"/>
      <c r="D27" s="5"/>
      <c r="E27" s="5"/>
      <c r="F27" s="5"/>
      <c r="G27" s="5"/>
      <c r="H27" s="163" t="s">
        <v>316</v>
      </c>
      <c r="I27" s="5" t="s">
        <v>317</v>
      </c>
      <c r="J27" s="5" t="s">
        <v>241</v>
      </c>
      <c r="K27" s="163" t="s">
        <v>256</v>
      </c>
      <c r="L27" s="5" t="s">
        <v>257</v>
      </c>
      <c r="M27" s="5" t="s">
        <v>241</v>
      </c>
    </row>
    <row r="28" spans="1:13" ht="53.25" customHeight="1">
      <c r="A28" s="140" t="s">
        <v>117</v>
      </c>
      <c r="B28" s="109"/>
      <c r="C28" s="136"/>
      <c r="D28" s="5"/>
      <c r="E28" s="109"/>
      <c r="F28" s="136"/>
      <c r="G28" s="5"/>
      <c r="H28" s="5" t="s">
        <v>350</v>
      </c>
      <c r="I28" s="5" t="s">
        <v>351</v>
      </c>
      <c r="J28" s="5" t="s">
        <v>241</v>
      </c>
      <c r="K28" s="5" t="s">
        <v>292</v>
      </c>
      <c r="L28" s="5" t="s">
        <v>293</v>
      </c>
      <c r="M28" s="5" t="s">
        <v>241</v>
      </c>
    </row>
    <row r="29" spans="1:13" ht="53.25" customHeight="1">
      <c r="A29" s="160" t="s">
        <v>34</v>
      </c>
      <c r="B29" s="109"/>
      <c r="C29" s="136"/>
      <c r="D29" s="5"/>
      <c r="E29" s="109"/>
      <c r="F29" s="136"/>
      <c r="G29" s="5"/>
      <c r="H29" s="5" t="s">
        <v>328</v>
      </c>
      <c r="I29" s="5" t="s">
        <v>329</v>
      </c>
      <c r="J29" s="5" t="s">
        <v>241</v>
      </c>
      <c r="K29" s="5" t="s">
        <v>268</v>
      </c>
      <c r="L29" s="5" t="s">
        <v>269</v>
      </c>
      <c r="M29" s="5" t="s">
        <v>184</v>
      </c>
    </row>
    <row r="30" spans="1:13" ht="53.25" customHeight="1">
      <c r="A30" s="138" t="s">
        <v>23</v>
      </c>
      <c r="B30" s="109"/>
      <c r="C30" s="136"/>
      <c r="D30" s="5"/>
      <c r="E30" s="109"/>
      <c r="F30" s="136"/>
      <c r="G30" s="5"/>
      <c r="H30" s="5" t="s">
        <v>299</v>
      </c>
      <c r="I30" s="5" t="s">
        <v>300</v>
      </c>
      <c r="J30" s="5" t="s">
        <v>241</v>
      </c>
      <c r="K30" s="163" t="s">
        <v>233</v>
      </c>
      <c r="L30" s="5" t="s">
        <v>234</v>
      </c>
      <c r="M30" s="5" t="s">
        <v>235</v>
      </c>
    </row>
    <row r="31" spans="1:13" ht="53.25" customHeight="1">
      <c r="A31" s="138" t="s">
        <v>35</v>
      </c>
      <c r="B31" s="109"/>
      <c r="C31" s="136"/>
      <c r="D31" s="5"/>
      <c r="E31" s="5"/>
      <c r="F31" s="5"/>
      <c r="G31" s="5"/>
      <c r="H31" s="163" t="s">
        <v>330</v>
      </c>
      <c r="I31" s="5" t="s">
        <v>331</v>
      </c>
      <c r="J31" s="5" t="s">
        <v>184</v>
      </c>
      <c r="K31" s="5" t="s">
        <v>270</v>
      </c>
      <c r="L31" s="5" t="s">
        <v>271</v>
      </c>
      <c r="M31" s="5" t="s">
        <v>272</v>
      </c>
    </row>
    <row r="32" spans="1:13" ht="53.25" customHeight="1">
      <c r="A32" s="139" t="s">
        <v>38</v>
      </c>
      <c r="B32" s="109"/>
      <c r="C32" s="136"/>
      <c r="D32" s="5"/>
      <c r="E32" s="5"/>
      <c r="F32" s="5"/>
      <c r="G32" s="5"/>
      <c r="H32" s="5" t="s">
        <v>344</v>
      </c>
      <c r="I32" s="5" t="s">
        <v>345</v>
      </c>
      <c r="J32" s="5" t="s">
        <v>266</v>
      </c>
      <c r="K32" s="5" t="s">
        <v>285</v>
      </c>
      <c r="L32" s="5" t="s">
        <v>286</v>
      </c>
      <c r="M32" s="5" t="s">
        <v>241</v>
      </c>
    </row>
    <row r="33" spans="1:13" ht="53.25" customHeight="1" thickBot="1">
      <c r="A33" s="141" t="s">
        <v>70</v>
      </c>
      <c r="B33" s="109"/>
      <c r="C33" s="136"/>
      <c r="D33" s="5"/>
      <c r="E33" s="155"/>
      <c r="F33" s="155"/>
      <c r="G33" s="155"/>
      <c r="H33" s="164" t="s">
        <v>307</v>
      </c>
      <c r="I33" s="155" t="s">
        <v>308</v>
      </c>
      <c r="J33" s="155" t="s">
        <v>241</v>
      </c>
      <c r="K33" s="164" t="s">
        <v>244</v>
      </c>
      <c r="L33" s="155" t="s">
        <v>245</v>
      </c>
      <c r="M33" s="155" t="s">
        <v>184</v>
      </c>
    </row>
    <row r="34" spans="1:13">
      <c r="A34" s="4"/>
    </row>
    <row r="35" spans="1:13">
      <c r="H35" s="150"/>
      <c r="I35" s="152"/>
      <c r="J35" s="150"/>
    </row>
    <row r="36" spans="1:13">
      <c r="B36"/>
      <c r="C36"/>
      <c r="D36"/>
      <c r="E36" s="150"/>
      <c r="F36" s="152"/>
      <c r="G36" s="150"/>
      <c r="H36" s="150"/>
      <c r="I36" s="152"/>
      <c r="J36" s="150"/>
      <c r="K36" s="150"/>
      <c r="L36" s="152"/>
      <c r="M36" s="150"/>
    </row>
    <row r="37" spans="1:13">
      <c r="E37" s="154"/>
      <c r="F37" s="150"/>
      <c r="G37" s="150"/>
      <c r="H37" s="154"/>
      <c r="I37" s="151"/>
      <c r="J37" s="150"/>
      <c r="K37" s="154"/>
      <c r="L37" s="150"/>
      <c r="M37" s="150"/>
    </row>
    <row r="38" spans="1:13">
      <c r="E38" s="154"/>
      <c r="F38" s="150"/>
      <c r="G38" s="150"/>
      <c r="H38" s="154"/>
      <c r="I38" s="150"/>
      <c r="J38" s="150"/>
      <c r="K38" s="154"/>
      <c r="L38" s="150"/>
      <c r="M38" s="150"/>
    </row>
    <row r="39" spans="1:13">
      <c r="H39" s="154"/>
      <c r="I39" s="150"/>
      <c r="J39" s="152"/>
    </row>
    <row r="40" spans="1:13">
      <c r="H40" s="154"/>
      <c r="I40" s="150"/>
      <c r="J40" s="15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00"/>
  <sheetViews>
    <sheetView topLeftCell="A4" workbookViewId="0">
      <selection activeCell="B27" sqref="B27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1207.91+7.77</f>
        <v>1215.68</v>
      </c>
      <c r="C2" s="38">
        <f>1053.61+7.77</f>
        <v>1061.3799999999999</v>
      </c>
      <c r="D2" s="108">
        <f>B2-C2</f>
        <v>154.30000000000018</v>
      </c>
      <c r="E2" s="63"/>
      <c r="F2" s="38"/>
      <c r="G2" s="10">
        <v>64.36</v>
      </c>
    </row>
    <row r="3" spans="1:12" s="14" customFormat="1" ht="13.5" thickBot="1">
      <c r="A3" s="11" t="s">
        <v>28</v>
      </c>
      <c r="B3" s="39">
        <v>186.4</v>
      </c>
      <c r="C3" s="39">
        <v>0</v>
      </c>
      <c r="D3" s="73">
        <f>B3-C3</f>
        <v>186.4</v>
      </c>
      <c r="E3" s="39"/>
      <c r="F3" s="39"/>
      <c r="G3" s="12">
        <v>87.36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17" si="0">B5-C5</f>
        <v>0</v>
      </c>
      <c r="E5" s="51"/>
      <c r="F5" s="21"/>
      <c r="G5" s="88">
        <v>8.16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15.88+196.17+160.5</f>
        <v>372.54999999999995</v>
      </c>
      <c r="C6" s="51">
        <f>15.88+282.3+90</f>
        <v>388.18</v>
      </c>
      <c r="D6" s="51">
        <f>B6-C6</f>
        <v>-15.630000000000052</v>
      </c>
      <c r="E6" s="51"/>
      <c r="F6" s="21"/>
      <c r="G6" s="88">
        <v>1032.8399999999999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8.34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0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/>
      <c r="C9" s="51"/>
      <c r="D9" s="51">
        <f>B9-C9</f>
        <v>0</v>
      </c>
      <c r="E9" s="51"/>
      <c r="F9" s="21"/>
      <c r="G9" s="27">
        <v>11.42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/>
      <c r="C10" s="51"/>
      <c r="D10" s="51">
        <f t="shared" si="0"/>
        <v>0</v>
      </c>
      <c r="E10" s="51"/>
      <c r="F10" s="21"/>
      <c r="G10" s="27">
        <v>102.7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1.1200000000000001</v>
      </c>
      <c r="H11" s="13"/>
      <c r="I11" s="13"/>
      <c r="J11" s="13"/>
      <c r="K11" s="13"/>
      <c r="L11" s="13"/>
    </row>
    <row r="12" spans="1:12" s="14" customFormat="1">
      <c r="A12" s="20" t="s">
        <v>168</v>
      </c>
      <c r="B12" s="41">
        <v>295</v>
      </c>
      <c r="C12" s="51">
        <v>0</v>
      </c>
      <c r="D12" s="51">
        <f t="shared" si="0"/>
        <v>295</v>
      </c>
      <c r="E12" s="51"/>
      <c r="F12" s="21"/>
      <c r="G12" s="27">
        <v>105.87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0.15</v>
      </c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>
        <v>339</v>
      </c>
      <c r="C14" s="51">
        <v>339</v>
      </c>
      <c r="D14" s="51">
        <f t="shared" si="0"/>
        <v>0</v>
      </c>
      <c r="E14" s="51"/>
      <c r="F14" s="21"/>
      <c r="G14" s="27">
        <v>23.68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8.83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23.4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0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v>638.72</v>
      </c>
      <c r="C18" s="51">
        <v>638.72</v>
      </c>
      <c r="D18" s="51">
        <f t="shared" ref="D18:D28" si="1">B18-C18</f>
        <v>0</v>
      </c>
      <c r="E18" s="51"/>
      <c r="F18" s="22"/>
      <c r="G18" s="89">
        <v>132.66</v>
      </c>
      <c r="H18" s="13"/>
      <c r="I18" s="13"/>
      <c r="J18" s="13"/>
      <c r="K18" s="13"/>
      <c r="L18" s="13"/>
    </row>
    <row r="19" spans="1:12" s="14" customFormat="1">
      <c r="A19" s="18" t="s">
        <v>169</v>
      </c>
      <c r="B19" s="40"/>
      <c r="C19" s="51"/>
      <c r="D19" s="51">
        <f t="shared" si="1"/>
        <v>0</v>
      </c>
      <c r="E19" s="51"/>
      <c r="F19" s="22"/>
      <c r="G19" s="89">
        <v>0</v>
      </c>
      <c r="H19" s="13"/>
      <c r="I19" s="13"/>
      <c r="J19" s="13"/>
      <c r="K19" s="13"/>
      <c r="L19" s="13"/>
    </row>
    <row r="20" spans="1:12" s="14" customFormat="1">
      <c r="A20" s="18" t="s">
        <v>59</v>
      </c>
      <c r="B20" s="40"/>
      <c r="C20" s="51"/>
      <c r="D20" s="51">
        <f t="shared" si="1"/>
        <v>0</v>
      </c>
      <c r="E20" s="51"/>
      <c r="F20" s="19"/>
      <c r="G20" s="89">
        <v>25.17</v>
      </c>
      <c r="H20" s="13"/>
      <c r="I20" s="13"/>
      <c r="J20" s="13"/>
      <c r="K20" s="13"/>
      <c r="L20" s="13"/>
    </row>
    <row r="21" spans="1:12" s="14" customFormat="1">
      <c r="A21" s="18" t="s">
        <v>105</v>
      </c>
      <c r="B21" s="40"/>
      <c r="C21" s="51"/>
      <c r="D21" s="51">
        <f t="shared" si="1"/>
        <v>0</v>
      </c>
      <c r="E21" s="51"/>
      <c r="F21" s="19"/>
      <c r="G21" s="89">
        <v>0.17</v>
      </c>
      <c r="H21" s="13"/>
      <c r="I21" s="13"/>
      <c r="J21" s="13"/>
      <c r="K21" s="13"/>
      <c r="L21" s="13"/>
    </row>
    <row r="22" spans="1:12" s="14" customFormat="1">
      <c r="A22" s="18" t="s">
        <v>32</v>
      </c>
      <c r="B22" s="40">
        <f>85.9</f>
        <v>85.9</v>
      </c>
      <c r="C22" s="51">
        <v>0</v>
      </c>
      <c r="D22" s="51">
        <f t="shared" si="1"/>
        <v>85.9</v>
      </c>
      <c r="E22" s="51"/>
      <c r="F22" s="21"/>
      <c r="G22" s="88">
        <v>360.28</v>
      </c>
      <c r="H22" s="13"/>
      <c r="I22" s="13"/>
      <c r="J22" s="13"/>
      <c r="K22" s="13"/>
      <c r="L22" s="13"/>
    </row>
    <row r="23" spans="1:12" s="14" customFormat="1">
      <c r="A23" s="20" t="s">
        <v>33</v>
      </c>
      <c r="B23" s="41">
        <f>617.87+94.8+653.24+455.36</f>
        <v>1821.27</v>
      </c>
      <c r="C23" s="51">
        <f>617.87+63.7+656.47+407.4</f>
        <v>1745.44</v>
      </c>
      <c r="D23" s="51">
        <f t="shared" si="1"/>
        <v>75.829999999999927</v>
      </c>
      <c r="E23" s="51"/>
      <c r="F23" s="21"/>
      <c r="G23" s="27">
        <v>594.61</v>
      </c>
      <c r="H23" s="13"/>
      <c r="I23" s="13"/>
      <c r="J23" s="13"/>
      <c r="K23" s="13"/>
      <c r="L23" s="13"/>
    </row>
    <row r="24" spans="1:12" s="14" customFormat="1">
      <c r="A24" s="20" t="s">
        <v>31</v>
      </c>
      <c r="B24" s="41"/>
      <c r="C24" s="51"/>
      <c r="D24" s="51">
        <f t="shared" si="1"/>
        <v>0</v>
      </c>
      <c r="E24" s="51"/>
      <c r="F24" s="21"/>
      <c r="G24" s="27">
        <v>0.25</v>
      </c>
      <c r="H24" s="13"/>
      <c r="I24" s="13"/>
      <c r="J24" s="13"/>
      <c r="K24" s="13"/>
      <c r="L24" s="13"/>
    </row>
    <row r="25" spans="1:12" s="14" customFormat="1" ht="12.75" customHeight="1">
      <c r="A25" s="20" t="s">
        <v>69</v>
      </c>
      <c r="B25" s="54">
        <f>93.04+47.15+153.08+298.58</f>
        <v>591.84999999999991</v>
      </c>
      <c r="C25" s="22">
        <v>0</v>
      </c>
      <c r="D25" s="52">
        <f t="shared" si="1"/>
        <v>591.84999999999991</v>
      </c>
      <c r="E25" s="51"/>
      <c r="F25" s="21"/>
      <c r="G25" s="27">
        <v>207.9</v>
      </c>
      <c r="H25" s="23"/>
      <c r="I25" s="13"/>
      <c r="J25" s="13"/>
      <c r="K25" s="13"/>
      <c r="L25" s="13"/>
    </row>
    <row r="26" spans="1:12" s="14" customFormat="1" ht="12.75" customHeight="1">
      <c r="A26" s="81" t="s">
        <v>117</v>
      </c>
      <c r="B26" s="54"/>
      <c r="C26" s="22"/>
      <c r="D26" s="51">
        <f t="shared" si="1"/>
        <v>0</v>
      </c>
      <c r="E26" s="51"/>
      <c r="F26" s="21"/>
      <c r="G26" s="90">
        <v>1.43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34</v>
      </c>
      <c r="B27" s="54">
        <f>201.8+170.8</f>
        <v>372.6</v>
      </c>
      <c r="C27" s="22">
        <f>201.8+150</f>
        <v>351.8</v>
      </c>
      <c r="D27" s="51">
        <f t="shared" si="1"/>
        <v>20.800000000000011</v>
      </c>
      <c r="E27" s="51"/>
      <c r="F27" s="21"/>
      <c r="G27" s="90">
        <v>115.37</v>
      </c>
      <c r="H27" s="23"/>
      <c r="I27" s="13"/>
      <c r="J27" s="13"/>
      <c r="K27" s="13"/>
      <c r="L27" s="13"/>
    </row>
    <row r="28" spans="1:12" s="14" customFormat="1" ht="13.5" thickBot="1">
      <c r="A28" s="24" t="s">
        <v>120</v>
      </c>
      <c r="B28" s="132">
        <f>454.55+6.08</f>
        <v>460.63</v>
      </c>
      <c r="C28" s="132">
        <v>241.33</v>
      </c>
      <c r="D28" s="133">
        <f t="shared" si="1"/>
        <v>219.29999999999998</v>
      </c>
      <c r="E28" s="42"/>
      <c r="F28" s="42"/>
      <c r="G28" s="91"/>
      <c r="H28" s="13"/>
      <c r="I28" s="13"/>
      <c r="J28" s="13"/>
      <c r="K28" s="13"/>
      <c r="L28" s="13"/>
    </row>
    <row r="29" spans="1:12" s="14" customFormat="1" ht="30.75" thickBot="1">
      <c r="A29" s="25" t="s">
        <v>10</v>
      </c>
      <c r="B29" s="37" t="s">
        <v>19</v>
      </c>
      <c r="C29" s="48" t="s">
        <v>12</v>
      </c>
      <c r="D29" s="44" t="s">
        <v>11</v>
      </c>
      <c r="E29" s="37" t="s">
        <v>21</v>
      </c>
      <c r="F29" s="37" t="s">
        <v>20</v>
      </c>
      <c r="G29" s="70" t="s">
        <v>58</v>
      </c>
      <c r="H29" s="65"/>
    </row>
    <row r="30" spans="1:12" s="14" customFormat="1" ht="15.75" thickBot="1">
      <c r="A30" s="9" t="s">
        <v>23</v>
      </c>
      <c r="B30" s="161">
        <v>12.3</v>
      </c>
      <c r="C30" s="162">
        <v>0</v>
      </c>
      <c r="D30" s="46">
        <f>B30-C30</f>
        <v>12.3</v>
      </c>
      <c r="E30" s="61"/>
      <c r="F30" s="62"/>
      <c r="G30" s="26">
        <v>98.84</v>
      </c>
      <c r="H30" s="13"/>
      <c r="I30" s="13"/>
      <c r="J30" s="13"/>
      <c r="K30" s="13"/>
      <c r="L30" s="13"/>
    </row>
    <row r="31" spans="1:12" s="14" customFormat="1" ht="30.75" thickBot="1">
      <c r="A31" s="25" t="s">
        <v>22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">
      <c r="A32" s="9" t="s">
        <v>35</v>
      </c>
      <c r="B32" s="38">
        <f>1076.38+844.97</f>
        <v>1921.3500000000001</v>
      </c>
      <c r="C32" s="50">
        <f>88.26+990.82+564.01</f>
        <v>1643.0900000000001</v>
      </c>
      <c r="D32" s="49">
        <f>B32-C32</f>
        <v>278.26</v>
      </c>
      <c r="E32" s="82"/>
      <c r="F32" s="60"/>
      <c r="G32" s="76">
        <v>263.95999999999998</v>
      </c>
      <c r="H32" s="13"/>
      <c r="I32" s="13"/>
      <c r="J32" s="13"/>
      <c r="K32" s="13"/>
      <c r="L32" s="13"/>
    </row>
    <row r="33" spans="1:12" s="14" customFormat="1" ht="17.25" customHeight="1">
      <c r="A33" s="20" t="s">
        <v>38</v>
      </c>
      <c r="B33" s="41">
        <f>298.11+130+116.56+837.39</f>
        <v>1382.06</v>
      </c>
      <c r="C33" s="53">
        <f>138.8+130+116.56+819+38.25+99.2</f>
        <v>1341.8100000000002</v>
      </c>
      <c r="D33" s="22">
        <f>B33-C33</f>
        <v>40.249999999999773</v>
      </c>
      <c r="E33" s="54"/>
      <c r="F33" s="41"/>
      <c r="G33" s="27">
        <v>1017.27</v>
      </c>
      <c r="H33" s="13"/>
      <c r="I33" s="13"/>
      <c r="J33" s="13"/>
      <c r="K33" s="13"/>
      <c r="L33" s="13"/>
    </row>
    <row r="34" spans="1:12" s="14" customFormat="1" ht="12.75" customHeight="1">
      <c r="A34" s="124" t="s">
        <v>70</v>
      </c>
      <c r="B34" s="54">
        <f>1212.76+632+497.97</f>
        <v>2342.73</v>
      </c>
      <c r="C34" s="22">
        <f>1192.47+106.61+399.6+488.05</f>
        <v>2186.73</v>
      </c>
      <c r="D34" s="22">
        <f>B34-C34</f>
        <v>156</v>
      </c>
      <c r="E34" s="54"/>
      <c r="F34" s="41"/>
      <c r="G34" s="27">
        <v>388.86</v>
      </c>
      <c r="H34" s="13"/>
      <c r="I34" s="13"/>
      <c r="J34" s="13"/>
      <c r="K34" s="13"/>
      <c r="L34" s="13"/>
    </row>
    <row r="35" spans="1:12" s="14" customFormat="1">
      <c r="A35" s="81" t="s">
        <v>119</v>
      </c>
      <c r="B35" s="132">
        <f>169.23+1554.2+554.25</f>
        <v>2277.6800000000003</v>
      </c>
      <c r="C35" s="132">
        <f>169.23+1482+554.25</f>
        <v>2205.48</v>
      </c>
      <c r="D35" s="133">
        <f>B35-C35</f>
        <v>72.200000000000273</v>
      </c>
      <c r="E35" s="111"/>
      <c r="F35" s="57"/>
      <c r="G35" s="112"/>
      <c r="K35" s="13"/>
      <c r="L35" s="13"/>
    </row>
    <row r="36" spans="1:12" s="14" customFormat="1" ht="13.5" thickBot="1">
      <c r="A36" s="24" t="s">
        <v>99</v>
      </c>
      <c r="B36" s="126">
        <v>3016.45</v>
      </c>
      <c r="C36" s="113">
        <v>3016.45</v>
      </c>
      <c r="D36" s="126">
        <f>B36</f>
        <v>3016.45</v>
      </c>
      <c r="E36" s="71"/>
      <c r="F36" s="72"/>
      <c r="G36" s="74"/>
      <c r="K36" s="13"/>
      <c r="L36" s="13"/>
    </row>
    <row r="37" spans="1:12" ht="34.5" customHeight="1" thickBot="1">
      <c r="A37" s="25" t="s">
        <v>72</v>
      </c>
      <c r="B37" s="37" t="s">
        <v>19</v>
      </c>
      <c r="C37" s="48" t="s">
        <v>12</v>
      </c>
      <c r="D37" s="44" t="s">
        <v>11</v>
      </c>
      <c r="E37" s="37" t="s">
        <v>21</v>
      </c>
      <c r="F37" s="87" t="s">
        <v>84</v>
      </c>
      <c r="G37" s="68"/>
      <c r="H37" s="13"/>
      <c r="I37" s="13"/>
      <c r="J37" s="13"/>
      <c r="K37" s="13"/>
      <c r="L37" s="13"/>
    </row>
    <row r="38" spans="1:12" ht="19.5" customHeight="1" thickBot="1">
      <c r="A38" s="9" t="s">
        <v>71</v>
      </c>
      <c r="B38" s="120"/>
      <c r="C38" s="120"/>
      <c r="D38" s="121">
        <f>B38-C38</f>
        <v>0</v>
      </c>
      <c r="E38" s="123"/>
      <c r="F38" s="122"/>
      <c r="G38" s="68"/>
    </row>
    <row r="39" spans="1:12" ht="19.5" customHeight="1" thickBot="1">
      <c r="A39" s="25" t="s">
        <v>50</v>
      </c>
      <c r="B39" s="75" t="s">
        <v>65</v>
      </c>
      <c r="C39" s="68"/>
      <c r="D39" s="68"/>
      <c r="E39" s="68"/>
      <c r="F39" s="68"/>
      <c r="G39" s="68"/>
      <c r="H39" s="13"/>
      <c r="I39" s="13"/>
      <c r="J39" s="13"/>
      <c r="K39" s="13"/>
      <c r="L39" s="13"/>
    </row>
    <row r="40" spans="1:12" ht="30" customHeight="1">
      <c r="A40" s="101" t="s">
        <v>138</v>
      </c>
      <c r="B40" s="79"/>
      <c r="C40" s="68"/>
      <c r="D40" s="68"/>
      <c r="E40" s="68"/>
      <c r="F40" s="68"/>
      <c r="G40" s="68"/>
    </row>
    <row r="41" spans="1:12" ht="15">
      <c r="A41" s="29" t="s">
        <v>139</v>
      </c>
      <c r="B41" s="80"/>
      <c r="C41" s="68"/>
      <c r="D41" s="68"/>
      <c r="E41" s="68"/>
      <c r="F41" s="68"/>
      <c r="G41" s="68"/>
    </row>
    <row r="42" spans="1:12" ht="15">
      <c r="A42" s="29" t="s">
        <v>140</v>
      </c>
      <c r="B42" s="80">
        <v>0.28999999999999998</v>
      </c>
      <c r="C42" s="68"/>
      <c r="D42" s="68"/>
      <c r="E42" s="68"/>
      <c r="F42" s="68"/>
      <c r="G42" s="68"/>
    </row>
    <row r="43" spans="1:12" ht="15">
      <c r="A43" s="29" t="s">
        <v>141</v>
      </c>
      <c r="B43" s="80"/>
      <c r="C43" s="68"/>
      <c r="D43" s="68"/>
      <c r="E43" s="68"/>
      <c r="F43" s="68"/>
      <c r="G43" s="68"/>
    </row>
    <row r="44" spans="1:12" ht="15">
      <c r="A44" s="20" t="s">
        <v>142</v>
      </c>
      <c r="B44" s="80"/>
      <c r="C44" s="68"/>
      <c r="D44" s="68"/>
      <c r="E44" s="68"/>
      <c r="F44" s="68"/>
      <c r="G44" s="68"/>
    </row>
    <row r="45" spans="1:12" ht="25.5">
      <c r="A45" s="64" t="s">
        <v>143</v>
      </c>
      <c r="B45" s="80"/>
      <c r="C45" s="68"/>
      <c r="D45" s="68"/>
      <c r="E45" s="68"/>
      <c r="F45" s="68"/>
      <c r="G45" s="68"/>
    </row>
    <row r="46" spans="1:12" ht="25.5">
      <c r="A46" s="64" t="s">
        <v>144</v>
      </c>
      <c r="B46" s="80"/>
      <c r="C46" s="68"/>
      <c r="D46" s="68"/>
      <c r="E46" s="68"/>
      <c r="F46" s="68"/>
      <c r="G46" s="68"/>
    </row>
    <row r="47" spans="1:12" ht="25.5">
      <c r="A47" s="64" t="s">
        <v>145</v>
      </c>
      <c r="B47" s="80"/>
      <c r="C47" s="68"/>
      <c r="D47" s="68"/>
      <c r="E47" s="68"/>
      <c r="F47" s="68"/>
      <c r="G47" s="68"/>
    </row>
    <row r="48" spans="1:12" ht="15">
      <c r="A48" s="18" t="s">
        <v>125</v>
      </c>
      <c r="B48" s="80"/>
      <c r="C48" s="68"/>
      <c r="D48" s="68"/>
      <c r="E48" s="68"/>
      <c r="F48" s="68"/>
      <c r="G48" s="68"/>
    </row>
    <row r="49" spans="1:12" ht="14.25" customHeight="1">
      <c r="A49" s="29" t="s">
        <v>126</v>
      </c>
      <c r="B49" s="80"/>
      <c r="C49" s="68"/>
      <c r="D49" s="68"/>
      <c r="E49" s="68"/>
      <c r="F49" s="68"/>
      <c r="G49" s="68"/>
    </row>
    <row r="50" spans="1:12" ht="26.25" customHeight="1">
      <c r="A50" s="29" t="s">
        <v>127</v>
      </c>
      <c r="B50" s="80"/>
      <c r="C50" s="68"/>
      <c r="D50" s="68"/>
      <c r="E50" s="68"/>
      <c r="F50" s="68"/>
      <c r="G50" s="68"/>
    </row>
    <row r="51" spans="1:12" ht="33" customHeight="1">
      <c r="A51" s="29" t="s">
        <v>128</v>
      </c>
      <c r="B51" s="80"/>
      <c r="C51" s="68"/>
      <c r="D51" s="68"/>
      <c r="E51" s="68"/>
      <c r="F51" s="68"/>
      <c r="G51" s="68"/>
      <c r="J51" s="13"/>
      <c r="K51" s="13"/>
      <c r="L51" s="13"/>
    </row>
    <row r="52" spans="1:12" ht="32.25" customHeight="1">
      <c r="A52" s="29" t="s">
        <v>129</v>
      </c>
      <c r="B52" s="80"/>
      <c r="C52" s="68"/>
      <c r="D52" s="68"/>
      <c r="E52" s="68"/>
      <c r="F52" s="68"/>
      <c r="G52" s="68"/>
    </row>
    <row r="53" spans="1:12" ht="31.5" customHeight="1">
      <c r="A53" s="29" t="s">
        <v>134</v>
      </c>
      <c r="B53" s="80"/>
      <c r="C53" s="68"/>
      <c r="D53" s="68"/>
      <c r="E53" s="68"/>
      <c r="F53" s="68"/>
      <c r="G53" s="68"/>
    </row>
    <row r="54" spans="1:12" s="14" customFormat="1" ht="15">
      <c r="A54" s="29" t="s">
        <v>135</v>
      </c>
      <c r="B54" s="80"/>
      <c r="C54" s="68"/>
      <c r="D54" s="68"/>
      <c r="E54" s="68"/>
      <c r="F54" s="68"/>
      <c r="G54" s="68"/>
      <c r="H54" s="3"/>
      <c r="I54" s="3"/>
      <c r="J54" s="13"/>
      <c r="K54" s="13"/>
      <c r="L54" s="13"/>
    </row>
    <row r="55" spans="1:12" s="14" customFormat="1" ht="15">
      <c r="A55" s="29" t="s">
        <v>136</v>
      </c>
      <c r="B55" s="80"/>
      <c r="C55" s="68"/>
      <c r="D55" s="68"/>
      <c r="E55" s="68"/>
      <c r="F55" s="68"/>
      <c r="G55" s="68"/>
      <c r="H55" s="3"/>
      <c r="I55" s="3"/>
      <c r="J55" s="13"/>
      <c r="K55" s="13"/>
      <c r="L55" s="13"/>
    </row>
    <row r="56" spans="1:12" s="14" customFormat="1" ht="15">
      <c r="A56" s="29" t="s">
        <v>130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131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64" t="s">
        <v>132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25.5">
      <c r="A59" s="64" t="s">
        <v>133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ht="15">
      <c r="A60" s="66" t="s">
        <v>146</v>
      </c>
      <c r="B60" s="80"/>
      <c r="C60" s="68"/>
      <c r="D60" s="68"/>
      <c r="E60" s="68"/>
      <c r="F60" s="68"/>
      <c r="G60" s="68"/>
    </row>
    <row r="61" spans="1:12" ht="15">
      <c r="A61" s="81" t="s">
        <v>124</v>
      </c>
      <c r="B61" s="80"/>
      <c r="C61" s="68"/>
      <c r="D61" s="68"/>
      <c r="E61" s="68"/>
      <c r="F61" s="68"/>
      <c r="G61" s="68"/>
    </row>
    <row r="62" spans="1:12" ht="15">
      <c r="A62" s="64" t="s">
        <v>73</v>
      </c>
      <c r="B62" s="80"/>
      <c r="C62" s="68"/>
      <c r="D62" s="68"/>
      <c r="E62" s="68"/>
      <c r="F62" s="68"/>
      <c r="G62" s="68"/>
    </row>
    <row r="63" spans="1:12" ht="15">
      <c r="A63" s="64" t="s">
        <v>74</v>
      </c>
      <c r="B63" s="80"/>
      <c r="C63" s="68"/>
      <c r="D63" s="68"/>
      <c r="E63" s="68"/>
      <c r="F63" s="68"/>
      <c r="G63" s="68"/>
    </row>
    <row r="64" spans="1:12" s="14" customFormat="1" ht="15">
      <c r="A64" s="64" t="s">
        <v>76</v>
      </c>
      <c r="B64" s="80"/>
      <c r="C64" s="68"/>
      <c r="D64" s="68"/>
      <c r="E64" s="68"/>
      <c r="F64" s="68"/>
      <c r="G64" s="68"/>
      <c r="H64" s="13"/>
      <c r="I64" s="13"/>
      <c r="J64" s="3"/>
      <c r="K64" s="3"/>
      <c r="L64" s="3"/>
    </row>
    <row r="65" spans="1:9" ht="15">
      <c r="A65" s="64" t="s">
        <v>75</v>
      </c>
      <c r="B65" s="80"/>
      <c r="C65" s="68"/>
      <c r="D65" s="68"/>
      <c r="E65" s="68"/>
      <c r="F65" s="68"/>
      <c r="G65" s="68"/>
      <c r="H65" s="13"/>
      <c r="I65" s="13"/>
    </row>
    <row r="66" spans="1:9" ht="15">
      <c r="A66" s="64" t="s">
        <v>77</v>
      </c>
      <c r="B66" s="80"/>
      <c r="C66" s="68"/>
      <c r="D66" s="68"/>
      <c r="E66" s="68"/>
      <c r="F66" s="68"/>
      <c r="G66" s="68"/>
    </row>
    <row r="67" spans="1:9" ht="15">
      <c r="A67" s="64" t="s">
        <v>83</v>
      </c>
      <c r="B67" s="80"/>
      <c r="C67" s="68"/>
      <c r="D67" s="68"/>
      <c r="E67" s="68"/>
      <c r="F67" s="68"/>
      <c r="G67" s="68"/>
    </row>
    <row r="68" spans="1:9" ht="15">
      <c r="A68" s="64" t="s">
        <v>90</v>
      </c>
      <c r="B68" s="80"/>
      <c r="C68" s="68"/>
      <c r="D68" s="68"/>
      <c r="E68" s="68"/>
      <c r="F68" s="68"/>
      <c r="G68" s="68"/>
    </row>
    <row r="69" spans="1:9" ht="15">
      <c r="A69" s="64" t="s">
        <v>91</v>
      </c>
      <c r="B69" s="80"/>
      <c r="C69" s="36"/>
      <c r="D69" s="55"/>
      <c r="E69" s="59"/>
      <c r="F69" s="59"/>
    </row>
    <row r="70" spans="1:9" ht="15">
      <c r="A70" s="64" t="s">
        <v>96</v>
      </c>
      <c r="B70" s="80"/>
      <c r="C70" s="36"/>
      <c r="D70" s="55"/>
      <c r="E70" s="59"/>
      <c r="F70" s="59"/>
    </row>
    <row r="71" spans="1:9" ht="15">
      <c r="A71" s="64" t="s">
        <v>97</v>
      </c>
      <c r="B71" s="80"/>
      <c r="C71" s="36"/>
      <c r="D71" s="55"/>
      <c r="E71" s="59"/>
      <c r="F71" s="59"/>
    </row>
    <row r="72" spans="1:9" ht="15">
      <c r="A72" s="64" t="s">
        <v>98</v>
      </c>
      <c r="B72" s="80"/>
      <c r="C72" s="36"/>
      <c r="D72" s="55"/>
      <c r="E72" s="59"/>
      <c r="F72" s="59"/>
    </row>
    <row r="73" spans="1:9" ht="14.25" customHeight="1">
      <c r="A73" s="64" t="s">
        <v>137</v>
      </c>
      <c r="B73" s="80"/>
      <c r="C73" s="36"/>
      <c r="D73" s="55"/>
      <c r="E73" s="59"/>
      <c r="F73" s="59"/>
    </row>
    <row r="74" spans="1:9" ht="15">
      <c r="A74" s="64" t="s">
        <v>94</v>
      </c>
      <c r="B74" s="80"/>
      <c r="C74" s="36"/>
      <c r="D74" s="55"/>
      <c r="E74" s="59"/>
      <c r="F74" s="59"/>
    </row>
    <row r="75" spans="1:9" ht="15">
      <c r="A75" s="64" t="s">
        <v>95</v>
      </c>
      <c r="B75" s="80"/>
      <c r="C75" s="36"/>
      <c r="D75" s="55"/>
      <c r="E75" s="59"/>
      <c r="F75" s="59"/>
    </row>
    <row r="76" spans="1:9" ht="25.5">
      <c r="A76" s="64" t="s">
        <v>147</v>
      </c>
      <c r="B76" s="80"/>
      <c r="C76" s="36"/>
      <c r="D76" s="55"/>
      <c r="E76" s="59"/>
      <c r="F76" s="59"/>
    </row>
    <row r="77" spans="1:9" ht="25.5">
      <c r="A77" s="64" t="s">
        <v>148</v>
      </c>
      <c r="B77" s="80"/>
      <c r="C77" s="36"/>
      <c r="D77" s="55"/>
      <c r="E77" s="59"/>
      <c r="F77" s="59"/>
    </row>
    <row r="78" spans="1:9" ht="25.5">
      <c r="A78" s="64" t="s">
        <v>149</v>
      </c>
      <c r="B78" s="80"/>
      <c r="C78" s="36"/>
      <c r="D78" s="55"/>
      <c r="E78" s="59"/>
      <c r="F78" s="59"/>
    </row>
    <row r="79" spans="1:9" ht="15">
      <c r="A79" s="64" t="s">
        <v>150</v>
      </c>
      <c r="B79" s="80"/>
      <c r="C79" s="36"/>
      <c r="D79" s="55"/>
      <c r="E79" s="59"/>
      <c r="F79" s="59"/>
    </row>
    <row r="80" spans="1:9" ht="15">
      <c r="A80" s="64" t="s">
        <v>151</v>
      </c>
      <c r="B80" s="80"/>
      <c r="C80" s="36"/>
      <c r="D80" s="55"/>
      <c r="E80" s="59"/>
      <c r="F80" s="59"/>
    </row>
    <row r="81" spans="1:12" ht="15">
      <c r="A81" s="94" t="s">
        <v>82</v>
      </c>
      <c r="B81" s="80">
        <v>0</v>
      </c>
      <c r="C81" s="36"/>
      <c r="D81" s="55"/>
      <c r="E81" s="59"/>
      <c r="F81" s="59"/>
    </row>
    <row r="82" spans="1:12" ht="15">
      <c r="A82" s="94" t="s">
        <v>101</v>
      </c>
      <c r="B82" s="80">
        <v>23.86</v>
      </c>
      <c r="C82" s="36"/>
      <c r="D82" s="55"/>
      <c r="E82" s="59"/>
      <c r="F82" s="59"/>
    </row>
    <row r="83" spans="1:12" ht="15">
      <c r="A83" s="94" t="s">
        <v>102</v>
      </c>
      <c r="B83" s="80">
        <v>0</v>
      </c>
      <c r="C83" s="36"/>
      <c r="D83" s="55"/>
      <c r="E83" s="59"/>
      <c r="F83" s="59"/>
    </row>
    <row r="84" spans="1:12" ht="15">
      <c r="A84" s="94" t="s">
        <v>103</v>
      </c>
      <c r="B84" s="80">
        <v>1</v>
      </c>
      <c r="C84" s="36"/>
      <c r="D84" s="55"/>
      <c r="E84" s="59"/>
      <c r="F84" s="59"/>
    </row>
    <row r="85" spans="1:12" ht="15">
      <c r="A85" s="94" t="s">
        <v>104</v>
      </c>
      <c r="B85" s="80">
        <v>1.55</v>
      </c>
      <c r="C85" s="36"/>
      <c r="D85" s="55"/>
      <c r="E85" s="59"/>
      <c r="F85" s="59"/>
    </row>
    <row r="86" spans="1:12" ht="25.5">
      <c r="A86" s="115" t="s">
        <v>112</v>
      </c>
      <c r="B86" s="80"/>
      <c r="C86" s="36"/>
      <c r="D86" s="55"/>
      <c r="E86" s="59"/>
      <c r="F86" s="59"/>
    </row>
    <row r="87" spans="1:12" ht="26.25" thickBot="1">
      <c r="A87" s="95" t="s">
        <v>111</v>
      </c>
      <c r="B87" s="96"/>
      <c r="C87" s="36"/>
      <c r="D87" s="55"/>
      <c r="E87" s="59"/>
      <c r="F87" s="59"/>
    </row>
    <row r="88" spans="1:12" ht="15.75" thickBot="1">
      <c r="A88" s="92"/>
      <c r="B88" s="137"/>
      <c r="C88" s="36"/>
      <c r="D88" s="55"/>
      <c r="E88" s="59"/>
      <c r="F88" s="59"/>
    </row>
    <row r="89" spans="1:12" s="14" customFormat="1" ht="15.75" thickBot="1">
      <c r="A89" s="93" t="s">
        <v>64</v>
      </c>
      <c r="B89" s="78">
        <f>SUM(B2:B38)</f>
        <v>17332.170000000002</v>
      </c>
      <c r="C89" s="69"/>
      <c r="D89" s="58"/>
      <c r="E89" s="68"/>
      <c r="F89" s="68"/>
      <c r="G89" s="58"/>
      <c r="H89" s="13"/>
      <c r="I89" s="13"/>
      <c r="J89" s="13"/>
      <c r="K89" s="13"/>
      <c r="L89" s="13"/>
    </row>
    <row r="90" spans="1:12" s="14" customFormat="1" ht="15.75" thickBot="1">
      <c r="A90" s="67" t="s">
        <v>55</v>
      </c>
      <c r="B90" s="28">
        <f>SUM(G2:G36)</f>
        <v>4684.9999999999991</v>
      </c>
      <c r="C90" s="58"/>
      <c r="D90" s="58"/>
      <c r="E90" s="68"/>
      <c r="F90" s="68"/>
      <c r="G90" s="30"/>
      <c r="H90" s="13"/>
      <c r="I90" s="13"/>
      <c r="J90" s="13"/>
      <c r="K90" s="13"/>
      <c r="L90" s="13"/>
    </row>
    <row r="91" spans="1:12" ht="15.75" thickBot="1">
      <c r="A91" s="86" t="s">
        <v>56</v>
      </c>
      <c r="B91" s="78">
        <f>SUM(B40:B87)</f>
        <v>26.7</v>
      </c>
      <c r="C91" s="36"/>
      <c r="D91" s="55"/>
      <c r="E91" s="59"/>
      <c r="F91" s="59"/>
    </row>
    <row r="92" spans="1:12" ht="15.75" thickBot="1">
      <c r="A92" s="77" t="s">
        <v>358</v>
      </c>
      <c r="B92" s="78">
        <f>B89+B90+B91</f>
        <v>22043.870000000003</v>
      </c>
      <c r="C92" s="36"/>
      <c r="D92" s="55"/>
    </row>
    <row r="93" spans="1:12">
      <c r="B93" s="36"/>
      <c r="C93" s="36"/>
      <c r="D93" s="55"/>
    </row>
    <row r="94" spans="1:12">
      <c r="B94" s="36"/>
      <c r="C94" s="36"/>
      <c r="D94" s="55"/>
    </row>
    <row r="95" spans="1:12">
      <c r="B95" s="36"/>
      <c r="C95" s="36"/>
      <c r="D95" s="36"/>
    </row>
    <row r="96" spans="1:12">
      <c r="B96" s="36"/>
      <c r="C96" s="36"/>
      <c r="D96" s="36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 s="36" customFormat="1">
      <c r="A99" s="3"/>
      <c r="G99" s="33"/>
      <c r="H99" s="3"/>
      <c r="I99" s="3"/>
      <c r="J99" s="3"/>
      <c r="K99" s="3"/>
      <c r="L99" s="3"/>
    </row>
    <row r="100" spans="1:12" s="36" customFormat="1">
      <c r="A100" s="3"/>
      <c r="G100" s="33"/>
      <c r="H100" s="3"/>
      <c r="I100" s="3"/>
      <c r="J100" s="3"/>
      <c r="K100" s="3"/>
      <c r="L10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00"/>
  <sheetViews>
    <sheetView workbookViewId="0">
      <selection activeCell="D18" sqref="D18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586.21+19.18</f>
        <v>605.39</v>
      </c>
      <c r="C2" s="38">
        <f>550.31+19.18</f>
        <v>569.4899999999999</v>
      </c>
      <c r="D2" s="108">
        <f>B2-C2</f>
        <v>35.900000000000091</v>
      </c>
      <c r="E2" s="63"/>
      <c r="F2" s="38"/>
      <c r="G2" s="10">
        <v>44.02</v>
      </c>
    </row>
    <row r="3" spans="1:12" s="14" customFormat="1" ht="13.5" thickBot="1">
      <c r="A3" s="11" t="s">
        <v>28</v>
      </c>
      <c r="B3" s="39">
        <v>195.1</v>
      </c>
      <c r="C3" s="39">
        <v>0</v>
      </c>
      <c r="D3" s="73">
        <f>B3-C3</f>
        <v>195.1</v>
      </c>
      <c r="E3" s="39"/>
      <c r="F3" s="39"/>
      <c r="G3" s="12">
        <v>61.49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17" si="0">B5-C5</f>
        <v>0</v>
      </c>
      <c r="E5" s="51"/>
      <c r="F5" s="21"/>
      <c r="G5" s="88">
        <v>12.17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779.89+302.49+183.1</f>
        <v>1265.48</v>
      </c>
      <c r="C6" s="51">
        <f>834.37+44.38+258.11+93.1</f>
        <v>1229.96</v>
      </c>
      <c r="D6" s="51">
        <f>B6-C6</f>
        <v>35.519999999999982</v>
      </c>
      <c r="E6" s="51"/>
      <c r="F6" s="21"/>
      <c r="G6" s="88">
        <v>43.98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11.87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0.44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>
        <v>52</v>
      </c>
      <c r="C9" s="51">
        <v>0</v>
      </c>
      <c r="D9" s="51">
        <f>B9-C9</f>
        <v>52</v>
      </c>
      <c r="E9" s="51"/>
      <c r="F9" s="21"/>
      <c r="G9" s="27">
        <v>9.67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>
        <v>-360</v>
      </c>
      <c r="C10" s="51">
        <v>-360</v>
      </c>
      <c r="D10" s="51">
        <f t="shared" si="0"/>
        <v>0</v>
      </c>
      <c r="E10" s="51"/>
      <c r="F10" s="21"/>
      <c r="G10" s="27">
        <v>92.74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16.170000000000002</v>
      </c>
      <c r="H11" s="13"/>
      <c r="I11" s="13"/>
      <c r="J11" s="13"/>
      <c r="K11" s="13"/>
      <c r="L11" s="13"/>
    </row>
    <row r="12" spans="1:12" s="14" customFormat="1">
      <c r="A12" s="20" t="s">
        <v>168</v>
      </c>
      <c r="B12" s="41">
        <v>295</v>
      </c>
      <c r="C12" s="51">
        <v>0</v>
      </c>
      <c r="D12" s="51">
        <f t="shared" si="0"/>
        <v>295</v>
      </c>
      <c r="E12" s="51"/>
      <c r="F12" s="21"/>
      <c r="G12" s="27">
        <v>186.31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0.09</v>
      </c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>
        <f>256.34+122.9+2.81+538.53</f>
        <v>920.57999999999993</v>
      </c>
      <c r="C14" s="51">
        <f>130+122.9+2.81+634.67</f>
        <v>890.38</v>
      </c>
      <c r="D14" s="51">
        <f t="shared" si="0"/>
        <v>30.199999999999932</v>
      </c>
      <c r="E14" s="51"/>
      <c r="F14" s="21"/>
      <c r="G14" s="27">
        <v>334.86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0.63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88.97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0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v>119.33</v>
      </c>
      <c r="C18" s="51">
        <v>119.33</v>
      </c>
      <c r="D18" s="51">
        <f t="shared" ref="D18:D28" si="1">B18-C18</f>
        <v>0</v>
      </c>
      <c r="E18" s="51"/>
      <c r="F18" s="22"/>
      <c r="G18" s="89">
        <v>58.2</v>
      </c>
      <c r="H18" s="13"/>
      <c r="I18" s="13"/>
      <c r="J18" s="13"/>
      <c r="K18" s="13"/>
      <c r="L18" s="13"/>
    </row>
    <row r="19" spans="1:12" s="14" customFormat="1">
      <c r="A19" s="18" t="s">
        <v>169</v>
      </c>
      <c r="B19" s="40"/>
      <c r="C19" s="51"/>
      <c r="D19" s="51">
        <f t="shared" si="1"/>
        <v>0</v>
      </c>
      <c r="E19" s="51"/>
      <c r="F19" s="22"/>
      <c r="G19" s="89">
        <v>1.97</v>
      </c>
      <c r="H19" s="13"/>
      <c r="I19" s="13"/>
      <c r="J19" s="13"/>
      <c r="K19" s="13"/>
      <c r="L19" s="13"/>
    </row>
    <row r="20" spans="1:12" s="14" customFormat="1">
      <c r="A20" s="18" t="s">
        <v>59</v>
      </c>
      <c r="B20" s="40"/>
      <c r="C20" s="51"/>
      <c r="D20" s="51">
        <f t="shared" si="1"/>
        <v>0</v>
      </c>
      <c r="E20" s="51"/>
      <c r="F20" s="19"/>
      <c r="G20" s="89">
        <v>17.649999999999999</v>
      </c>
      <c r="H20" s="13"/>
      <c r="I20" s="13"/>
      <c r="J20" s="13"/>
      <c r="K20" s="13"/>
      <c r="L20" s="13"/>
    </row>
    <row r="21" spans="1:12" s="14" customFormat="1">
      <c r="A21" s="18" t="s">
        <v>105</v>
      </c>
      <c r="B21" s="40"/>
      <c r="C21" s="51"/>
      <c r="D21" s="51">
        <f t="shared" si="1"/>
        <v>0</v>
      </c>
      <c r="E21" s="51"/>
      <c r="F21" s="19"/>
      <c r="G21" s="89">
        <v>0</v>
      </c>
      <c r="H21" s="13"/>
      <c r="I21" s="13"/>
      <c r="J21" s="13"/>
      <c r="K21" s="13"/>
      <c r="L21" s="13"/>
    </row>
    <row r="22" spans="1:12" s="14" customFormat="1">
      <c r="A22" s="18" t="s">
        <v>32</v>
      </c>
      <c r="B22" s="40"/>
      <c r="C22" s="51"/>
      <c r="D22" s="51">
        <f t="shared" si="1"/>
        <v>0</v>
      </c>
      <c r="E22" s="51"/>
      <c r="F22" s="21"/>
      <c r="G22" s="88">
        <v>12.23</v>
      </c>
      <c r="H22" s="13"/>
      <c r="I22" s="13"/>
      <c r="J22" s="13"/>
      <c r="K22" s="13"/>
      <c r="L22" s="13"/>
    </row>
    <row r="23" spans="1:12" s="14" customFormat="1">
      <c r="A23" s="20" t="s">
        <v>33</v>
      </c>
      <c r="B23" s="41"/>
      <c r="C23" s="51"/>
      <c r="D23" s="51">
        <f t="shared" si="1"/>
        <v>0</v>
      </c>
      <c r="E23" s="51"/>
      <c r="F23" s="21"/>
      <c r="G23" s="27">
        <v>44.39</v>
      </c>
      <c r="H23" s="13"/>
      <c r="I23" s="13"/>
      <c r="J23" s="13"/>
      <c r="K23" s="13"/>
      <c r="L23" s="13"/>
    </row>
    <row r="24" spans="1:12" s="14" customFormat="1">
      <c r="A24" s="20" t="s">
        <v>31</v>
      </c>
      <c r="B24" s="41"/>
      <c r="C24" s="51"/>
      <c r="D24" s="51">
        <f t="shared" si="1"/>
        <v>0</v>
      </c>
      <c r="E24" s="51"/>
      <c r="F24" s="21"/>
      <c r="G24" s="27">
        <v>15.55</v>
      </c>
      <c r="H24" s="13"/>
      <c r="I24" s="13"/>
      <c r="J24" s="13"/>
      <c r="K24" s="13"/>
      <c r="L24" s="13"/>
    </row>
    <row r="25" spans="1:12" s="14" customFormat="1" ht="12.75" customHeight="1">
      <c r="A25" s="20" t="s">
        <v>69</v>
      </c>
      <c r="B25" s="54">
        <f>473.84+174.47+29.71+977.61</f>
        <v>1655.63</v>
      </c>
      <c r="C25" s="22">
        <v>0</v>
      </c>
      <c r="D25" s="52">
        <f t="shared" si="1"/>
        <v>1655.63</v>
      </c>
      <c r="E25" s="51"/>
      <c r="F25" s="21"/>
      <c r="G25" s="27">
        <v>570.45000000000005</v>
      </c>
      <c r="H25" s="23"/>
      <c r="I25" s="13"/>
      <c r="J25" s="13"/>
      <c r="K25" s="13"/>
      <c r="L25" s="13"/>
    </row>
    <row r="26" spans="1:12" s="14" customFormat="1" ht="12.75" customHeight="1">
      <c r="A26" s="81" t="s">
        <v>117</v>
      </c>
      <c r="B26" s="54"/>
      <c r="C26" s="22"/>
      <c r="D26" s="51">
        <f t="shared" si="1"/>
        <v>0</v>
      </c>
      <c r="E26" s="51"/>
      <c r="F26" s="21"/>
      <c r="G26" s="90">
        <v>0.61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34</v>
      </c>
      <c r="B27" s="54"/>
      <c r="C27" s="22"/>
      <c r="D27" s="51">
        <f t="shared" si="1"/>
        <v>0</v>
      </c>
      <c r="E27" s="51"/>
      <c r="F27" s="21"/>
      <c r="G27" s="90">
        <v>68.56</v>
      </c>
      <c r="H27" s="23"/>
      <c r="I27" s="13"/>
      <c r="J27" s="13"/>
      <c r="K27" s="13"/>
      <c r="L27" s="13"/>
    </row>
    <row r="28" spans="1:12" s="14" customFormat="1" ht="13.5" thickBot="1">
      <c r="A28" s="24" t="s">
        <v>120</v>
      </c>
      <c r="B28" s="132">
        <f>149.9+710.72+320.67</f>
        <v>1181.29</v>
      </c>
      <c r="C28" s="132">
        <f>112.7+310.63+124.46</f>
        <v>547.79</v>
      </c>
      <c r="D28" s="133">
        <f t="shared" si="1"/>
        <v>633.5</v>
      </c>
      <c r="E28" s="42"/>
      <c r="F28" s="42"/>
      <c r="G28" s="91"/>
      <c r="H28" s="13"/>
      <c r="I28" s="13"/>
      <c r="J28" s="13"/>
      <c r="K28" s="13"/>
      <c r="L28" s="13"/>
    </row>
    <row r="29" spans="1:12" s="14" customFormat="1" ht="30.75" thickBot="1">
      <c r="A29" s="25" t="s">
        <v>10</v>
      </c>
      <c r="B29" s="37" t="s">
        <v>19</v>
      </c>
      <c r="C29" s="48" t="s">
        <v>12</v>
      </c>
      <c r="D29" s="44" t="s">
        <v>11</v>
      </c>
      <c r="E29" s="37" t="s">
        <v>21</v>
      </c>
      <c r="F29" s="37" t="s">
        <v>20</v>
      </c>
      <c r="G29" s="70" t="s">
        <v>58</v>
      </c>
      <c r="H29" s="65"/>
    </row>
    <row r="30" spans="1:12" s="14" customFormat="1" ht="15.75" thickBot="1">
      <c r="A30" s="9" t="s">
        <v>23</v>
      </c>
      <c r="B30" s="161">
        <v>864.05</v>
      </c>
      <c r="C30" s="162">
        <v>854.35</v>
      </c>
      <c r="D30" s="46">
        <f>B30-C30</f>
        <v>9.6999999999999318</v>
      </c>
      <c r="E30" s="61"/>
      <c r="F30" s="62"/>
      <c r="G30" s="26">
        <v>85.62</v>
      </c>
      <c r="H30" s="13"/>
      <c r="I30" s="13"/>
      <c r="J30" s="13"/>
      <c r="K30" s="13"/>
      <c r="L30" s="13"/>
    </row>
    <row r="31" spans="1:12" s="14" customFormat="1" ht="30.75" thickBot="1">
      <c r="A31" s="25" t="s">
        <v>22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">
      <c r="A32" s="9" t="s">
        <v>35</v>
      </c>
      <c r="B32" s="38">
        <f>10.45+1631.67</f>
        <v>1642.1200000000001</v>
      </c>
      <c r="C32" s="50">
        <f>10.45+1548.86</f>
        <v>1559.31</v>
      </c>
      <c r="D32" s="49">
        <f>B32-C32</f>
        <v>82.810000000000173</v>
      </c>
      <c r="E32" s="82"/>
      <c r="F32" s="60"/>
      <c r="G32" s="76">
        <v>77.290000000000006</v>
      </c>
      <c r="H32" s="13"/>
      <c r="I32" s="13"/>
      <c r="J32" s="13"/>
      <c r="K32" s="13"/>
      <c r="L32" s="13"/>
    </row>
    <row r="33" spans="1:12" s="14" customFormat="1" ht="17.25" customHeight="1">
      <c r="A33" s="20" t="s">
        <v>38</v>
      </c>
      <c r="B33" s="41"/>
      <c r="C33" s="53"/>
      <c r="D33" s="22">
        <f>B33-C33</f>
        <v>0</v>
      </c>
      <c r="E33" s="54"/>
      <c r="F33" s="41"/>
      <c r="G33" s="27">
        <v>401.43</v>
      </c>
      <c r="H33" s="13"/>
      <c r="I33" s="13"/>
      <c r="J33" s="13"/>
      <c r="K33" s="13"/>
      <c r="L33" s="13"/>
    </row>
    <row r="34" spans="1:12" s="14" customFormat="1" ht="12.75" customHeight="1">
      <c r="A34" s="124" t="s">
        <v>70</v>
      </c>
      <c r="B34" s="54"/>
      <c r="C34" s="22"/>
      <c r="D34" s="22">
        <f>B34-C34</f>
        <v>0</v>
      </c>
      <c r="E34" s="54"/>
      <c r="F34" s="41"/>
      <c r="G34" s="27">
        <v>207.54</v>
      </c>
      <c r="H34" s="13"/>
      <c r="I34" s="13"/>
      <c r="J34" s="13"/>
      <c r="K34" s="13"/>
      <c r="L34" s="13"/>
    </row>
    <row r="35" spans="1:12" s="14" customFormat="1">
      <c r="A35" s="81" t="s">
        <v>119</v>
      </c>
      <c r="B35" s="132">
        <f>390.4+730.08</f>
        <v>1120.48</v>
      </c>
      <c r="C35" s="132">
        <f>369.16+700.08</f>
        <v>1069.24</v>
      </c>
      <c r="D35" s="133">
        <f>B35-C35</f>
        <v>51.240000000000009</v>
      </c>
      <c r="E35" s="111"/>
      <c r="F35" s="57"/>
      <c r="G35" s="112"/>
      <c r="K35" s="13"/>
      <c r="L35" s="13"/>
    </row>
    <row r="36" spans="1:12" s="14" customFormat="1" ht="13.5" thickBot="1">
      <c r="A36" s="24" t="s">
        <v>99</v>
      </c>
      <c r="B36" s="126">
        <v>784.27</v>
      </c>
      <c r="C36" s="113">
        <v>784.27</v>
      </c>
      <c r="D36" s="126">
        <f>B36</f>
        <v>784.27</v>
      </c>
      <c r="E36" s="71"/>
      <c r="F36" s="72"/>
      <c r="G36" s="74"/>
      <c r="K36" s="13"/>
      <c r="L36" s="13"/>
    </row>
    <row r="37" spans="1:12" ht="34.5" customHeight="1" thickBot="1">
      <c r="A37" s="25" t="s">
        <v>72</v>
      </c>
      <c r="B37" s="37" t="s">
        <v>19</v>
      </c>
      <c r="C37" s="48" t="s">
        <v>12</v>
      </c>
      <c r="D37" s="44" t="s">
        <v>11</v>
      </c>
      <c r="E37" s="37" t="s">
        <v>21</v>
      </c>
      <c r="F37" s="87" t="s">
        <v>84</v>
      </c>
      <c r="G37" s="68"/>
      <c r="H37" s="13"/>
      <c r="I37" s="13"/>
      <c r="J37" s="13"/>
      <c r="K37" s="13"/>
      <c r="L37" s="13"/>
    </row>
    <row r="38" spans="1:12" ht="19.5" customHeight="1" thickBot="1">
      <c r="A38" s="9" t="s">
        <v>71</v>
      </c>
      <c r="B38" s="120">
        <v>1568.81</v>
      </c>
      <c r="C38" s="120">
        <v>0</v>
      </c>
      <c r="D38" s="121">
        <f>B38-C38</f>
        <v>1568.81</v>
      </c>
      <c r="E38" s="123"/>
      <c r="F38" s="122"/>
      <c r="G38" s="68"/>
    </row>
    <row r="39" spans="1:12" ht="19.5" customHeight="1" thickBot="1">
      <c r="A39" s="25" t="s">
        <v>50</v>
      </c>
      <c r="B39" s="75" t="s">
        <v>65</v>
      </c>
      <c r="C39" s="68"/>
      <c r="D39" s="68"/>
      <c r="E39" s="68"/>
      <c r="F39" s="68"/>
      <c r="G39" s="68"/>
      <c r="H39" s="13"/>
      <c r="I39" s="13"/>
      <c r="J39" s="13"/>
      <c r="K39" s="13"/>
      <c r="L39" s="13"/>
    </row>
    <row r="40" spans="1:12" ht="30" customHeight="1">
      <c r="A40" s="101" t="s">
        <v>138</v>
      </c>
      <c r="B40" s="79"/>
      <c r="C40" s="68"/>
      <c r="D40" s="68"/>
      <c r="E40" s="68"/>
      <c r="F40" s="68"/>
      <c r="G40" s="68"/>
    </row>
    <row r="41" spans="1:12" ht="15">
      <c r="A41" s="29" t="s">
        <v>139</v>
      </c>
      <c r="B41" s="80"/>
      <c r="C41" s="68"/>
      <c r="D41" s="68"/>
      <c r="E41" s="68"/>
      <c r="F41" s="68"/>
      <c r="G41" s="68"/>
    </row>
    <row r="42" spans="1:12" ht="15">
      <c r="A42" s="29" t="s">
        <v>140</v>
      </c>
      <c r="B42" s="80">
        <v>0.03</v>
      </c>
      <c r="C42" s="68"/>
      <c r="D42" s="68"/>
      <c r="E42" s="68"/>
      <c r="F42" s="68"/>
      <c r="G42" s="68"/>
    </row>
    <row r="43" spans="1:12" ht="15">
      <c r="A43" s="29" t="s">
        <v>141</v>
      </c>
      <c r="B43" s="80">
        <v>0</v>
      </c>
      <c r="C43" s="68"/>
      <c r="D43" s="68"/>
      <c r="E43" s="68"/>
      <c r="F43" s="68"/>
      <c r="G43" s="68"/>
    </row>
    <row r="44" spans="1:12" ht="15">
      <c r="A44" s="20" t="s">
        <v>142</v>
      </c>
      <c r="B44" s="80"/>
      <c r="C44" s="68"/>
      <c r="D44" s="68"/>
      <c r="E44" s="68"/>
      <c r="F44" s="68"/>
      <c r="G44" s="68"/>
    </row>
    <row r="45" spans="1:12" ht="25.5">
      <c r="A45" s="64" t="s">
        <v>143</v>
      </c>
      <c r="B45" s="80"/>
      <c r="C45" s="68"/>
      <c r="D45" s="68"/>
      <c r="E45" s="68"/>
      <c r="F45" s="68"/>
      <c r="G45" s="68"/>
    </row>
    <row r="46" spans="1:12" ht="25.5">
      <c r="A46" s="64" t="s">
        <v>144</v>
      </c>
      <c r="B46" s="80"/>
      <c r="C46" s="68"/>
      <c r="D46" s="68"/>
      <c r="E46" s="68"/>
      <c r="F46" s="68"/>
      <c r="G46" s="68"/>
    </row>
    <row r="47" spans="1:12" ht="25.5">
      <c r="A47" s="64" t="s">
        <v>145</v>
      </c>
      <c r="B47" s="80"/>
      <c r="C47" s="68"/>
      <c r="D47" s="68"/>
      <c r="E47" s="68"/>
      <c r="F47" s="68"/>
      <c r="G47" s="68"/>
    </row>
    <row r="48" spans="1:12" ht="15">
      <c r="A48" s="18" t="s">
        <v>125</v>
      </c>
      <c r="B48" s="80"/>
      <c r="C48" s="68"/>
      <c r="D48" s="68"/>
      <c r="E48" s="68"/>
      <c r="F48" s="68"/>
      <c r="G48" s="68"/>
    </row>
    <row r="49" spans="1:12" ht="14.25" customHeight="1">
      <c r="A49" s="29" t="s">
        <v>126</v>
      </c>
      <c r="B49" s="80"/>
      <c r="C49" s="68"/>
      <c r="D49" s="68"/>
      <c r="E49" s="68"/>
      <c r="F49" s="68"/>
      <c r="G49" s="68"/>
    </row>
    <row r="50" spans="1:12" ht="26.25" customHeight="1">
      <c r="A50" s="29" t="s">
        <v>127</v>
      </c>
      <c r="B50" s="80"/>
      <c r="C50" s="68"/>
      <c r="D50" s="68"/>
      <c r="E50" s="68"/>
      <c r="F50" s="68"/>
      <c r="G50" s="68"/>
    </row>
    <row r="51" spans="1:12" ht="33" customHeight="1">
      <c r="A51" s="29" t="s">
        <v>128</v>
      </c>
      <c r="B51" s="80"/>
      <c r="C51" s="68"/>
      <c r="D51" s="68"/>
      <c r="E51" s="68"/>
      <c r="F51" s="68"/>
      <c r="G51" s="68"/>
      <c r="J51" s="13"/>
      <c r="K51" s="13"/>
      <c r="L51" s="13"/>
    </row>
    <row r="52" spans="1:12" ht="32.25" customHeight="1">
      <c r="A52" s="29" t="s">
        <v>129</v>
      </c>
      <c r="B52" s="80"/>
      <c r="C52" s="68"/>
      <c r="D52" s="68"/>
      <c r="E52" s="68"/>
      <c r="F52" s="68"/>
      <c r="G52" s="68"/>
    </row>
    <row r="53" spans="1:12" ht="31.5" customHeight="1">
      <c r="A53" s="29" t="s">
        <v>134</v>
      </c>
      <c r="B53" s="80"/>
      <c r="C53" s="68"/>
      <c r="D53" s="68"/>
      <c r="E53" s="68"/>
      <c r="F53" s="68"/>
      <c r="G53" s="68"/>
    </row>
    <row r="54" spans="1:12" s="14" customFormat="1" ht="15">
      <c r="A54" s="29" t="s">
        <v>135</v>
      </c>
      <c r="B54" s="80"/>
      <c r="C54" s="68"/>
      <c r="D54" s="68"/>
      <c r="E54" s="68"/>
      <c r="F54" s="68"/>
      <c r="G54" s="68"/>
      <c r="H54" s="3"/>
      <c r="I54" s="3"/>
      <c r="J54" s="13"/>
      <c r="K54" s="13"/>
      <c r="L54" s="13"/>
    </row>
    <row r="55" spans="1:12" s="14" customFormat="1" ht="15">
      <c r="A55" s="29" t="s">
        <v>136</v>
      </c>
      <c r="B55" s="80"/>
      <c r="C55" s="68"/>
      <c r="D55" s="68"/>
      <c r="E55" s="68"/>
      <c r="F55" s="68"/>
      <c r="G55" s="68"/>
      <c r="H55" s="3"/>
      <c r="I55" s="3"/>
      <c r="J55" s="13"/>
      <c r="K55" s="13"/>
      <c r="L55" s="13"/>
    </row>
    <row r="56" spans="1:12" s="14" customFormat="1" ht="15">
      <c r="A56" s="29" t="s">
        <v>130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131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64" t="s">
        <v>132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25.5">
      <c r="A59" s="64" t="s">
        <v>133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ht="15">
      <c r="A60" s="66" t="s">
        <v>146</v>
      </c>
      <c r="B60" s="80"/>
      <c r="C60" s="68"/>
      <c r="D60" s="68"/>
      <c r="E60" s="68"/>
      <c r="F60" s="68"/>
      <c r="G60" s="68"/>
    </row>
    <row r="61" spans="1:12" ht="15">
      <c r="A61" s="81" t="s">
        <v>124</v>
      </c>
      <c r="B61" s="80"/>
      <c r="C61" s="68"/>
      <c r="D61" s="68"/>
      <c r="E61" s="68"/>
      <c r="F61" s="68"/>
      <c r="G61" s="68"/>
    </row>
    <row r="62" spans="1:12" ht="15">
      <c r="A62" s="64" t="s">
        <v>73</v>
      </c>
      <c r="B62" s="80"/>
      <c r="C62" s="68"/>
      <c r="D62" s="68"/>
      <c r="E62" s="68"/>
      <c r="F62" s="68"/>
      <c r="G62" s="68"/>
    </row>
    <row r="63" spans="1:12" ht="15">
      <c r="A63" s="64" t="s">
        <v>74</v>
      </c>
      <c r="B63" s="80"/>
      <c r="C63" s="68"/>
      <c r="D63" s="68"/>
      <c r="E63" s="68"/>
      <c r="F63" s="68"/>
      <c r="G63" s="68"/>
    </row>
    <row r="64" spans="1:12" s="14" customFormat="1" ht="15">
      <c r="A64" s="64" t="s">
        <v>76</v>
      </c>
      <c r="B64" s="80"/>
      <c r="C64" s="68"/>
      <c r="D64" s="68"/>
      <c r="E64" s="68"/>
      <c r="F64" s="68"/>
      <c r="G64" s="68"/>
      <c r="H64" s="13"/>
      <c r="I64" s="13"/>
      <c r="J64" s="3"/>
      <c r="K64" s="3"/>
      <c r="L64" s="3"/>
    </row>
    <row r="65" spans="1:9" ht="15">
      <c r="A65" s="64" t="s">
        <v>75</v>
      </c>
      <c r="B65" s="80"/>
      <c r="C65" s="68"/>
      <c r="D65" s="68"/>
      <c r="E65" s="68"/>
      <c r="F65" s="68"/>
      <c r="G65" s="68"/>
      <c r="H65" s="13"/>
      <c r="I65" s="13"/>
    </row>
    <row r="66" spans="1:9" ht="15">
      <c r="A66" s="64" t="s">
        <v>77</v>
      </c>
      <c r="B66" s="80"/>
      <c r="C66" s="68"/>
      <c r="D66" s="68"/>
      <c r="E66" s="68"/>
      <c r="F66" s="68"/>
      <c r="G66" s="68"/>
    </row>
    <row r="67" spans="1:9" ht="15">
      <c r="A67" s="64" t="s">
        <v>83</v>
      </c>
      <c r="B67" s="80"/>
      <c r="C67" s="68"/>
      <c r="D67" s="68"/>
      <c r="E67" s="68"/>
      <c r="F67" s="68"/>
      <c r="G67" s="68"/>
    </row>
    <row r="68" spans="1:9" ht="15">
      <c r="A68" s="64" t="s">
        <v>90</v>
      </c>
      <c r="B68" s="80"/>
      <c r="C68" s="68"/>
      <c r="D68" s="68"/>
      <c r="E68" s="68"/>
      <c r="F68" s="68"/>
      <c r="G68" s="68"/>
    </row>
    <row r="69" spans="1:9" ht="15">
      <c r="A69" s="64" t="s">
        <v>91</v>
      </c>
      <c r="B69" s="80"/>
      <c r="C69" s="36"/>
      <c r="D69" s="55"/>
      <c r="E69" s="59"/>
      <c r="F69" s="59"/>
    </row>
    <row r="70" spans="1:9" ht="15">
      <c r="A70" s="64" t="s">
        <v>96</v>
      </c>
      <c r="B70" s="80"/>
      <c r="C70" s="36"/>
      <c r="D70" s="55"/>
      <c r="E70" s="59"/>
      <c r="F70" s="59"/>
    </row>
    <row r="71" spans="1:9" ht="15">
      <c r="A71" s="64" t="s">
        <v>97</v>
      </c>
      <c r="B71" s="80"/>
      <c r="C71" s="36"/>
      <c r="D71" s="55"/>
      <c r="E71" s="59"/>
      <c r="F71" s="59"/>
    </row>
    <row r="72" spans="1:9" ht="15">
      <c r="A72" s="64" t="s">
        <v>98</v>
      </c>
      <c r="B72" s="80"/>
      <c r="C72" s="36"/>
      <c r="D72" s="55"/>
      <c r="E72" s="59"/>
      <c r="F72" s="59"/>
    </row>
    <row r="73" spans="1:9" ht="15">
      <c r="A73" s="64" t="s">
        <v>137</v>
      </c>
      <c r="B73" s="80"/>
      <c r="C73" s="36"/>
      <c r="D73" s="55"/>
      <c r="E73" s="59"/>
      <c r="F73" s="59"/>
    </row>
    <row r="74" spans="1:9" ht="15">
      <c r="A74" s="64" t="s">
        <v>94</v>
      </c>
      <c r="B74" s="80"/>
      <c r="C74" s="36"/>
      <c r="D74" s="55"/>
      <c r="E74" s="59"/>
      <c r="F74" s="59"/>
    </row>
    <row r="75" spans="1:9" ht="15">
      <c r="A75" s="64" t="s">
        <v>95</v>
      </c>
      <c r="B75" s="80"/>
      <c r="C75" s="36"/>
      <c r="D75" s="55"/>
      <c r="E75" s="59"/>
      <c r="F75" s="59"/>
    </row>
    <row r="76" spans="1:9" ht="25.5">
      <c r="A76" s="64" t="s">
        <v>147</v>
      </c>
      <c r="B76" s="80"/>
      <c r="C76" s="36"/>
      <c r="D76" s="55"/>
      <c r="E76" s="59"/>
      <c r="F76" s="59"/>
    </row>
    <row r="77" spans="1:9" ht="25.5">
      <c r="A77" s="64" t="s">
        <v>148</v>
      </c>
      <c r="B77" s="80"/>
      <c r="C77" s="36"/>
      <c r="D77" s="55"/>
      <c r="E77" s="59"/>
      <c r="F77" s="59"/>
    </row>
    <row r="78" spans="1:9" ht="25.5">
      <c r="A78" s="64" t="s">
        <v>149</v>
      </c>
      <c r="B78" s="80"/>
      <c r="C78" s="36"/>
      <c r="D78" s="55"/>
      <c r="E78" s="59"/>
      <c r="F78" s="59"/>
    </row>
    <row r="79" spans="1:9" ht="15">
      <c r="A79" s="64" t="s">
        <v>150</v>
      </c>
      <c r="B79" s="80"/>
      <c r="C79" s="36"/>
      <c r="D79" s="55"/>
      <c r="E79" s="59"/>
      <c r="F79" s="59"/>
    </row>
    <row r="80" spans="1:9" ht="15">
      <c r="A80" s="64" t="s">
        <v>151</v>
      </c>
      <c r="B80" s="80"/>
      <c r="C80" s="36"/>
      <c r="D80" s="55"/>
      <c r="E80" s="59"/>
      <c r="F80" s="59"/>
    </row>
    <row r="81" spans="1:12" ht="15">
      <c r="A81" s="94" t="s">
        <v>82</v>
      </c>
      <c r="B81" s="80"/>
      <c r="C81" s="36"/>
      <c r="D81" s="55"/>
      <c r="E81" s="59"/>
      <c r="F81" s="59"/>
    </row>
    <row r="82" spans="1:12" ht="15">
      <c r="A82" s="94" t="s">
        <v>101</v>
      </c>
      <c r="B82" s="80">
        <v>6.67</v>
      </c>
      <c r="C82" s="36"/>
      <c r="D82" s="55"/>
      <c r="E82" s="59"/>
      <c r="F82" s="59"/>
    </row>
    <row r="83" spans="1:12" ht="15">
      <c r="A83" s="94" t="s">
        <v>102</v>
      </c>
      <c r="B83" s="80">
        <v>9.8000000000000007</v>
      </c>
      <c r="C83" s="36"/>
      <c r="D83" s="55"/>
      <c r="E83" s="59"/>
      <c r="F83" s="59"/>
    </row>
    <row r="84" spans="1:12" ht="15">
      <c r="A84" s="94" t="s">
        <v>103</v>
      </c>
      <c r="B84" s="80">
        <v>3.75</v>
      </c>
      <c r="C84" s="36"/>
      <c r="D84" s="55"/>
      <c r="E84" s="59"/>
      <c r="F84" s="59"/>
    </row>
    <row r="85" spans="1:12" ht="15">
      <c r="A85" s="94" t="s">
        <v>104</v>
      </c>
      <c r="B85" s="80">
        <v>16.690000000000001</v>
      </c>
      <c r="C85" s="36"/>
      <c r="D85" s="55"/>
      <c r="E85" s="59"/>
      <c r="F85" s="59"/>
    </row>
    <row r="86" spans="1:12" ht="25.5">
      <c r="A86" s="115" t="s">
        <v>112</v>
      </c>
      <c r="B86" s="80"/>
      <c r="C86" s="36"/>
      <c r="D86" s="55"/>
      <c r="E86" s="59"/>
      <c r="F86" s="59"/>
    </row>
    <row r="87" spans="1:12" ht="26.25" thickBot="1">
      <c r="A87" s="95" t="s">
        <v>111</v>
      </c>
      <c r="B87" s="96"/>
      <c r="C87" s="36"/>
      <c r="D87" s="55"/>
      <c r="E87" s="59"/>
      <c r="F87" s="59"/>
    </row>
    <row r="88" spans="1:12" ht="15.75" thickBot="1">
      <c r="A88" s="92"/>
      <c r="B88" s="137"/>
      <c r="C88" s="36"/>
      <c r="D88" s="55"/>
      <c r="E88" s="59"/>
      <c r="F88" s="59"/>
    </row>
    <row r="89" spans="1:12" s="14" customFormat="1" ht="15.75" thickBot="1">
      <c r="A89" s="93" t="s">
        <v>64</v>
      </c>
      <c r="B89" s="78">
        <f>SUM(B2:B38)</f>
        <v>11909.53</v>
      </c>
      <c r="C89" s="69"/>
      <c r="D89" s="58"/>
      <c r="E89" s="68"/>
      <c r="F89" s="68"/>
      <c r="G89" s="58"/>
      <c r="H89" s="13"/>
      <c r="I89" s="13"/>
      <c r="J89" s="13"/>
      <c r="K89" s="13"/>
      <c r="L89" s="13"/>
    </row>
    <row r="90" spans="1:12" s="14" customFormat="1" ht="15.75" thickBot="1">
      <c r="A90" s="67" t="s">
        <v>55</v>
      </c>
      <c r="B90" s="28">
        <f>SUM(G2:G36)</f>
        <v>2464.8999999999996</v>
      </c>
      <c r="C90" s="58"/>
      <c r="D90" s="58"/>
      <c r="E90" s="68"/>
      <c r="F90" s="68"/>
      <c r="G90" s="30"/>
      <c r="H90" s="13"/>
      <c r="I90" s="13"/>
      <c r="J90" s="13"/>
      <c r="K90" s="13"/>
      <c r="L90" s="13"/>
    </row>
    <row r="91" spans="1:12" ht="15.75" thickBot="1">
      <c r="A91" s="86" t="s">
        <v>56</v>
      </c>
      <c r="B91" s="78">
        <f>SUM(B40:B87)</f>
        <v>36.94</v>
      </c>
      <c r="C91" s="36"/>
      <c r="D91" s="55"/>
      <c r="E91" s="59"/>
      <c r="F91" s="59"/>
    </row>
    <row r="92" spans="1:12" ht="15.75" thickBot="1">
      <c r="A92" s="77" t="s">
        <v>624</v>
      </c>
      <c r="B92" s="78">
        <f>B89+B90+B91</f>
        <v>14411.37</v>
      </c>
      <c r="C92" s="36"/>
      <c r="D92" s="55"/>
    </row>
    <row r="93" spans="1:12">
      <c r="B93" s="36"/>
      <c r="C93" s="36"/>
      <c r="D93" s="55"/>
    </row>
    <row r="94" spans="1:12">
      <c r="B94" s="36"/>
      <c r="C94" s="36"/>
      <c r="D94" s="55"/>
    </row>
    <row r="95" spans="1:12">
      <c r="B95" s="36"/>
      <c r="C95" s="36"/>
      <c r="D95" s="36"/>
    </row>
    <row r="96" spans="1:12">
      <c r="B96" s="36"/>
      <c r="C96" s="36"/>
      <c r="D96" s="36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 s="36" customFormat="1">
      <c r="A99" s="3"/>
      <c r="G99" s="33"/>
      <c r="H99" s="3"/>
      <c r="I99" s="3"/>
      <c r="J99" s="3"/>
      <c r="K99" s="3"/>
      <c r="L99" s="3"/>
    </row>
    <row r="100" spans="1:12" s="36" customFormat="1">
      <c r="A100" s="3"/>
      <c r="G100" s="33"/>
      <c r="H100" s="3"/>
      <c r="I100" s="3"/>
      <c r="J100" s="3"/>
      <c r="K100" s="3"/>
      <c r="L100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00"/>
  <sheetViews>
    <sheetView workbookViewId="0">
      <selection activeCell="D36" sqref="D36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112.78+676.18</f>
        <v>788.95999999999992</v>
      </c>
      <c r="C2" s="38">
        <f>112.78+662.38</f>
        <v>775.16</v>
      </c>
      <c r="D2" s="108">
        <f>B2-C2</f>
        <v>13.799999999999955</v>
      </c>
      <c r="E2" s="63"/>
      <c r="F2" s="38"/>
      <c r="G2" s="10">
        <v>218.51</v>
      </c>
    </row>
    <row r="3" spans="1:12" s="14" customFormat="1" ht="13.5" thickBot="1">
      <c r="A3" s="11" t="s">
        <v>28</v>
      </c>
      <c r="B3" s="39">
        <v>122.5</v>
      </c>
      <c r="C3" s="39">
        <v>0</v>
      </c>
      <c r="D3" s="73">
        <f>B3-C3</f>
        <v>122.5</v>
      </c>
      <c r="E3" s="39"/>
      <c r="F3" s="39"/>
      <c r="G3" s="12">
        <v>61.29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17" si="0">B5-C5</f>
        <v>0</v>
      </c>
      <c r="E5" s="51"/>
      <c r="F5" s="21"/>
      <c r="G5" s="88">
        <v>20.3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2647.28+211.44+313.99</f>
        <v>3172.71</v>
      </c>
      <c r="C6" s="51">
        <f>2669.06+135.65+313.99</f>
        <v>3118.7</v>
      </c>
      <c r="D6" s="51">
        <f>B6-C6</f>
        <v>54.010000000000218</v>
      </c>
      <c r="E6" s="51"/>
      <c r="F6" s="21"/>
      <c r="G6" s="191">
        <v>1286.2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33.630000000000003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2.19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/>
      <c r="C9" s="51"/>
      <c r="D9" s="51">
        <f>B9-C9</f>
        <v>0</v>
      </c>
      <c r="E9" s="51"/>
      <c r="F9" s="21"/>
      <c r="G9" s="27">
        <v>3.38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>
        <f>1958.47+202.6+2068.6</f>
        <v>4229.67</v>
      </c>
      <c r="C10" s="51">
        <f>2191.93+202.6+2050.37</f>
        <v>4444.8999999999996</v>
      </c>
      <c r="D10" s="51">
        <f t="shared" si="0"/>
        <v>-215.22999999999956</v>
      </c>
      <c r="E10" s="51"/>
      <c r="F10" s="21"/>
      <c r="G10" s="190">
        <v>1567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8.9</v>
      </c>
      <c r="H11" s="13"/>
      <c r="I11" s="13"/>
      <c r="J11" s="13"/>
      <c r="K11" s="13"/>
      <c r="L11" s="13"/>
    </row>
    <row r="12" spans="1:12" s="14" customFormat="1">
      <c r="A12" s="20" t="s">
        <v>168</v>
      </c>
      <c r="B12" s="41">
        <v>295</v>
      </c>
      <c r="C12" s="51">
        <v>0</v>
      </c>
      <c r="D12" s="51">
        <f t="shared" si="0"/>
        <v>295</v>
      </c>
      <c r="E12" s="51"/>
      <c r="F12" s="21"/>
      <c r="G12" s="27">
        <v>58.51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</v>
      </c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>
        <f>263.84+23.12+951.54</f>
        <v>1238.5</v>
      </c>
      <c r="C14" s="51">
        <f>243.31+23.12+981.4</f>
        <v>1247.83</v>
      </c>
      <c r="D14" s="51">
        <f t="shared" si="0"/>
        <v>-9.3299999999999272</v>
      </c>
      <c r="E14" s="51"/>
      <c r="F14" s="21"/>
      <c r="G14" s="190">
        <v>848.54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4.83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30.95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1.3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f>41.41+71.86+224.78+703.66</f>
        <v>1041.71</v>
      </c>
      <c r="C18" s="51">
        <f>41.41+71.86+526.53</f>
        <v>639.79999999999995</v>
      </c>
      <c r="D18" s="51">
        <f t="shared" ref="D18:D28" si="1">B18-C18</f>
        <v>401.91000000000008</v>
      </c>
      <c r="E18" s="51"/>
      <c r="F18" s="22"/>
      <c r="G18" s="89">
        <v>243.63</v>
      </c>
      <c r="H18" s="13"/>
      <c r="I18" s="13"/>
      <c r="J18" s="13"/>
      <c r="K18" s="13"/>
      <c r="L18" s="13"/>
    </row>
    <row r="19" spans="1:12" s="14" customFormat="1">
      <c r="A19" s="18" t="s">
        <v>169</v>
      </c>
      <c r="B19" s="40"/>
      <c r="C19" s="51"/>
      <c r="D19" s="51">
        <f t="shared" si="1"/>
        <v>0</v>
      </c>
      <c r="E19" s="51"/>
      <c r="F19" s="22"/>
      <c r="G19" s="89"/>
      <c r="H19" s="13"/>
      <c r="I19" s="13"/>
      <c r="J19" s="13"/>
      <c r="K19" s="13"/>
      <c r="L19" s="13"/>
    </row>
    <row r="20" spans="1:12" s="14" customFormat="1">
      <c r="A20" s="18" t="s">
        <v>59</v>
      </c>
      <c r="B20" s="40"/>
      <c r="C20" s="51"/>
      <c r="D20" s="51">
        <f t="shared" si="1"/>
        <v>0</v>
      </c>
      <c r="E20" s="51"/>
      <c r="F20" s="19"/>
      <c r="G20" s="89">
        <v>20.3</v>
      </c>
      <c r="H20" s="13"/>
      <c r="I20" s="13"/>
      <c r="J20" s="13"/>
      <c r="K20" s="13"/>
      <c r="L20" s="13"/>
    </row>
    <row r="21" spans="1:12" s="14" customFormat="1">
      <c r="A21" s="18" t="s">
        <v>105</v>
      </c>
      <c r="B21" s="40"/>
      <c r="C21" s="51"/>
      <c r="D21" s="51">
        <f t="shared" si="1"/>
        <v>0</v>
      </c>
      <c r="E21" s="51"/>
      <c r="F21" s="19"/>
      <c r="G21" s="89">
        <v>0</v>
      </c>
      <c r="H21" s="13"/>
      <c r="I21" s="13"/>
      <c r="J21" s="13"/>
      <c r="K21" s="13"/>
      <c r="L21" s="13"/>
    </row>
    <row r="22" spans="1:12" s="14" customFormat="1">
      <c r="A22" s="18" t="s">
        <v>32</v>
      </c>
      <c r="B22" s="40">
        <v>60.96</v>
      </c>
      <c r="C22" s="51">
        <v>0</v>
      </c>
      <c r="D22" s="51">
        <f t="shared" si="1"/>
        <v>60.96</v>
      </c>
      <c r="E22" s="51"/>
      <c r="F22" s="21"/>
      <c r="G22" s="88">
        <v>81.599999999999994</v>
      </c>
      <c r="H22" s="13"/>
      <c r="I22" s="13"/>
      <c r="J22" s="13"/>
      <c r="K22" s="13"/>
      <c r="L22" s="13"/>
    </row>
    <row r="23" spans="1:12" s="14" customFormat="1">
      <c r="A23" s="20" t="s">
        <v>33</v>
      </c>
      <c r="B23" s="41">
        <f>19.1+33</f>
        <v>52.1</v>
      </c>
      <c r="C23" s="51">
        <f>19.1+11</f>
        <v>30.1</v>
      </c>
      <c r="D23" s="51">
        <f t="shared" si="1"/>
        <v>22</v>
      </c>
      <c r="E23" s="51"/>
      <c r="F23" s="21"/>
      <c r="G23" s="27">
        <v>36.83</v>
      </c>
      <c r="H23" s="13"/>
      <c r="I23" s="13"/>
      <c r="J23" s="13"/>
      <c r="K23" s="13"/>
      <c r="L23" s="13"/>
    </row>
    <row r="24" spans="1:12" s="14" customFormat="1">
      <c r="A24" s="20" t="s">
        <v>31</v>
      </c>
      <c r="B24" s="41"/>
      <c r="C24" s="51"/>
      <c r="D24" s="51">
        <f t="shared" si="1"/>
        <v>0</v>
      </c>
      <c r="E24" s="51"/>
      <c r="F24" s="21"/>
      <c r="G24" s="27">
        <v>0.25</v>
      </c>
      <c r="H24" s="13"/>
      <c r="I24" s="13"/>
      <c r="J24" s="13"/>
      <c r="K24" s="13"/>
      <c r="L24" s="13"/>
    </row>
    <row r="25" spans="1:12" s="14" customFormat="1" ht="12.75" customHeight="1">
      <c r="A25" s="20" t="s">
        <v>69</v>
      </c>
      <c r="B25" s="54">
        <f>407.38+373.5</f>
        <v>780.88</v>
      </c>
      <c r="C25" s="22">
        <v>0</v>
      </c>
      <c r="D25" s="52">
        <f t="shared" si="1"/>
        <v>780.88</v>
      </c>
      <c r="E25" s="51"/>
      <c r="F25" s="21"/>
      <c r="G25" s="27">
        <v>683.74</v>
      </c>
      <c r="H25" s="23"/>
      <c r="I25" s="13"/>
      <c r="J25" s="13"/>
      <c r="K25" s="13"/>
      <c r="L25" s="13"/>
    </row>
    <row r="26" spans="1:12" s="14" customFormat="1" ht="12.75" customHeight="1">
      <c r="A26" s="81" t="s">
        <v>117</v>
      </c>
      <c r="B26" s="54"/>
      <c r="C26" s="22"/>
      <c r="D26" s="51">
        <f t="shared" si="1"/>
        <v>0</v>
      </c>
      <c r="E26" s="51"/>
      <c r="F26" s="21"/>
      <c r="G26" s="90">
        <v>0.85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34</v>
      </c>
      <c r="B27" s="54">
        <f>153.2+343.85</f>
        <v>497.05</v>
      </c>
      <c r="C27" s="22">
        <f>131.6+343.85</f>
        <v>475.45000000000005</v>
      </c>
      <c r="D27" s="51">
        <f t="shared" si="1"/>
        <v>21.599999999999966</v>
      </c>
      <c r="E27" s="51"/>
      <c r="F27" s="21"/>
      <c r="G27" s="90">
        <v>71.64</v>
      </c>
      <c r="H27" s="23"/>
      <c r="I27" s="13"/>
      <c r="J27" s="13"/>
      <c r="K27" s="13"/>
      <c r="L27" s="13"/>
    </row>
    <row r="28" spans="1:12" s="14" customFormat="1" ht="13.5" thickBot="1">
      <c r="A28" s="24" t="s">
        <v>120</v>
      </c>
      <c r="B28" s="132">
        <f>359.04+41.79+687.88</f>
        <v>1088.71</v>
      </c>
      <c r="C28" s="132">
        <f>181.04+41.79+629.56</f>
        <v>852.38999999999987</v>
      </c>
      <c r="D28" s="133">
        <f t="shared" si="1"/>
        <v>236.32000000000016</v>
      </c>
      <c r="E28" s="42"/>
      <c r="F28" s="42"/>
      <c r="G28" s="91"/>
      <c r="H28" s="13"/>
      <c r="I28" s="13"/>
      <c r="J28" s="13"/>
      <c r="K28" s="13"/>
      <c r="L28" s="13"/>
    </row>
    <row r="29" spans="1:12" s="14" customFormat="1" ht="30.75" thickBot="1">
      <c r="A29" s="25" t="s">
        <v>10</v>
      </c>
      <c r="B29" s="37" t="s">
        <v>19</v>
      </c>
      <c r="C29" s="48" t="s">
        <v>12</v>
      </c>
      <c r="D29" s="44" t="s">
        <v>11</v>
      </c>
      <c r="E29" s="37" t="s">
        <v>21</v>
      </c>
      <c r="F29" s="37" t="s">
        <v>20</v>
      </c>
      <c r="G29" s="70" t="s">
        <v>58</v>
      </c>
      <c r="H29" s="65"/>
    </row>
    <row r="30" spans="1:12" s="14" customFormat="1" ht="15.75" thickBot="1">
      <c r="A30" s="9" t="s">
        <v>23</v>
      </c>
      <c r="B30" s="161">
        <f>1209.39+425.04+601.5</f>
        <v>2235.9300000000003</v>
      </c>
      <c r="C30" s="162">
        <f>107+1094.36+15.19+409.85+601.5</f>
        <v>2227.9</v>
      </c>
      <c r="D30" s="46">
        <f>B30-C30</f>
        <v>8.0300000000002001</v>
      </c>
      <c r="E30" s="61"/>
      <c r="F30" s="62"/>
      <c r="G30" s="26">
        <v>94.47</v>
      </c>
      <c r="H30" s="13"/>
      <c r="I30" s="13"/>
      <c r="J30" s="13"/>
      <c r="K30" s="13"/>
      <c r="L30" s="13"/>
    </row>
    <row r="31" spans="1:12" s="14" customFormat="1" ht="30.75" thickBot="1">
      <c r="A31" s="25" t="s">
        <v>22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">
      <c r="A32" s="9" t="s">
        <v>35</v>
      </c>
      <c r="B32" s="38">
        <f>77.55+125.79+564.23+17.08</f>
        <v>784.65000000000009</v>
      </c>
      <c r="C32" s="50">
        <f>77.55+103.1+564.23+17.08</f>
        <v>761.96</v>
      </c>
      <c r="D32" s="49">
        <f>B32-C32</f>
        <v>22.690000000000055</v>
      </c>
      <c r="E32" s="82"/>
      <c r="F32" s="60"/>
      <c r="G32" s="76">
        <v>126.33</v>
      </c>
      <c r="H32" s="13"/>
      <c r="I32" s="13"/>
      <c r="J32" s="13"/>
      <c r="K32" s="13"/>
      <c r="L32" s="13"/>
    </row>
    <row r="33" spans="1:12" s="14" customFormat="1" ht="17.25" customHeight="1">
      <c r="A33" s="20" t="s">
        <v>38</v>
      </c>
      <c r="B33" s="41">
        <v>325.12</v>
      </c>
      <c r="C33" s="53">
        <f>284.19+60</f>
        <v>344.19</v>
      </c>
      <c r="D33" s="22">
        <f>B33-C33</f>
        <v>-19.069999999999993</v>
      </c>
      <c r="E33" s="54"/>
      <c r="F33" s="41"/>
      <c r="G33" s="27">
        <v>136</v>
      </c>
      <c r="H33" s="13"/>
      <c r="I33" s="13"/>
      <c r="J33" s="13"/>
      <c r="K33" s="13"/>
      <c r="L33" s="13"/>
    </row>
    <row r="34" spans="1:12" s="14" customFormat="1" ht="12.75" customHeight="1">
      <c r="A34" s="124" t="s">
        <v>70</v>
      </c>
      <c r="B34" s="54">
        <f>882.47+856+602.44</f>
        <v>2340.91</v>
      </c>
      <c r="C34" s="22">
        <f>251.2+707.78+739.8+26.84+591.83</f>
        <v>2317.4499999999998</v>
      </c>
      <c r="D34" s="22">
        <f>B34-C34</f>
        <v>23.460000000000036</v>
      </c>
      <c r="E34" s="54"/>
      <c r="F34" s="41"/>
      <c r="G34" s="27">
        <v>806.16</v>
      </c>
      <c r="H34" s="13"/>
      <c r="I34" s="13"/>
      <c r="J34" s="13"/>
      <c r="K34" s="13"/>
      <c r="L34" s="13"/>
    </row>
    <row r="35" spans="1:12" s="14" customFormat="1">
      <c r="A35" s="81" t="s">
        <v>119</v>
      </c>
      <c r="B35" s="132">
        <f>30.64+157.16+14.68+211.03+5698.74</f>
        <v>6112.25</v>
      </c>
      <c r="C35" s="132">
        <f>30.64+157.16+211.03+5426.73</f>
        <v>5825.5599999999995</v>
      </c>
      <c r="D35" s="133">
        <f>B35-C35</f>
        <v>286.69000000000051</v>
      </c>
      <c r="E35" s="111"/>
      <c r="F35" s="57"/>
      <c r="G35" s="112"/>
      <c r="K35" s="13"/>
      <c r="L35" s="13"/>
    </row>
    <row r="36" spans="1:12" s="14" customFormat="1" ht="13.5" thickBot="1">
      <c r="A36" s="24" t="s">
        <v>99</v>
      </c>
      <c r="B36" s="126">
        <v>4322.7299999999996</v>
      </c>
      <c r="C36" s="113">
        <v>0</v>
      </c>
      <c r="D36" s="126">
        <f>B36</f>
        <v>4322.7299999999996</v>
      </c>
      <c r="E36" s="71"/>
      <c r="F36" s="72"/>
      <c r="G36" s="74"/>
      <c r="K36" s="13"/>
      <c r="L36" s="13"/>
    </row>
    <row r="37" spans="1:12" ht="34.5" customHeight="1" thickBot="1">
      <c r="A37" s="25" t="s">
        <v>72</v>
      </c>
      <c r="B37" s="37" t="s">
        <v>19</v>
      </c>
      <c r="C37" s="48" t="s">
        <v>12</v>
      </c>
      <c r="D37" s="44" t="s">
        <v>11</v>
      </c>
      <c r="E37" s="37" t="s">
        <v>21</v>
      </c>
      <c r="F37" s="87" t="s">
        <v>84</v>
      </c>
      <c r="G37" s="68"/>
      <c r="H37" s="13"/>
      <c r="I37" s="13"/>
      <c r="J37" s="13"/>
      <c r="K37" s="13"/>
      <c r="L37" s="13"/>
    </row>
    <row r="38" spans="1:12" ht="19.5" customHeight="1" thickBot="1">
      <c r="A38" s="9" t="s">
        <v>71</v>
      </c>
      <c r="B38" s="120"/>
      <c r="C38" s="120"/>
      <c r="D38" s="121">
        <f>B38-C38</f>
        <v>0</v>
      </c>
      <c r="E38" s="123"/>
      <c r="F38" s="122"/>
      <c r="G38" s="68"/>
    </row>
    <row r="39" spans="1:12" ht="19.5" customHeight="1" thickBot="1">
      <c r="A39" s="25" t="s">
        <v>50</v>
      </c>
      <c r="B39" s="75" t="s">
        <v>65</v>
      </c>
      <c r="C39" s="68"/>
      <c r="D39" s="68"/>
      <c r="E39" s="68"/>
      <c r="F39" s="68"/>
      <c r="G39" s="68"/>
      <c r="H39" s="13"/>
      <c r="I39" s="13"/>
      <c r="J39" s="13"/>
      <c r="K39" s="13"/>
      <c r="L39" s="13"/>
    </row>
    <row r="40" spans="1:12" ht="30" customHeight="1">
      <c r="A40" s="101" t="s">
        <v>138</v>
      </c>
      <c r="B40" s="79"/>
      <c r="C40" s="68"/>
      <c r="D40" s="68"/>
      <c r="E40" s="68"/>
      <c r="F40" s="68"/>
      <c r="G40" s="68"/>
    </row>
    <row r="41" spans="1:12" ht="15">
      <c r="A41" s="29" t="s">
        <v>139</v>
      </c>
      <c r="B41" s="80"/>
      <c r="C41" s="68"/>
      <c r="D41" s="68"/>
      <c r="E41" s="68"/>
      <c r="F41" s="68"/>
      <c r="G41" s="68"/>
    </row>
    <row r="42" spans="1:12" ht="15">
      <c r="A42" s="29" t="s">
        <v>140</v>
      </c>
      <c r="B42" s="80">
        <v>0.75</v>
      </c>
      <c r="C42" s="68"/>
      <c r="D42" s="68"/>
      <c r="E42" s="68"/>
      <c r="F42" s="68"/>
      <c r="G42" s="68"/>
    </row>
    <row r="43" spans="1:12" ht="15">
      <c r="A43" s="29" t="s">
        <v>141</v>
      </c>
      <c r="B43" s="80">
        <v>0</v>
      </c>
      <c r="C43" s="68"/>
      <c r="D43" s="68"/>
      <c r="E43" s="68"/>
      <c r="F43" s="68"/>
      <c r="G43" s="68"/>
    </row>
    <row r="44" spans="1:12" ht="15">
      <c r="A44" s="20" t="s">
        <v>142</v>
      </c>
      <c r="B44" s="80"/>
      <c r="C44" s="68"/>
      <c r="D44" s="68"/>
      <c r="E44" s="68"/>
      <c r="F44" s="68"/>
      <c r="G44" s="68"/>
    </row>
    <row r="45" spans="1:12" ht="25.5">
      <c r="A45" s="64" t="s">
        <v>143</v>
      </c>
      <c r="B45" s="80"/>
      <c r="C45" s="68"/>
      <c r="D45" s="68"/>
      <c r="E45" s="68"/>
      <c r="F45" s="68"/>
      <c r="G45" s="68"/>
    </row>
    <row r="46" spans="1:12" ht="25.5">
      <c r="A46" s="64" t="s">
        <v>144</v>
      </c>
      <c r="B46" s="80"/>
      <c r="C46" s="68"/>
      <c r="D46" s="68"/>
      <c r="E46" s="68"/>
      <c r="F46" s="68"/>
      <c r="G46" s="68"/>
    </row>
    <row r="47" spans="1:12" ht="25.5">
      <c r="A47" s="64" t="s">
        <v>145</v>
      </c>
      <c r="B47" s="80"/>
      <c r="C47" s="68"/>
      <c r="D47" s="68"/>
      <c r="E47" s="68"/>
      <c r="F47" s="68"/>
      <c r="G47" s="68"/>
    </row>
    <row r="48" spans="1:12" ht="15">
      <c r="A48" s="18" t="s">
        <v>125</v>
      </c>
      <c r="B48" s="80"/>
      <c r="C48" s="68"/>
      <c r="D48" s="68"/>
      <c r="E48" s="68"/>
      <c r="F48" s="68"/>
      <c r="G48" s="68"/>
    </row>
    <row r="49" spans="1:12" ht="14.25" customHeight="1">
      <c r="A49" s="29" t="s">
        <v>126</v>
      </c>
      <c r="B49" s="80"/>
      <c r="C49" s="68"/>
      <c r="D49" s="68"/>
      <c r="E49" s="68"/>
      <c r="F49" s="68"/>
      <c r="G49" s="68"/>
    </row>
    <row r="50" spans="1:12" ht="26.25" customHeight="1">
      <c r="A50" s="29" t="s">
        <v>127</v>
      </c>
      <c r="B50" s="80"/>
      <c r="C50" s="68"/>
      <c r="D50" s="68"/>
      <c r="E50" s="68"/>
      <c r="F50" s="68"/>
      <c r="G50" s="68"/>
    </row>
    <row r="51" spans="1:12" ht="33" customHeight="1">
      <c r="A51" s="29" t="s">
        <v>128</v>
      </c>
      <c r="B51" s="80"/>
      <c r="C51" s="68"/>
      <c r="D51" s="68"/>
      <c r="E51" s="68"/>
      <c r="F51" s="68"/>
      <c r="G51" s="68"/>
      <c r="J51" s="13"/>
      <c r="K51" s="13"/>
      <c r="L51" s="13"/>
    </row>
    <row r="52" spans="1:12" ht="32.25" customHeight="1">
      <c r="A52" s="29" t="s">
        <v>129</v>
      </c>
      <c r="B52" s="80"/>
      <c r="C52" s="68"/>
      <c r="D52" s="68"/>
      <c r="E52" s="68"/>
      <c r="F52" s="68"/>
      <c r="G52" s="68"/>
    </row>
    <row r="53" spans="1:12" ht="31.5" customHeight="1">
      <c r="A53" s="29" t="s">
        <v>134</v>
      </c>
      <c r="B53" s="80"/>
      <c r="C53" s="68"/>
      <c r="D53" s="68"/>
      <c r="E53" s="68"/>
      <c r="F53" s="68"/>
      <c r="G53" s="68"/>
    </row>
    <row r="54" spans="1:12" s="14" customFormat="1" ht="15">
      <c r="A54" s="29" t="s">
        <v>135</v>
      </c>
      <c r="B54" s="80"/>
      <c r="C54" s="68"/>
      <c r="D54" s="68"/>
      <c r="E54" s="68"/>
      <c r="F54" s="68"/>
      <c r="G54" s="68"/>
      <c r="H54" s="3"/>
      <c r="I54" s="3"/>
      <c r="J54" s="13"/>
      <c r="K54" s="13"/>
      <c r="L54" s="13"/>
    </row>
    <row r="55" spans="1:12" s="14" customFormat="1" ht="15">
      <c r="A55" s="29" t="s">
        <v>136</v>
      </c>
      <c r="B55" s="80"/>
      <c r="C55" s="68"/>
      <c r="D55" s="68"/>
      <c r="E55" s="68"/>
      <c r="F55" s="68"/>
      <c r="G55" s="68"/>
      <c r="H55" s="3"/>
      <c r="I55" s="3"/>
      <c r="J55" s="13"/>
      <c r="K55" s="13"/>
      <c r="L55" s="13"/>
    </row>
    <row r="56" spans="1:12" s="14" customFormat="1" ht="15">
      <c r="A56" s="29" t="s">
        <v>130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131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64" t="s">
        <v>132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25.5">
      <c r="A59" s="64" t="s">
        <v>133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ht="15">
      <c r="A60" s="66" t="s">
        <v>146</v>
      </c>
      <c r="B60" s="80"/>
      <c r="C60" s="68"/>
      <c r="D60" s="68"/>
      <c r="E60" s="68"/>
      <c r="F60" s="68"/>
      <c r="G60" s="68"/>
    </row>
    <row r="61" spans="1:12" ht="15">
      <c r="A61" s="81" t="s">
        <v>124</v>
      </c>
      <c r="B61" s="80"/>
      <c r="C61" s="68"/>
      <c r="D61" s="68"/>
      <c r="E61" s="68"/>
      <c r="F61" s="68"/>
      <c r="G61" s="68"/>
    </row>
    <row r="62" spans="1:12" ht="15">
      <c r="A62" s="64" t="s">
        <v>73</v>
      </c>
      <c r="B62" s="80"/>
      <c r="C62" s="68"/>
      <c r="D62" s="68"/>
      <c r="E62" s="68"/>
      <c r="F62" s="68"/>
      <c r="G62" s="68"/>
    </row>
    <row r="63" spans="1:12" ht="15">
      <c r="A63" s="64" t="s">
        <v>74</v>
      </c>
      <c r="B63" s="80"/>
      <c r="C63" s="68"/>
      <c r="D63" s="68"/>
      <c r="E63" s="68"/>
      <c r="F63" s="68"/>
      <c r="G63" s="68"/>
    </row>
    <row r="64" spans="1:12" s="14" customFormat="1" ht="15">
      <c r="A64" s="64" t="s">
        <v>76</v>
      </c>
      <c r="B64" s="80"/>
      <c r="C64" s="68"/>
      <c r="D64" s="68"/>
      <c r="E64" s="68"/>
      <c r="F64" s="68"/>
      <c r="G64" s="68"/>
      <c r="H64" s="13"/>
      <c r="I64" s="13"/>
      <c r="J64" s="3"/>
      <c r="K64" s="3"/>
      <c r="L64" s="3"/>
    </row>
    <row r="65" spans="1:9" ht="15">
      <c r="A65" s="64" t="s">
        <v>75</v>
      </c>
      <c r="B65" s="80"/>
      <c r="C65" s="68"/>
      <c r="D65" s="68"/>
      <c r="E65" s="68"/>
      <c r="F65" s="68"/>
      <c r="G65" s="68"/>
      <c r="H65" s="13"/>
      <c r="I65" s="13"/>
    </row>
    <row r="66" spans="1:9" ht="15">
      <c r="A66" s="64" t="s">
        <v>77</v>
      </c>
      <c r="B66" s="80"/>
      <c r="C66" s="68"/>
      <c r="D66" s="68"/>
      <c r="E66" s="68"/>
      <c r="F66" s="68"/>
      <c r="G66" s="68"/>
    </row>
    <row r="67" spans="1:9" ht="15">
      <c r="A67" s="64" t="s">
        <v>83</v>
      </c>
      <c r="B67" s="80"/>
      <c r="C67" s="68"/>
      <c r="D67" s="68"/>
      <c r="E67" s="68"/>
      <c r="F67" s="68"/>
      <c r="G67" s="68"/>
    </row>
    <row r="68" spans="1:9" ht="15">
      <c r="A68" s="64" t="s">
        <v>90</v>
      </c>
      <c r="B68" s="80"/>
      <c r="C68" s="68"/>
      <c r="D68" s="68"/>
      <c r="E68" s="68"/>
      <c r="F68" s="68"/>
      <c r="G68" s="68"/>
    </row>
    <row r="69" spans="1:9" ht="15">
      <c r="A69" s="64" t="s">
        <v>91</v>
      </c>
      <c r="B69" s="80"/>
      <c r="C69" s="36"/>
      <c r="D69" s="55"/>
      <c r="E69" s="59"/>
      <c r="F69" s="59"/>
    </row>
    <row r="70" spans="1:9" ht="15">
      <c r="A70" s="64" t="s">
        <v>96</v>
      </c>
      <c r="B70" s="80"/>
      <c r="C70" s="36"/>
      <c r="D70" s="55"/>
      <c r="E70" s="59"/>
      <c r="F70" s="59"/>
    </row>
    <row r="71" spans="1:9" ht="15">
      <c r="A71" s="64" t="s">
        <v>97</v>
      </c>
      <c r="B71" s="80"/>
      <c r="C71" s="36"/>
      <c r="D71" s="55"/>
      <c r="E71" s="59"/>
      <c r="F71" s="59"/>
    </row>
    <row r="72" spans="1:9" ht="15">
      <c r="A72" s="64" t="s">
        <v>98</v>
      </c>
      <c r="B72" s="80"/>
      <c r="C72" s="36"/>
      <c r="D72" s="55"/>
      <c r="E72" s="59"/>
      <c r="F72" s="59"/>
    </row>
    <row r="73" spans="1:9" ht="15">
      <c r="A73" s="64" t="s">
        <v>137</v>
      </c>
      <c r="B73" s="80"/>
      <c r="C73" s="36"/>
      <c r="D73" s="55"/>
      <c r="E73" s="59"/>
      <c r="F73" s="59"/>
    </row>
    <row r="74" spans="1:9" ht="15">
      <c r="A74" s="64" t="s">
        <v>94</v>
      </c>
      <c r="B74" s="80"/>
      <c r="C74" s="36"/>
      <c r="D74" s="55"/>
      <c r="E74" s="59"/>
      <c r="F74" s="59"/>
    </row>
    <row r="75" spans="1:9" ht="15">
      <c r="A75" s="64" t="s">
        <v>95</v>
      </c>
      <c r="B75" s="80"/>
      <c r="C75" s="36"/>
      <c r="D75" s="55"/>
      <c r="E75" s="59"/>
      <c r="F75" s="59"/>
    </row>
    <row r="76" spans="1:9" ht="25.5">
      <c r="A76" s="64" t="s">
        <v>147</v>
      </c>
      <c r="B76" s="80"/>
      <c r="C76" s="36"/>
      <c r="D76" s="55"/>
      <c r="E76" s="59"/>
      <c r="F76" s="59"/>
    </row>
    <row r="77" spans="1:9" ht="25.5">
      <c r="A77" s="64" t="s">
        <v>148</v>
      </c>
      <c r="B77" s="80"/>
      <c r="C77" s="36"/>
      <c r="D77" s="55"/>
      <c r="E77" s="59"/>
      <c r="F77" s="59"/>
    </row>
    <row r="78" spans="1:9" ht="25.5">
      <c r="A78" s="64" t="s">
        <v>149</v>
      </c>
      <c r="B78" s="80"/>
      <c r="C78" s="36"/>
      <c r="D78" s="55"/>
      <c r="E78" s="59"/>
      <c r="F78" s="59"/>
    </row>
    <row r="79" spans="1:9" ht="15">
      <c r="A79" s="64" t="s">
        <v>150</v>
      </c>
      <c r="B79" s="80"/>
      <c r="C79" s="36"/>
      <c r="D79" s="55"/>
      <c r="E79" s="59"/>
      <c r="F79" s="59"/>
    </row>
    <row r="80" spans="1:9" ht="15">
      <c r="A80" s="64" t="s">
        <v>151</v>
      </c>
      <c r="B80" s="80"/>
      <c r="C80" s="36"/>
      <c r="D80" s="55"/>
      <c r="E80" s="59"/>
      <c r="F80" s="59"/>
    </row>
    <row r="81" spans="1:12" ht="15">
      <c r="A81" s="94" t="s">
        <v>82</v>
      </c>
      <c r="B81" s="80">
        <v>0.9</v>
      </c>
      <c r="C81" s="36"/>
      <c r="D81" s="55"/>
      <c r="E81" s="59"/>
      <c r="F81" s="59"/>
    </row>
    <row r="82" spans="1:12" ht="15">
      <c r="A82" s="94" t="s">
        <v>101</v>
      </c>
      <c r="B82" s="80">
        <v>43.04</v>
      </c>
      <c r="C82" s="36"/>
      <c r="D82" s="55"/>
      <c r="E82" s="59"/>
      <c r="F82" s="59"/>
    </row>
    <row r="83" spans="1:12" ht="15">
      <c r="A83" s="94" t="s">
        <v>102</v>
      </c>
      <c r="B83" s="80">
        <v>0</v>
      </c>
      <c r="C83" s="36"/>
      <c r="D83" s="55"/>
      <c r="E83" s="59"/>
      <c r="F83" s="59"/>
    </row>
    <row r="84" spans="1:12" ht="15">
      <c r="A84" s="94" t="s">
        <v>103</v>
      </c>
      <c r="B84" s="80">
        <v>0.7</v>
      </c>
      <c r="C84" s="36"/>
      <c r="D84" s="55"/>
      <c r="E84" s="59"/>
      <c r="F84" s="59"/>
    </row>
    <row r="85" spans="1:12" ht="15">
      <c r="A85" s="94" t="s">
        <v>104</v>
      </c>
      <c r="B85" s="80">
        <v>3.86</v>
      </c>
      <c r="C85" s="36"/>
      <c r="D85" s="55"/>
      <c r="E85" s="59"/>
      <c r="F85" s="59"/>
    </row>
    <row r="86" spans="1:12" ht="25.5">
      <c r="A86" s="115" t="s">
        <v>112</v>
      </c>
      <c r="B86" s="80"/>
      <c r="C86" s="36"/>
      <c r="D86" s="55"/>
      <c r="E86" s="59"/>
      <c r="F86" s="59"/>
    </row>
    <row r="87" spans="1:12" ht="26.25" thickBot="1">
      <c r="A87" s="95" t="s">
        <v>111</v>
      </c>
      <c r="B87" s="96"/>
      <c r="C87" s="36"/>
      <c r="D87" s="55"/>
      <c r="E87" s="59"/>
      <c r="F87" s="59"/>
    </row>
    <row r="88" spans="1:12" ht="15.75" thickBot="1">
      <c r="A88" s="92"/>
      <c r="B88" s="137"/>
      <c r="C88" s="36"/>
      <c r="D88" s="55"/>
      <c r="E88" s="59"/>
      <c r="F88" s="59"/>
    </row>
    <row r="89" spans="1:12" s="14" customFormat="1" ht="15.75" thickBot="1">
      <c r="A89" s="93" t="s">
        <v>64</v>
      </c>
      <c r="B89" s="78">
        <f>SUM(B2:B38)</f>
        <v>29490.339999999997</v>
      </c>
      <c r="C89" s="69"/>
      <c r="D89" s="58"/>
      <c r="E89" s="68"/>
      <c r="F89" s="68"/>
      <c r="G89" s="58"/>
      <c r="H89" s="13"/>
      <c r="I89" s="13"/>
      <c r="J89" s="13"/>
      <c r="K89" s="13"/>
      <c r="L89" s="13"/>
    </row>
    <row r="90" spans="1:12" s="14" customFormat="1" ht="15.75" thickBot="1">
      <c r="A90" s="67" t="s">
        <v>55</v>
      </c>
      <c r="B90" s="28">
        <f>SUM(G2:G36)</f>
        <v>6447.3300000000017</v>
      </c>
      <c r="C90" s="58"/>
      <c r="D90" s="58"/>
      <c r="E90" s="68"/>
      <c r="F90" s="68"/>
      <c r="G90" s="30"/>
      <c r="H90" s="13"/>
      <c r="I90" s="13"/>
      <c r="J90" s="13"/>
      <c r="K90" s="13"/>
      <c r="L90" s="13"/>
    </row>
    <row r="91" spans="1:12" ht="15.75" thickBot="1">
      <c r="A91" s="86" t="s">
        <v>56</v>
      </c>
      <c r="B91" s="78">
        <f>SUM(B40:B87)</f>
        <v>49.25</v>
      </c>
      <c r="C91" s="36"/>
      <c r="D91" s="55"/>
      <c r="E91" s="59"/>
      <c r="F91" s="59"/>
    </row>
    <row r="92" spans="1:12" ht="15.75" thickBot="1">
      <c r="A92" s="77" t="s">
        <v>623</v>
      </c>
      <c r="B92" s="78">
        <f>B89+B90+B91</f>
        <v>35986.92</v>
      </c>
      <c r="C92" s="36"/>
      <c r="D92" s="55"/>
    </row>
    <row r="93" spans="1:12">
      <c r="B93" s="36"/>
      <c r="C93" s="36"/>
      <c r="D93" s="55"/>
    </row>
    <row r="94" spans="1:12">
      <c r="B94" s="36"/>
      <c r="C94" s="36"/>
      <c r="D94" s="55"/>
    </row>
    <row r="95" spans="1:12">
      <c r="B95" s="36"/>
      <c r="C95" s="36"/>
      <c r="D95" s="36"/>
    </row>
    <row r="96" spans="1:12">
      <c r="B96" s="36"/>
      <c r="C96" s="36"/>
      <c r="D96" s="36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 s="36" customFormat="1">
      <c r="A99" s="3"/>
      <c r="G99" s="33"/>
      <c r="H99" s="3"/>
      <c r="I99" s="3"/>
      <c r="J99" s="3"/>
      <c r="K99" s="3"/>
      <c r="L99" s="3"/>
    </row>
    <row r="100" spans="1:12" s="36" customFormat="1">
      <c r="A100" s="3"/>
      <c r="G100" s="33"/>
      <c r="H100" s="3"/>
      <c r="I100" s="3"/>
      <c r="J100" s="3"/>
      <c r="K100" s="3"/>
      <c r="L100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sqref="A1:D40"/>
    </sheetView>
  </sheetViews>
  <sheetFormatPr defaultRowHeight="12.75"/>
  <cols>
    <col min="1" max="1" width="29.7109375" style="3" bestFit="1" customWidth="1"/>
    <col min="2" max="2" width="24.5703125" style="186" customWidth="1"/>
    <col min="3" max="3" width="22.42578125" style="186" customWidth="1"/>
    <col min="4" max="4" width="16.140625" style="186" customWidth="1"/>
    <col min="5" max="6" width="9.140625" style="3"/>
    <col min="7" max="7" width="13.28515625" style="3" customWidth="1"/>
    <col min="8" max="16384" width="9.140625" style="3"/>
  </cols>
  <sheetData>
    <row r="1" spans="1:7" ht="30.75" thickBot="1">
      <c r="A1" s="7" t="s">
        <v>7</v>
      </c>
      <c r="B1" s="173" t="s">
        <v>19</v>
      </c>
      <c r="C1" s="174" t="s">
        <v>12</v>
      </c>
      <c r="D1" s="174" t="s">
        <v>11</v>
      </c>
    </row>
    <row r="2" spans="1:7">
      <c r="A2" s="9" t="s">
        <v>36</v>
      </c>
      <c r="B2" s="175">
        <f>Luglio!B2+Agosto!B2+Settembre!B2</f>
        <v>2610.0300000000002</v>
      </c>
      <c r="C2" s="175">
        <f>Luglio!C2+Agosto!C2+Settembre!C2</f>
        <v>2406.0299999999997</v>
      </c>
      <c r="D2" s="175">
        <f>Luglio!D2+Agosto!D2+Settembre!D2</f>
        <v>204.00000000000023</v>
      </c>
    </row>
    <row r="3" spans="1:7" s="14" customFormat="1" ht="13.5" thickBot="1">
      <c r="A3" s="11" t="s">
        <v>28</v>
      </c>
      <c r="B3" s="175">
        <f>Luglio!B3+Agosto!B3+Settembre!B3</f>
        <v>504</v>
      </c>
      <c r="C3" s="175">
        <f>Luglio!C3+Agosto!C3+Settembre!C3</f>
        <v>0</v>
      </c>
      <c r="D3" s="175">
        <f>Luglio!D3+Agosto!D3+Settembre!D3</f>
        <v>504</v>
      </c>
      <c r="E3" s="13"/>
      <c r="F3" s="13"/>
      <c r="G3" s="13"/>
    </row>
    <row r="4" spans="1:7" ht="15.75" thickBot="1">
      <c r="A4" s="15" t="s">
        <v>5</v>
      </c>
      <c r="B4" s="173"/>
      <c r="C4" s="178"/>
      <c r="D4" s="179"/>
    </row>
    <row r="5" spans="1:7" s="14" customFormat="1">
      <c r="A5" s="18" t="s">
        <v>60</v>
      </c>
      <c r="B5" s="175">
        <f>Luglio!B5+Agosto!B5+Settembre!B5</f>
        <v>0</v>
      </c>
      <c r="C5" s="175">
        <f>Luglio!C5+Agosto!C5+Settembre!C5</f>
        <v>0</v>
      </c>
      <c r="D5" s="175">
        <f>Luglio!D5+Agosto!D5+Settembre!D5</f>
        <v>0</v>
      </c>
      <c r="E5" s="13"/>
      <c r="F5" s="13"/>
      <c r="G5" s="13"/>
    </row>
    <row r="6" spans="1:7" s="14" customFormat="1">
      <c r="A6" s="20" t="s">
        <v>100</v>
      </c>
      <c r="B6" s="175">
        <f>Luglio!B6+Agosto!B6+Settembre!B6</f>
        <v>4810.74</v>
      </c>
      <c r="C6" s="175">
        <f>Luglio!C6+Agosto!C6+Settembre!C6</f>
        <v>4736.84</v>
      </c>
      <c r="D6" s="175">
        <f>Luglio!D6+Agosto!D6+Settembre!D6</f>
        <v>73.900000000000148</v>
      </c>
      <c r="E6" s="13"/>
      <c r="F6" s="13"/>
      <c r="G6" s="13"/>
    </row>
    <row r="7" spans="1:7" s="14" customFormat="1">
      <c r="A7" s="20" t="s">
        <v>29</v>
      </c>
      <c r="B7" s="175">
        <f>Luglio!B7+Agosto!B7+Settembre!B7</f>
        <v>0</v>
      </c>
      <c r="C7" s="175">
        <f>Luglio!C7+Agosto!C7+Settembre!C7</f>
        <v>0</v>
      </c>
      <c r="D7" s="175">
        <f>Luglio!D7+Agosto!D7+Settembre!D7</f>
        <v>0</v>
      </c>
      <c r="E7" s="13"/>
      <c r="F7" s="13"/>
      <c r="G7" s="13"/>
    </row>
    <row r="8" spans="1:7" s="14" customFormat="1">
      <c r="A8" s="20" t="s">
        <v>92</v>
      </c>
      <c r="B8" s="175">
        <f>Luglio!B8+Agosto!B8+Settembre!B8</f>
        <v>0</v>
      </c>
      <c r="C8" s="175">
        <f>Luglio!C8+Agosto!C8+Settembre!C8</f>
        <v>0</v>
      </c>
      <c r="D8" s="175">
        <f>Luglio!D8+Agosto!D8+Settembre!D8</f>
        <v>0</v>
      </c>
      <c r="E8" s="13"/>
      <c r="F8" s="13"/>
      <c r="G8" s="13"/>
    </row>
    <row r="9" spans="1:7" s="14" customFormat="1">
      <c r="A9" s="20" t="s">
        <v>37</v>
      </c>
      <c r="B9" s="175">
        <f>Luglio!B9+Agosto!B9+Settembre!B9</f>
        <v>52</v>
      </c>
      <c r="C9" s="175">
        <f>Luglio!C9+Agosto!C9+Settembre!C9</f>
        <v>0</v>
      </c>
      <c r="D9" s="175">
        <f>Luglio!D9+Agosto!D9+Settembre!D9</f>
        <v>52</v>
      </c>
      <c r="E9" s="13"/>
      <c r="F9" s="13"/>
      <c r="G9" s="13"/>
    </row>
    <row r="10" spans="1:7" s="14" customFormat="1">
      <c r="A10" s="20" t="s">
        <v>68</v>
      </c>
      <c r="B10" s="175">
        <f>Luglio!B10+Agosto!B10+Settembre!B10</f>
        <v>3869.67</v>
      </c>
      <c r="C10" s="175">
        <f>Luglio!C10+Agosto!C10+Settembre!C10</f>
        <v>4084.8999999999996</v>
      </c>
      <c r="D10" s="175">
        <f>Luglio!D10+Agosto!D10+Settembre!D10</f>
        <v>-215.22999999999956</v>
      </c>
      <c r="E10" s="13"/>
      <c r="F10" s="13"/>
      <c r="G10" s="13"/>
    </row>
    <row r="11" spans="1:7" s="14" customFormat="1">
      <c r="A11" s="20" t="s">
        <v>122</v>
      </c>
      <c r="B11" s="175">
        <f>Luglio!B11+Agosto!B11+Settembre!B11</f>
        <v>0</v>
      </c>
      <c r="C11" s="175">
        <f>Luglio!C11+Agosto!C11+Settembre!C11</f>
        <v>0</v>
      </c>
      <c r="D11" s="175">
        <f>Luglio!D11+Agosto!D11+Settembre!D11</f>
        <v>0</v>
      </c>
      <c r="E11" s="13"/>
      <c r="F11" s="13"/>
      <c r="G11" s="13"/>
    </row>
    <row r="12" spans="1:7" s="14" customFormat="1">
      <c r="A12" s="20" t="s">
        <v>168</v>
      </c>
      <c r="B12" s="175">
        <f>Luglio!B12+Agosto!B12+Settembre!B12</f>
        <v>885</v>
      </c>
      <c r="C12" s="175">
        <f>Luglio!C12+Agosto!C12+Settembre!C12</f>
        <v>0</v>
      </c>
      <c r="D12" s="175">
        <f>Luglio!D12+Agosto!D12+Settembre!D12</f>
        <v>885</v>
      </c>
      <c r="E12" s="13"/>
      <c r="F12" s="13"/>
      <c r="G12" s="13"/>
    </row>
    <row r="13" spans="1:7" s="14" customFormat="1">
      <c r="A13" s="20" t="s">
        <v>115</v>
      </c>
      <c r="B13" s="175">
        <f>Luglio!B13+Agosto!B13+Settembre!B13</f>
        <v>0</v>
      </c>
      <c r="C13" s="175">
        <f>Luglio!C13+Agosto!C13+Settembre!C13</f>
        <v>0</v>
      </c>
      <c r="D13" s="175">
        <f>Luglio!D13+Agosto!D13+Settembre!D13</f>
        <v>0</v>
      </c>
      <c r="E13" s="13"/>
      <c r="F13" s="13"/>
      <c r="G13" s="13"/>
    </row>
    <row r="14" spans="1:7" s="14" customFormat="1">
      <c r="A14" s="20" t="s">
        <v>123</v>
      </c>
      <c r="B14" s="175">
        <f>Luglio!B14+Agosto!B14+Settembre!B14</f>
        <v>2498.08</v>
      </c>
      <c r="C14" s="175">
        <f>Luglio!C14+Agosto!C14+Settembre!C14</f>
        <v>2477.21</v>
      </c>
      <c r="D14" s="175">
        <f>Luglio!D14+Agosto!D14+Settembre!D14</f>
        <v>20.870000000000005</v>
      </c>
      <c r="E14" s="13"/>
      <c r="F14" s="13"/>
      <c r="G14" s="13"/>
    </row>
    <row r="15" spans="1:7" s="14" customFormat="1">
      <c r="A15" s="20" t="s">
        <v>78</v>
      </c>
      <c r="B15" s="175">
        <f>Luglio!B15+Agosto!B15+Settembre!B15</f>
        <v>0</v>
      </c>
      <c r="C15" s="175">
        <f>Luglio!C15+Agosto!C15+Settembre!C15</f>
        <v>0</v>
      </c>
      <c r="D15" s="175">
        <f>Luglio!D15+Agosto!D15+Settembre!D15</f>
        <v>0</v>
      </c>
      <c r="E15" s="13"/>
      <c r="F15" s="13"/>
      <c r="G15" s="13"/>
    </row>
    <row r="16" spans="1:7" s="14" customFormat="1">
      <c r="A16" s="20" t="s">
        <v>93</v>
      </c>
      <c r="B16" s="175">
        <f>Luglio!B16+Agosto!B16+Settembre!B16</f>
        <v>0</v>
      </c>
      <c r="C16" s="175">
        <f>Luglio!C16+Agosto!C16+Settembre!C16</f>
        <v>0</v>
      </c>
      <c r="D16" s="175">
        <f>Luglio!D16+Agosto!D16+Settembre!D16</f>
        <v>0</v>
      </c>
      <c r="E16" s="13"/>
      <c r="F16" s="13"/>
      <c r="G16" s="13"/>
    </row>
    <row r="17" spans="1:7" s="14" customFormat="1">
      <c r="A17" s="18" t="s">
        <v>24</v>
      </c>
      <c r="B17" s="175">
        <f>Luglio!B17+Agosto!B17+Settembre!B17</f>
        <v>0</v>
      </c>
      <c r="C17" s="175">
        <f>Luglio!C17+Agosto!C17+Settembre!C17</f>
        <v>0</v>
      </c>
      <c r="D17" s="175">
        <f>Luglio!D17+Agosto!D17+Settembre!D17</f>
        <v>0</v>
      </c>
      <c r="E17" s="13"/>
      <c r="F17" s="13"/>
      <c r="G17" s="13"/>
    </row>
    <row r="18" spans="1:7" s="14" customFormat="1">
      <c r="A18" s="18" t="s">
        <v>25</v>
      </c>
      <c r="B18" s="175">
        <f>Luglio!B18+Agosto!B18+Settembre!B18</f>
        <v>1799.7600000000002</v>
      </c>
      <c r="C18" s="175">
        <f>Luglio!C18+Agosto!C18+Settembre!C18</f>
        <v>1397.85</v>
      </c>
      <c r="D18" s="175">
        <f>Luglio!D18+Agosto!D18+Settembre!D18</f>
        <v>401.91000000000008</v>
      </c>
      <c r="E18" s="13"/>
      <c r="F18" s="13"/>
      <c r="G18" s="13"/>
    </row>
    <row r="19" spans="1:7" s="14" customFormat="1">
      <c r="A19" s="18" t="s">
        <v>169</v>
      </c>
      <c r="B19" s="175">
        <f>Luglio!B19+Agosto!B19+Settembre!B19</f>
        <v>0</v>
      </c>
      <c r="C19" s="175">
        <f>Luglio!C19+Agosto!C19+Settembre!C19</f>
        <v>0</v>
      </c>
      <c r="D19" s="175">
        <f>Luglio!D19+Agosto!D19+Settembre!D19</f>
        <v>0</v>
      </c>
      <c r="E19" s="13"/>
      <c r="F19" s="13"/>
      <c r="G19" s="13"/>
    </row>
    <row r="20" spans="1:7" s="14" customFormat="1">
      <c r="A20" s="18" t="s">
        <v>59</v>
      </c>
      <c r="B20" s="175">
        <f>Luglio!B20+Agosto!B20+Settembre!B20</f>
        <v>0</v>
      </c>
      <c r="C20" s="175">
        <f>Luglio!C20+Agosto!C20+Settembre!C20</f>
        <v>0</v>
      </c>
      <c r="D20" s="175">
        <f>Luglio!D20+Agosto!D20+Settembre!D20</f>
        <v>0</v>
      </c>
      <c r="E20" s="13"/>
      <c r="F20" s="13"/>
      <c r="G20" s="13"/>
    </row>
    <row r="21" spans="1:7" s="14" customFormat="1">
      <c r="A21" s="18" t="s">
        <v>105</v>
      </c>
      <c r="B21" s="175">
        <f>Luglio!B21+Agosto!B21+Settembre!B21</f>
        <v>0</v>
      </c>
      <c r="C21" s="175">
        <f>Luglio!C21+Agosto!C21+Settembre!C21</f>
        <v>0</v>
      </c>
      <c r="D21" s="175">
        <f>Luglio!D21+Agosto!D21+Settembre!D21</f>
        <v>0</v>
      </c>
      <c r="E21" s="13"/>
      <c r="F21" s="13"/>
      <c r="G21" s="13"/>
    </row>
    <row r="22" spans="1:7" s="14" customFormat="1">
      <c r="A22" s="20" t="s">
        <v>32</v>
      </c>
      <c r="B22" s="175">
        <f>Luglio!B22+Agosto!B22+Settembre!B22</f>
        <v>146.86000000000001</v>
      </c>
      <c r="C22" s="175">
        <f>Luglio!C22+Agosto!C22+Settembre!C22</f>
        <v>0</v>
      </c>
      <c r="D22" s="175">
        <f>Luglio!D22+Agosto!D22+Settembre!D22</f>
        <v>146.86000000000001</v>
      </c>
      <c r="E22" s="13"/>
      <c r="F22" s="13"/>
      <c r="G22" s="13"/>
    </row>
    <row r="23" spans="1:7" s="14" customFormat="1">
      <c r="A23" s="20" t="s">
        <v>33</v>
      </c>
      <c r="B23" s="175">
        <f>Luglio!B23+Agosto!B23+Settembre!B23</f>
        <v>1873.37</v>
      </c>
      <c r="C23" s="175">
        <f>Luglio!C23+Agosto!C23+Settembre!C23</f>
        <v>1775.54</v>
      </c>
      <c r="D23" s="175">
        <f>Luglio!D23+Agosto!D23+Settembre!D23</f>
        <v>97.829999999999927</v>
      </c>
      <c r="E23" s="13"/>
      <c r="F23" s="13"/>
      <c r="G23" s="13"/>
    </row>
    <row r="24" spans="1:7" s="14" customFormat="1">
      <c r="A24" s="20" t="s">
        <v>31</v>
      </c>
      <c r="B24" s="175">
        <f>Luglio!B24+Agosto!B24+Settembre!B24</f>
        <v>0</v>
      </c>
      <c r="C24" s="175">
        <f>Luglio!C24+Agosto!C24+Settembre!C24</f>
        <v>0</v>
      </c>
      <c r="D24" s="175">
        <f>Luglio!D24+Agosto!D24+Settembre!D24</f>
        <v>0</v>
      </c>
    </row>
    <row r="25" spans="1:7" s="14" customFormat="1">
      <c r="A25" s="81" t="s">
        <v>69</v>
      </c>
      <c r="B25" s="175">
        <f>Luglio!B25+Agosto!B25+Settembre!B25</f>
        <v>3028.36</v>
      </c>
      <c r="C25" s="175">
        <f>Luglio!C25+Agosto!C25+Settembre!C25</f>
        <v>0</v>
      </c>
      <c r="D25" s="175">
        <f>Luglio!D25+Agosto!D25+Settembre!D25</f>
        <v>3028.36</v>
      </c>
    </row>
    <row r="26" spans="1:7" s="14" customFormat="1">
      <c r="A26" s="81" t="s">
        <v>117</v>
      </c>
      <c r="B26" s="175">
        <f>Luglio!B26+Agosto!B26+Settembre!B26</f>
        <v>0</v>
      </c>
      <c r="C26" s="175">
        <f>Luglio!C26+Agosto!C26+Settembre!C26</f>
        <v>0</v>
      </c>
      <c r="D26" s="175">
        <f>Luglio!D26+Agosto!D26+Settembre!D26</f>
        <v>0</v>
      </c>
    </row>
    <row r="27" spans="1:7" s="14" customFormat="1">
      <c r="A27" s="81" t="s">
        <v>34</v>
      </c>
      <c r="B27" s="175">
        <f>Luglio!B27+Agosto!B27+Settembre!B27</f>
        <v>869.65000000000009</v>
      </c>
      <c r="C27" s="175">
        <f>Luglio!C27+Agosto!C27+Settembre!C27</f>
        <v>827.25</v>
      </c>
      <c r="D27" s="175">
        <f>Luglio!D27+Agosto!D27+Settembre!D27</f>
        <v>42.399999999999977</v>
      </c>
    </row>
    <row r="28" spans="1:7" s="14" customFormat="1" ht="13.5" thickBot="1">
      <c r="A28" s="24" t="s">
        <v>120</v>
      </c>
      <c r="B28" s="188">
        <f>Luglio!B28+Agosto!B28+Settembre!B28</f>
        <v>2730.63</v>
      </c>
      <c r="C28" s="188">
        <f>Luglio!C28+Agosto!C28+Settembre!C28</f>
        <v>1641.5099999999998</v>
      </c>
      <c r="D28" s="188">
        <f>Luglio!D28+Agosto!D28+Settembre!D28</f>
        <v>1089.1200000000001</v>
      </c>
      <c r="E28" s="13"/>
      <c r="F28" s="13"/>
      <c r="G28" s="13"/>
    </row>
    <row r="29" spans="1:7" s="14" customFormat="1" ht="15.75" thickBot="1">
      <c r="A29" s="25" t="s">
        <v>10</v>
      </c>
      <c r="B29" s="173"/>
      <c r="C29" s="178"/>
      <c r="D29" s="179"/>
      <c r="E29" s="13"/>
      <c r="F29" s="13"/>
      <c r="G29" s="13"/>
    </row>
    <row r="30" spans="1:7" s="14" customFormat="1" ht="12.75" customHeight="1" thickBot="1">
      <c r="A30" s="17" t="s">
        <v>23</v>
      </c>
      <c r="B30" s="175">
        <f>Luglio!B30+Agosto!B30+Settembre!B30</f>
        <v>3112.28</v>
      </c>
      <c r="C30" s="175">
        <f>Luglio!C30+Agosto!C30+Settembre!C30</f>
        <v>3082.25</v>
      </c>
      <c r="D30" s="175">
        <f>Luglio!D30+Agosto!D30+Settembre!D30</f>
        <v>30.030000000000133</v>
      </c>
      <c r="E30" s="13"/>
      <c r="F30" s="13"/>
      <c r="G30" s="13"/>
    </row>
    <row r="31" spans="1:7" s="14" customFormat="1" ht="15.75" thickBot="1">
      <c r="A31" s="25" t="s">
        <v>22</v>
      </c>
      <c r="B31" s="173"/>
      <c r="C31" s="178"/>
      <c r="D31" s="179"/>
    </row>
    <row r="32" spans="1:7" s="14" customFormat="1">
      <c r="A32" s="17" t="s">
        <v>35</v>
      </c>
      <c r="B32" s="175">
        <f>Luglio!B32+Agosto!B32+Settembre!B32</f>
        <v>4348.1200000000008</v>
      </c>
      <c r="C32" s="175">
        <f>Luglio!C32+Agosto!C32+Settembre!C32</f>
        <v>3964.36</v>
      </c>
      <c r="D32" s="175">
        <f>Luglio!D32+Agosto!D32+Settembre!D32</f>
        <v>383.76000000000022</v>
      </c>
      <c r="E32" s="13"/>
      <c r="F32" s="13"/>
      <c r="G32" s="13"/>
    </row>
    <row r="33" spans="1:7" s="14" customFormat="1">
      <c r="A33" s="20" t="s">
        <v>38</v>
      </c>
      <c r="B33" s="175">
        <f>Luglio!B33+Agosto!B33+Settembre!B33</f>
        <v>1707.1799999999998</v>
      </c>
      <c r="C33" s="175">
        <f>Luglio!C33+Agosto!C33+Settembre!C33</f>
        <v>1686.0000000000002</v>
      </c>
      <c r="D33" s="175">
        <f>Luglio!D33+Agosto!D33+Settembre!D33</f>
        <v>21.179999999999779</v>
      </c>
      <c r="E33" s="13"/>
      <c r="F33" s="13"/>
      <c r="G33" s="13"/>
    </row>
    <row r="34" spans="1:7" s="14" customFormat="1">
      <c r="A34" s="20" t="s">
        <v>70</v>
      </c>
      <c r="B34" s="175">
        <f>Luglio!B34+Agosto!B34+Settembre!B34</f>
        <v>4683.6399999999994</v>
      </c>
      <c r="C34" s="175">
        <f>Luglio!C34+Agosto!C34+Settembre!C34</f>
        <v>4504.18</v>
      </c>
      <c r="D34" s="175">
        <f>Luglio!D34+Agosto!D34+Settembre!D34</f>
        <v>179.46000000000004</v>
      </c>
      <c r="E34" s="13"/>
      <c r="F34" s="13"/>
      <c r="G34" s="13"/>
    </row>
    <row r="35" spans="1:7" s="14" customFormat="1">
      <c r="A35" s="20" t="s">
        <v>119</v>
      </c>
      <c r="B35" s="188">
        <f>Luglio!B35+Agosto!B35+Settembre!B35</f>
        <v>9510.41</v>
      </c>
      <c r="C35" s="188">
        <f>Luglio!C35+Agosto!C35+Settembre!C35</f>
        <v>9100.2799999999988</v>
      </c>
      <c r="D35" s="188">
        <f>Luglio!D35+Agosto!D35+Settembre!D35</f>
        <v>410.13000000000079</v>
      </c>
      <c r="E35" s="13"/>
      <c r="F35" s="13"/>
      <c r="G35" s="13"/>
    </row>
    <row r="36" spans="1:7" s="14" customFormat="1" ht="17.25" customHeight="1" thickBot="1">
      <c r="A36" s="24" t="s">
        <v>99</v>
      </c>
      <c r="B36" s="189">
        <f>Luglio!B36+Agosto!B36+Settembre!B36</f>
        <v>8123.4499999999989</v>
      </c>
      <c r="C36" s="189">
        <f>Luglio!C36+Agosto!C36+Settembre!C36</f>
        <v>3800.72</v>
      </c>
      <c r="D36" s="189">
        <f>Luglio!D36+Agosto!D36+Settembre!D36</f>
        <v>8123.4499999999989</v>
      </c>
      <c r="F36" s="13"/>
      <c r="G36" s="13"/>
    </row>
    <row r="37" spans="1:7" s="14" customFormat="1" ht="15.75" thickBot="1">
      <c r="A37" s="25" t="s">
        <v>72</v>
      </c>
      <c r="B37" s="173"/>
      <c r="C37" s="178"/>
      <c r="D37" s="179"/>
    </row>
    <row r="38" spans="1:7" s="14" customFormat="1">
      <c r="A38" s="17" t="s">
        <v>71</v>
      </c>
      <c r="B38" s="175">
        <f>Luglio!B38+Agosto!B38+Settembre!B38</f>
        <v>1568.81</v>
      </c>
      <c r="C38" s="175">
        <f>Luglio!C38+Agosto!C38+Settembre!C38</f>
        <v>0</v>
      </c>
      <c r="D38" s="175">
        <f>Luglio!D38+Agosto!D38+Settembre!D38</f>
        <v>1568.81</v>
      </c>
      <c r="E38" s="13"/>
      <c r="F38" s="13"/>
      <c r="G38" s="13"/>
    </row>
    <row r="39" spans="1:7" ht="13.5" thickBot="1">
      <c r="A39" s="4"/>
      <c r="B39" s="183"/>
      <c r="C39" s="183"/>
      <c r="D39" s="184"/>
    </row>
    <row r="40" spans="1:7" s="14" customFormat="1" ht="15.75" thickBot="1">
      <c r="A40" s="149" t="s">
        <v>64</v>
      </c>
      <c r="B40" s="185">
        <f>SUM(B2:B38)</f>
        <v>58732.039999999994</v>
      </c>
      <c r="C40" s="185">
        <f>SUM(C2:C38)</f>
        <v>45484.92</v>
      </c>
      <c r="D40" s="185">
        <f>SUM(D2:D38)</f>
        <v>17047.84</v>
      </c>
      <c r="E40" s="13"/>
      <c r="F40" s="13"/>
      <c r="G40" s="13"/>
    </row>
    <row r="41" spans="1:7">
      <c r="A41" s="4"/>
      <c r="B41" s="183"/>
      <c r="C41" s="183"/>
      <c r="D41" s="184"/>
    </row>
    <row r="42" spans="1:7">
      <c r="D42" s="187"/>
    </row>
    <row r="43" spans="1:7">
      <c r="D43" s="187"/>
    </row>
    <row r="44" spans="1:7">
      <c r="D44" s="187"/>
    </row>
    <row r="45" spans="1:7">
      <c r="D45" s="187"/>
    </row>
    <row r="46" spans="1:7">
      <c r="D46" s="187"/>
    </row>
    <row r="47" spans="1:7">
      <c r="D47" s="18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40"/>
  <sheetViews>
    <sheetView topLeftCell="A31" workbookViewId="0">
      <selection activeCell="K27" sqref="K27"/>
    </sheetView>
  </sheetViews>
  <sheetFormatPr defaultRowHeight="12.75"/>
  <cols>
    <col min="1" max="1" width="47.140625" style="3" customWidth="1"/>
    <col min="2" max="2" width="29" style="3" hidden="1" customWidth="1"/>
    <col min="3" max="3" width="24.42578125" style="3" hidden="1" customWidth="1"/>
    <col min="4" max="4" width="24.5703125" style="3" hidden="1" customWidth="1"/>
    <col min="5" max="5" width="29" style="3" customWidth="1"/>
    <col min="6" max="6" width="24.42578125" style="3" customWidth="1"/>
    <col min="7" max="7" width="24.5703125" style="3" customWidth="1"/>
    <col min="8" max="8" width="29" style="3" customWidth="1"/>
    <col min="9" max="9" width="24.42578125" style="3" customWidth="1"/>
    <col min="10" max="10" width="24.5703125" style="3" customWidth="1"/>
    <col min="11" max="11" width="29" style="3" customWidth="1"/>
    <col min="12" max="12" width="24.42578125" style="3" customWidth="1"/>
    <col min="13" max="13" width="24.5703125" style="3" customWidth="1"/>
    <col min="14" max="16384" width="9.140625" style="3"/>
  </cols>
  <sheetData>
    <row r="1" spans="1:17" ht="46.5" customHeight="1" thickBot="1">
      <c r="A1" s="1" t="s">
        <v>15</v>
      </c>
      <c r="B1" s="1" t="s">
        <v>16</v>
      </c>
      <c r="C1" s="1" t="s">
        <v>17</v>
      </c>
      <c r="D1" s="2" t="s">
        <v>18</v>
      </c>
      <c r="E1" s="1" t="s">
        <v>359</v>
      </c>
      <c r="F1" s="1" t="s">
        <v>360</v>
      </c>
      <c r="G1" s="2" t="s">
        <v>361</v>
      </c>
      <c r="H1" s="1" t="s">
        <v>362</v>
      </c>
      <c r="I1" s="1" t="s">
        <v>363</v>
      </c>
      <c r="J1" s="2" t="s">
        <v>364</v>
      </c>
      <c r="K1" s="1" t="s">
        <v>365</v>
      </c>
      <c r="L1" s="1" t="s">
        <v>366</v>
      </c>
      <c r="M1" s="2" t="s">
        <v>367</v>
      </c>
    </row>
    <row r="2" spans="1:17" ht="53.25" customHeight="1">
      <c r="A2" s="138" t="s">
        <v>36</v>
      </c>
      <c r="B2" s="84" t="s">
        <v>121</v>
      </c>
      <c r="C2" s="84" t="s">
        <v>174</v>
      </c>
      <c r="D2" s="5" t="s">
        <v>175</v>
      </c>
      <c r="E2" s="84" t="s">
        <v>408</v>
      </c>
      <c r="F2" s="84" t="s">
        <v>409</v>
      </c>
      <c r="G2" s="84" t="s">
        <v>241</v>
      </c>
      <c r="H2" s="84" t="s">
        <v>470</v>
      </c>
      <c r="I2" s="84" t="s">
        <v>471</v>
      </c>
      <c r="J2" s="84" t="s">
        <v>241</v>
      </c>
      <c r="K2" s="84" t="s">
        <v>534</v>
      </c>
      <c r="L2" s="84" t="s">
        <v>535</v>
      </c>
      <c r="M2" s="84" t="s">
        <v>241</v>
      </c>
    </row>
    <row r="3" spans="1:17" ht="53.25" customHeight="1">
      <c r="A3" s="138" t="s">
        <v>28</v>
      </c>
      <c r="B3" s="5"/>
      <c r="C3" s="5"/>
      <c r="D3" s="5"/>
      <c r="E3" s="5" t="s">
        <v>386</v>
      </c>
      <c r="F3" s="5" t="s">
        <v>387</v>
      </c>
      <c r="G3" s="5" t="s">
        <v>388</v>
      </c>
      <c r="H3" s="5" t="s">
        <v>447</v>
      </c>
      <c r="I3" s="5" t="s">
        <v>381</v>
      </c>
      <c r="J3" s="5" t="s">
        <v>373</v>
      </c>
      <c r="K3" s="5" t="s">
        <v>509</v>
      </c>
      <c r="L3" s="5" t="s">
        <v>510</v>
      </c>
      <c r="M3" s="5" t="s">
        <v>184</v>
      </c>
      <c r="N3" s="152"/>
      <c r="O3" s="150"/>
      <c r="P3" s="153"/>
      <c r="Q3"/>
    </row>
    <row r="4" spans="1:17" ht="53.25" customHeight="1">
      <c r="A4" s="64" t="s">
        <v>60</v>
      </c>
      <c r="B4" s="5"/>
      <c r="C4" s="5"/>
      <c r="D4" s="5"/>
      <c r="E4" s="5" t="s">
        <v>382</v>
      </c>
      <c r="F4" s="5" t="s">
        <v>383</v>
      </c>
      <c r="G4" s="5" t="s">
        <v>373</v>
      </c>
      <c r="H4" s="5" t="s">
        <v>443</v>
      </c>
      <c r="I4" s="5" t="s">
        <v>444</v>
      </c>
      <c r="J4" s="5" t="s">
        <v>373</v>
      </c>
      <c r="K4" s="5" t="s">
        <v>505</v>
      </c>
      <c r="L4" s="5" t="s">
        <v>506</v>
      </c>
      <c r="M4" s="5" t="s">
        <v>241</v>
      </c>
      <c r="N4" s="150"/>
      <c r="O4" s="150"/>
      <c r="P4" s="150"/>
      <c r="Q4" s="153"/>
    </row>
    <row r="5" spans="1:17" ht="53.25" customHeight="1">
      <c r="A5" s="64" t="s">
        <v>290</v>
      </c>
      <c r="B5" s="5"/>
      <c r="C5" s="5"/>
      <c r="D5" s="5"/>
      <c r="E5" s="5" t="s">
        <v>423</v>
      </c>
      <c r="F5" s="5" t="s">
        <v>381</v>
      </c>
      <c r="G5" s="5" t="s">
        <v>424</v>
      </c>
      <c r="H5" s="5" t="s">
        <v>484</v>
      </c>
      <c r="I5" s="5" t="s">
        <v>485</v>
      </c>
      <c r="J5" s="5" t="s">
        <v>373</v>
      </c>
      <c r="K5" s="5" t="s">
        <v>549</v>
      </c>
      <c r="L5" s="5" t="s">
        <v>550</v>
      </c>
      <c r="M5" s="5" t="s">
        <v>184</v>
      </c>
      <c r="N5" s="150"/>
      <c r="O5" s="150"/>
      <c r="P5" s="150"/>
      <c r="Q5" s="153"/>
    </row>
    <row r="6" spans="1:17" ht="53.25" customHeight="1">
      <c r="A6" s="64" t="s">
        <v>100</v>
      </c>
      <c r="B6" s="5"/>
      <c r="C6" s="5"/>
      <c r="D6" s="5"/>
      <c r="E6" s="163" t="s">
        <v>410</v>
      </c>
      <c r="F6" s="5" t="s">
        <v>411</v>
      </c>
      <c r="G6" s="5" t="s">
        <v>373</v>
      </c>
      <c r="H6" s="5" t="s">
        <v>472</v>
      </c>
      <c r="I6" s="5" t="s">
        <v>473</v>
      </c>
      <c r="J6" s="5" t="s">
        <v>373</v>
      </c>
      <c r="K6" s="163" t="s">
        <v>536</v>
      </c>
      <c r="L6" s="163" t="s">
        <v>537</v>
      </c>
      <c r="M6" s="5" t="s">
        <v>241</v>
      </c>
    </row>
    <row r="7" spans="1:17" ht="53.25" customHeight="1">
      <c r="A7" s="139" t="s">
        <v>29</v>
      </c>
      <c r="B7" s="5"/>
      <c r="C7" s="135"/>
      <c r="D7" s="5"/>
      <c r="E7" s="5" t="s">
        <v>389</v>
      </c>
      <c r="F7" s="5" t="s">
        <v>381</v>
      </c>
      <c r="G7" s="5" t="s">
        <v>390</v>
      </c>
      <c r="H7" s="5" t="s">
        <v>448</v>
      </c>
      <c r="I7" s="5" t="s">
        <v>449</v>
      </c>
      <c r="J7" s="5" t="s">
        <v>373</v>
      </c>
      <c r="K7" s="5" t="s">
        <v>511</v>
      </c>
      <c r="L7" s="5" t="s">
        <v>512</v>
      </c>
      <c r="M7" s="5" t="s">
        <v>241</v>
      </c>
    </row>
    <row r="8" spans="1:17" ht="53.25" customHeight="1">
      <c r="A8" s="139" t="s">
        <v>92</v>
      </c>
      <c r="B8" s="5"/>
      <c r="C8" s="135"/>
      <c r="D8" s="5"/>
      <c r="E8" s="5" t="s">
        <v>395</v>
      </c>
      <c r="F8" s="5" t="s">
        <v>396</v>
      </c>
      <c r="G8" s="5" t="s">
        <v>373</v>
      </c>
      <c r="H8" s="5" t="s">
        <v>456</v>
      </c>
      <c r="I8" s="5" t="s">
        <v>457</v>
      </c>
      <c r="J8" s="5" t="s">
        <v>373</v>
      </c>
      <c r="K8" s="5" t="s">
        <v>518</v>
      </c>
      <c r="L8" s="5" t="s">
        <v>519</v>
      </c>
      <c r="M8" s="5" t="s">
        <v>241</v>
      </c>
    </row>
    <row r="9" spans="1:17" ht="53.25" customHeight="1">
      <c r="A9" s="139" t="s">
        <v>37</v>
      </c>
      <c r="B9" s="5"/>
      <c r="C9" s="135"/>
      <c r="D9" s="114"/>
      <c r="E9" s="5" t="s">
        <v>417</v>
      </c>
      <c r="F9" s="5" t="s">
        <v>418</v>
      </c>
      <c r="G9" s="5" t="s">
        <v>390</v>
      </c>
      <c r="H9" s="5" t="s">
        <v>478</v>
      </c>
      <c r="I9" s="5" t="s">
        <v>479</v>
      </c>
      <c r="J9" s="5" t="s">
        <v>373</v>
      </c>
      <c r="K9" s="5" t="s">
        <v>543</v>
      </c>
      <c r="L9" s="5" t="s">
        <v>544</v>
      </c>
      <c r="M9" s="5" t="s">
        <v>241</v>
      </c>
    </row>
    <row r="10" spans="1:17" ht="53.25" customHeight="1">
      <c r="A10" s="139" t="s">
        <v>68</v>
      </c>
      <c r="B10" s="5"/>
      <c r="C10" s="135"/>
      <c r="D10" s="85"/>
      <c r="E10" s="5" t="s">
        <v>414</v>
      </c>
      <c r="F10" s="5" t="s">
        <v>415</v>
      </c>
      <c r="G10" s="5" t="s">
        <v>416</v>
      </c>
      <c r="H10" s="5" t="s">
        <v>475</v>
      </c>
      <c r="I10" s="5" t="s">
        <v>476</v>
      </c>
      <c r="J10" s="5" t="s">
        <v>477</v>
      </c>
      <c r="K10" s="163" t="s">
        <v>540</v>
      </c>
      <c r="L10" s="163" t="s">
        <v>541</v>
      </c>
      <c r="M10" s="5" t="s">
        <v>542</v>
      </c>
    </row>
    <row r="11" spans="1:17" ht="53.25" customHeight="1">
      <c r="A11" s="139" t="s">
        <v>122</v>
      </c>
      <c r="B11" s="5"/>
      <c r="C11" s="135"/>
      <c r="D11" s="5"/>
      <c r="E11" s="5" t="s">
        <v>407</v>
      </c>
      <c r="F11" s="5" t="s">
        <v>381</v>
      </c>
      <c r="G11" s="5" t="s">
        <v>373</v>
      </c>
      <c r="H11" s="5" t="s">
        <v>469</v>
      </c>
      <c r="I11" s="5" t="s">
        <v>381</v>
      </c>
      <c r="J11" s="5" t="s">
        <v>373</v>
      </c>
      <c r="K11" s="5" t="s">
        <v>532</v>
      </c>
      <c r="L11" s="5" t="s">
        <v>533</v>
      </c>
      <c r="M11" s="5" t="s">
        <v>241</v>
      </c>
    </row>
    <row r="12" spans="1:17" ht="53.25" customHeight="1">
      <c r="A12" s="139" t="s">
        <v>431</v>
      </c>
      <c r="B12" s="109"/>
      <c r="C12" s="136"/>
      <c r="D12" s="5"/>
      <c r="E12" s="5" t="s">
        <v>429</v>
      </c>
      <c r="F12" s="5" t="s">
        <v>430</v>
      </c>
      <c r="G12" s="5" t="s">
        <v>373</v>
      </c>
      <c r="H12" s="5" t="s">
        <v>490</v>
      </c>
      <c r="I12" s="5" t="s">
        <v>374</v>
      </c>
      <c r="J12" s="5" t="s">
        <v>373</v>
      </c>
      <c r="K12" s="5" t="s">
        <v>555</v>
      </c>
      <c r="L12" s="5" t="s">
        <v>556</v>
      </c>
      <c r="M12" s="5" t="s">
        <v>241</v>
      </c>
    </row>
    <row r="13" spans="1:17" ht="53.25" customHeight="1">
      <c r="A13" s="139" t="s">
        <v>168</v>
      </c>
      <c r="B13" s="5"/>
      <c r="C13" s="135"/>
      <c r="D13" s="5"/>
      <c r="E13" s="5" t="s">
        <v>397</v>
      </c>
      <c r="F13" s="5" t="s">
        <v>381</v>
      </c>
      <c r="G13" s="5" t="s">
        <v>373</v>
      </c>
      <c r="H13" s="5" t="s">
        <v>458</v>
      </c>
      <c r="I13" s="163" t="s">
        <v>459</v>
      </c>
      <c r="J13" s="5" t="s">
        <v>373</v>
      </c>
      <c r="K13" s="5" t="s">
        <v>520</v>
      </c>
      <c r="L13" s="5" t="s">
        <v>521</v>
      </c>
      <c r="M13" s="5" t="s">
        <v>238</v>
      </c>
    </row>
    <row r="14" spans="1:17" ht="53.25" customHeight="1">
      <c r="A14" s="139" t="s">
        <v>115</v>
      </c>
      <c r="B14" s="5"/>
      <c r="C14" s="135"/>
      <c r="D14" s="5"/>
      <c r="E14" s="5" t="s">
        <v>427</v>
      </c>
      <c r="F14" s="5" t="s">
        <v>428</v>
      </c>
      <c r="G14" s="5" t="s">
        <v>373</v>
      </c>
      <c r="H14" s="5" t="s">
        <v>488</v>
      </c>
      <c r="I14" s="5" t="s">
        <v>489</v>
      </c>
      <c r="J14" s="5" t="s">
        <v>373</v>
      </c>
      <c r="K14" s="5" t="s">
        <v>553</v>
      </c>
      <c r="L14" s="5" t="s">
        <v>554</v>
      </c>
      <c r="M14" s="5" t="s">
        <v>241</v>
      </c>
    </row>
    <row r="15" spans="1:17" ht="53.25" customHeight="1">
      <c r="A15" s="139" t="s">
        <v>123</v>
      </c>
      <c r="B15" s="5"/>
      <c r="C15" s="135"/>
      <c r="D15" s="5"/>
      <c r="E15" s="5" t="s">
        <v>384</v>
      </c>
      <c r="F15" s="5" t="s">
        <v>385</v>
      </c>
      <c r="G15" s="5" t="s">
        <v>379</v>
      </c>
      <c r="H15" s="163" t="s">
        <v>445</v>
      </c>
      <c r="I15" s="5" t="s">
        <v>446</v>
      </c>
      <c r="J15" s="5" t="s">
        <v>373</v>
      </c>
      <c r="K15" s="163" t="s">
        <v>507</v>
      </c>
      <c r="L15" s="5" t="s">
        <v>508</v>
      </c>
      <c r="M15" s="5" t="s">
        <v>241</v>
      </c>
    </row>
    <row r="16" spans="1:17" ht="53.25" customHeight="1">
      <c r="A16" s="139" t="s">
        <v>78</v>
      </c>
      <c r="B16" s="5"/>
      <c r="C16" s="135"/>
      <c r="D16" s="5"/>
      <c r="E16" s="5" t="s">
        <v>412</v>
      </c>
      <c r="F16" s="5" t="s">
        <v>413</v>
      </c>
      <c r="G16" s="5" t="s">
        <v>373</v>
      </c>
      <c r="H16" s="5" t="s">
        <v>474</v>
      </c>
      <c r="I16" s="5" t="s">
        <v>374</v>
      </c>
      <c r="J16" s="5" t="s">
        <v>373</v>
      </c>
      <c r="K16" s="5" t="s">
        <v>538</v>
      </c>
      <c r="L16" s="5" t="s">
        <v>539</v>
      </c>
      <c r="M16" s="5" t="s">
        <v>241</v>
      </c>
    </row>
    <row r="17" spans="1:13" ht="53.25" customHeight="1">
      <c r="A17" s="139" t="s">
        <v>93</v>
      </c>
      <c r="B17" s="5"/>
      <c r="C17" s="135"/>
      <c r="D17" s="5"/>
      <c r="E17" s="5" t="s">
        <v>402</v>
      </c>
      <c r="F17" s="5" t="s">
        <v>381</v>
      </c>
      <c r="G17" s="5" t="s">
        <v>373</v>
      </c>
      <c r="H17" s="5" t="s">
        <v>464</v>
      </c>
      <c r="I17" s="5" t="s">
        <v>453</v>
      </c>
      <c r="J17" s="5" t="s">
        <v>373</v>
      </c>
      <c r="K17" s="5" t="s">
        <v>526</v>
      </c>
      <c r="L17" s="5" t="s">
        <v>527</v>
      </c>
      <c r="M17" s="5" t="s">
        <v>241</v>
      </c>
    </row>
    <row r="18" spans="1:13" ht="53.25" customHeight="1">
      <c r="A18" s="64" t="s">
        <v>24</v>
      </c>
      <c r="B18" s="5"/>
      <c r="C18" s="135"/>
      <c r="D18" s="5"/>
      <c r="E18" s="5" t="s">
        <v>371</v>
      </c>
      <c r="F18" s="5" t="s">
        <v>372</v>
      </c>
      <c r="G18" s="5" t="s">
        <v>373</v>
      </c>
      <c r="H18" s="5" t="s">
        <v>371</v>
      </c>
      <c r="I18" s="5" t="s">
        <v>434</v>
      </c>
      <c r="J18" s="5" t="s">
        <v>373</v>
      </c>
      <c r="K18" s="5" t="s">
        <v>496</v>
      </c>
      <c r="L18" s="5" t="s">
        <v>497</v>
      </c>
      <c r="M18" s="5" t="s">
        <v>241</v>
      </c>
    </row>
    <row r="19" spans="1:13" ht="53.25" customHeight="1">
      <c r="A19" s="64" t="s">
        <v>25</v>
      </c>
      <c r="B19" s="109"/>
      <c r="C19" s="136"/>
      <c r="D19" s="5"/>
      <c r="E19" s="5" t="s">
        <v>375</v>
      </c>
      <c r="F19" s="5" t="s">
        <v>376</v>
      </c>
      <c r="G19" s="5" t="s">
        <v>373</v>
      </c>
      <c r="H19" s="5" t="s">
        <v>437</v>
      </c>
      <c r="I19" s="5" t="s">
        <v>438</v>
      </c>
      <c r="J19" s="5" t="s">
        <v>373</v>
      </c>
      <c r="K19" s="5" t="s">
        <v>498</v>
      </c>
      <c r="L19" s="5" t="s">
        <v>499</v>
      </c>
      <c r="M19" s="5" t="s">
        <v>500</v>
      </c>
    </row>
    <row r="20" spans="1:13" ht="53.25" customHeight="1">
      <c r="A20" s="64" t="s">
        <v>169</v>
      </c>
      <c r="B20" s="109"/>
      <c r="C20" s="136"/>
      <c r="D20" s="5"/>
      <c r="E20" s="5" t="s">
        <v>371</v>
      </c>
      <c r="F20" s="5" t="s">
        <v>374</v>
      </c>
      <c r="G20" s="5" t="s">
        <v>373</v>
      </c>
      <c r="H20" s="5" t="s">
        <v>435</v>
      </c>
      <c r="I20" s="5" t="s">
        <v>436</v>
      </c>
      <c r="J20" s="5" t="s">
        <v>373</v>
      </c>
      <c r="K20" s="5" t="s">
        <v>492</v>
      </c>
      <c r="L20" s="5" t="s">
        <v>493</v>
      </c>
      <c r="M20" s="5" t="s">
        <v>241</v>
      </c>
    </row>
    <row r="21" spans="1:13" ht="53.25" customHeight="1">
      <c r="A21" s="64" t="s">
        <v>59</v>
      </c>
      <c r="B21" s="5"/>
      <c r="C21" s="135"/>
      <c r="D21" s="5"/>
      <c r="E21" s="5" t="s">
        <v>380</v>
      </c>
      <c r="F21" s="5" t="s">
        <v>381</v>
      </c>
      <c r="G21" s="5" t="s">
        <v>373</v>
      </c>
      <c r="H21" s="5" t="s">
        <v>441</v>
      </c>
      <c r="I21" s="5" t="s">
        <v>442</v>
      </c>
      <c r="J21" s="5" t="s">
        <v>373</v>
      </c>
      <c r="K21" s="5" t="s">
        <v>503</v>
      </c>
      <c r="L21" s="5" t="s">
        <v>504</v>
      </c>
      <c r="M21" s="5" t="s">
        <v>241</v>
      </c>
    </row>
    <row r="22" spans="1:13" ht="53.25" customHeight="1">
      <c r="A22" s="64" t="s">
        <v>105</v>
      </c>
      <c r="B22" s="109"/>
      <c r="C22" s="136"/>
      <c r="D22" s="5"/>
      <c r="E22" s="5" t="s">
        <v>393</v>
      </c>
      <c r="F22" s="5" t="s">
        <v>381</v>
      </c>
      <c r="G22" s="5" t="s">
        <v>373</v>
      </c>
      <c r="H22" s="5" t="s">
        <v>452</v>
      </c>
      <c r="I22" s="5" t="s">
        <v>453</v>
      </c>
      <c r="J22" s="5" t="s">
        <v>373</v>
      </c>
      <c r="K22" s="5" t="s">
        <v>492</v>
      </c>
      <c r="L22" s="5" t="s">
        <v>515</v>
      </c>
      <c r="M22" s="5" t="s">
        <v>241</v>
      </c>
    </row>
    <row r="23" spans="1:13" ht="53.25" customHeight="1">
      <c r="A23" s="64" t="s">
        <v>32</v>
      </c>
      <c r="B23" s="109"/>
      <c r="C23" s="136"/>
      <c r="D23" s="5"/>
      <c r="E23" s="5" t="s">
        <v>398</v>
      </c>
      <c r="F23" s="5" t="s">
        <v>399</v>
      </c>
      <c r="G23" s="5" t="s">
        <v>373</v>
      </c>
      <c r="H23" s="5" t="s">
        <v>460</v>
      </c>
      <c r="I23" s="5" t="s">
        <v>461</v>
      </c>
      <c r="J23" s="5" t="s">
        <v>373</v>
      </c>
      <c r="K23" s="5" t="s">
        <v>522</v>
      </c>
      <c r="L23" s="5" t="s">
        <v>523</v>
      </c>
      <c r="M23" s="5" t="s">
        <v>241</v>
      </c>
    </row>
    <row r="24" spans="1:13" ht="53.25" customHeight="1">
      <c r="A24" s="139" t="s">
        <v>33</v>
      </c>
      <c r="B24" s="109"/>
      <c r="C24" s="136"/>
      <c r="D24" s="5"/>
      <c r="E24" s="163" t="s">
        <v>400</v>
      </c>
      <c r="F24" s="5" t="s">
        <v>401</v>
      </c>
      <c r="G24" s="5" t="s">
        <v>373</v>
      </c>
      <c r="H24" s="5" t="s">
        <v>462</v>
      </c>
      <c r="I24" s="5" t="s">
        <v>463</v>
      </c>
      <c r="J24" s="5" t="s">
        <v>373</v>
      </c>
      <c r="K24" s="5" t="s">
        <v>524</v>
      </c>
      <c r="L24" s="5" t="s">
        <v>525</v>
      </c>
      <c r="M24" s="5" t="s">
        <v>241</v>
      </c>
    </row>
    <row r="25" spans="1:13" ht="53.25" customHeight="1">
      <c r="A25" s="139" t="s">
        <v>287</v>
      </c>
      <c r="B25" s="109"/>
      <c r="C25" s="136"/>
      <c r="D25" s="5"/>
      <c r="E25" s="5" t="s">
        <v>422</v>
      </c>
      <c r="F25" s="5" t="s">
        <v>396</v>
      </c>
      <c r="G25" s="5" t="s">
        <v>379</v>
      </c>
      <c r="H25" s="5" t="s">
        <v>482</v>
      </c>
      <c r="I25" s="5" t="s">
        <v>483</v>
      </c>
      <c r="J25" s="5" t="s">
        <v>373</v>
      </c>
      <c r="K25" s="5" t="s">
        <v>547</v>
      </c>
      <c r="L25" s="5" t="s">
        <v>548</v>
      </c>
      <c r="M25" s="5" t="s">
        <v>241</v>
      </c>
    </row>
    <row r="26" spans="1:13" ht="53.25" customHeight="1">
      <c r="A26" s="139" t="s">
        <v>31</v>
      </c>
      <c r="B26" s="5"/>
      <c r="C26" s="135"/>
      <c r="D26" s="5"/>
      <c r="E26" s="5" t="s">
        <v>394</v>
      </c>
      <c r="F26" s="5" t="s">
        <v>381</v>
      </c>
      <c r="G26" s="5" t="s">
        <v>373</v>
      </c>
      <c r="H26" s="5" t="s">
        <v>454</v>
      </c>
      <c r="I26" s="5" t="s">
        <v>455</v>
      </c>
      <c r="J26" s="5" t="s">
        <v>373</v>
      </c>
      <c r="K26" s="5" t="s">
        <v>516</v>
      </c>
      <c r="L26" s="5" t="s">
        <v>517</v>
      </c>
      <c r="M26" s="5" t="s">
        <v>241</v>
      </c>
    </row>
    <row r="27" spans="1:13" ht="53.25" customHeight="1">
      <c r="A27" s="139" t="s">
        <v>69</v>
      </c>
      <c r="B27" s="109"/>
      <c r="C27" s="136"/>
      <c r="D27" s="5"/>
      <c r="E27" s="5" t="s">
        <v>391</v>
      </c>
      <c r="F27" s="5" t="s">
        <v>392</v>
      </c>
      <c r="G27" s="5" t="s">
        <v>390</v>
      </c>
      <c r="H27" s="163" t="s">
        <v>450</v>
      </c>
      <c r="I27" s="163" t="s">
        <v>451</v>
      </c>
      <c r="J27" s="5" t="s">
        <v>373</v>
      </c>
      <c r="K27" s="163" t="s">
        <v>513</v>
      </c>
      <c r="L27" s="163" t="s">
        <v>514</v>
      </c>
      <c r="M27" s="5" t="s">
        <v>241</v>
      </c>
    </row>
    <row r="28" spans="1:13" ht="53.25" customHeight="1">
      <c r="A28" s="140" t="s">
        <v>117</v>
      </c>
      <c r="B28" s="109"/>
      <c r="C28" s="136"/>
      <c r="D28" s="5"/>
      <c r="E28" s="5" t="s">
        <v>425</v>
      </c>
      <c r="F28" s="5" t="s">
        <v>426</v>
      </c>
      <c r="G28" s="5" t="s">
        <v>373</v>
      </c>
      <c r="H28" s="5" t="s">
        <v>486</v>
      </c>
      <c r="I28" s="5" t="s">
        <v>487</v>
      </c>
      <c r="J28" s="5" t="s">
        <v>373</v>
      </c>
      <c r="K28" s="5" t="s">
        <v>551</v>
      </c>
      <c r="L28" s="5" t="s">
        <v>552</v>
      </c>
      <c r="M28" s="5" t="s">
        <v>241</v>
      </c>
    </row>
    <row r="29" spans="1:13" ht="53.25" customHeight="1">
      <c r="A29" s="160" t="s">
        <v>34</v>
      </c>
      <c r="B29" s="109"/>
      <c r="C29" s="136"/>
      <c r="D29" s="5"/>
      <c r="E29" s="5" t="s">
        <v>403</v>
      </c>
      <c r="F29" s="5" t="s">
        <v>404</v>
      </c>
      <c r="G29" s="5" t="s">
        <v>390</v>
      </c>
      <c r="H29" s="5" t="s">
        <v>465</v>
      </c>
      <c r="I29" s="5" t="s">
        <v>466</v>
      </c>
      <c r="J29" s="5" t="s">
        <v>379</v>
      </c>
      <c r="K29" s="5" t="s">
        <v>528</v>
      </c>
      <c r="L29" s="5" t="s">
        <v>529</v>
      </c>
      <c r="M29" s="5" t="s">
        <v>241</v>
      </c>
    </row>
    <row r="30" spans="1:13" ht="53.25" customHeight="1">
      <c r="A30" s="138" t="s">
        <v>23</v>
      </c>
      <c r="B30" s="109"/>
      <c r="C30" s="136"/>
      <c r="D30" s="5"/>
      <c r="E30" s="5" t="s">
        <v>368</v>
      </c>
      <c r="F30" s="5" t="s">
        <v>369</v>
      </c>
      <c r="G30" s="5" t="s">
        <v>370</v>
      </c>
      <c r="H30" s="5" t="s">
        <v>432</v>
      </c>
      <c r="I30" s="5" t="s">
        <v>433</v>
      </c>
      <c r="J30" s="5" t="s">
        <v>370</v>
      </c>
      <c r="K30" s="5" t="s">
        <v>494</v>
      </c>
      <c r="L30" s="5" t="s">
        <v>495</v>
      </c>
      <c r="M30" s="5" t="s">
        <v>272</v>
      </c>
    </row>
    <row r="31" spans="1:13" ht="53.25" customHeight="1">
      <c r="A31" s="138" t="s">
        <v>35</v>
      </c>
      <c r="B31" s="109"/>
      <c r="C31" s="136"/>
      <c r="D31" s="5"/>
      <c r="E31" s="163" t="s">
        <v>405</v>
      </c>
      <c r="F31" s="5" t="s">
        <v>406</v>
      </c>
      <c r="G31" s="5" t="s">
        <v>379</v>
      </c>
      <c r="H31" s="5" t="s">
        <v>467</v>
      </c>
      <c r="I31" s="5" t="s">
        <v>468</v>
      </c>
      <c r="J31" s="5" t="s">
        <v>373</v>
      </c>
      <c r="K31" s="5" t="s">
        <v>530</v>
      </c>
      <c r="L31" s="5" t="s">
        <v>531</v>
      </c>
      <c r="M31" s="5" t="s">
        <v>241</v>
      </c>
    </row>
    <row r="32" spans="1:13" ht="53.25" customHeight="1">
      <c r="A32" s="139" t="s">
        <v>38</v>
      </c>
      <c r="B32" s="109"/>
      <c r="C32" s="136"/>
      <c r="D32" s="5"/>
      <c r="E32" s="163" t="s">
        <v>419</v>
      </c>
      <c r="F32" s="5" t="s">
        <v>420</v>
      </c>
      <c r="G32" s="5" t="s">
        <v>421</v>
      </c>
      <c r="H32" s="163" t="s">
        <v>480</v>
      </c>
      <c r="I32" s="5" t="s">
        <v>481</v>
      </c>
      <c r="J32" s="5" t="s">
        <v>388</v>
      </c>
      <c r="K32" s="5" t="s">
        <v>545</v>
      </c>
      <c r="L32" s="5" t="s">
        <v>546</v>
      </c>
      <c r="M32" s="5" t="s">
        <v>184</v>
      </c>
    </row>
    <row r="33" spans="1:13" ht="53.25" customHeight="1" thickBot="1">
      <c r="A33" s="141" t="s">
        <v>70</v>
      </c>
      <c r="B33" s="109"/>
      <c r="C33" s="136"/>
      <c r="D33" s="5"/>
      <c r="E33" s="164" t="s">
        <v>377</v>
      </c>
      <c r="F33" s="155" t="s">
        <v>378</v>
      </c>
      <c r="G33" s="155" t="s">
        <v>379</v>
      </c>
      <c r="H33" s="164" t="s">
        <v>439</v>
      </c>
      <c r="I33" s="155" t="s">
        <v>440</v>
      </c>
      <c r="J33" s="155" t="s">
        <v>373</v>
      </c>
      <c r="K33" s="164" t="s">
        <v>501</v>
      </c>
      <c r="L33" s="155" t="s">
        <v>502</v>
      </c>
      <c r="M33" s="155" t="s">
        <v>184</v>
      </c>
    </row>
    <row r="34" spans="1:13">
      <c r="A34" s="4"/>
    </row>
    <row r="35" spans="1:13">
      <c r="H35" s="150"/>
      <c r="I35" s="152"/>
      <c r="J35" s="150"/>
    </row>
    <row r="36" spans="1:13">
      <c r="B36"/>
      <c r="C36"/>
      <c r="D36"/>
      <c r="E36" s="150"/>
      <c r="F36" s="152"/>
      <c r="G36" s="150"/>
      <c r="H36" s="150"/>
      <c r="I36" s="152"/>
      <c r="J36" s="150"/>
      <c r="K36" s="150"/>
      <c r="L36" s="152"/>
      <c r="M36" s="150"/>
    </row>
    <row r="37" spans="1:13">
      <c r="E37" s="154"/>
      <c r="F37" s="150"/>
      <c r="G37" s="150"/>
      <c r="H37" s="154"/>
      <c r="I37" s="151"/>
      <c r="J37" s="150"/>
      <c r="K37" s="154"/>
      <c r="L37" s="150"/>
      <c r="M37" s="150"/>
    </row>
    <row r="38" spans="1:13">
      <c r="E38" s="154"/>
      <c r="F38" s="150"/>
      <c r="G38" s="150"/>
      <c r="H38" s="154"/>
      <c r="I38" s="150"/>
      <c r="J38" s="150"/>
      <c r="K38" s="154"/>
      <c r="L38" s="150"/>
      <c r="M38" s="150"/>
    </row>
    <row r="39" spans="1:13">
      <c r="H39" s="154"/>
      <c r="I39" s="150"/>
      <c r="J39" s="152"/>
    </row>
    <row r="40" spans="1:13">
      <c r="H40" s="154"/>
      <c r="I40" s="150"/>
      <c r="J40" s="150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01"/>
  <sheetViews>
    <sheetView topLeftCell="A16" workbookViewId="0">
      <selection activeCell="D37" sqref="D37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579.25+1071.72</f>
        <v>1650.97</v>
      </c>
      <c r="C2" s="38">
        <f>579.25+1048.72</f>
        <v>1627.97</v>
      </c>
      <c r="D2" s="108">
        <f>B2-C2</f>
        <v>23</v>
      </c>
      <c r="E2" s="63"/>
      <c r="F2" s="38"/>
      <c r="G2" s="10">
        <v>151.44</v>
      </c>
    </row>
    <row r="3" spans="1:12" s="14" customFormat="1" ht="13.5" thickBot="1">
      <c r="A3" s="11" t="s">
        <v>28</v>
      </c>
      <c r="B3" s="39">
        <v>577.5</v>
      </c>
      <c r="C3" s="39">
        <v>300</v>
      </c>
      <c r="D3" s="73">
        <f>B3-C3</f>
        <v>277.5</v>
      </c>
      <c r="E3" s="39"/>
      <c r="F3" s="39"/>
      <c r="G3" s="12">
        <v>138.97999999999999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17" si="0">B5-C5</f>
        <v>0</v>
      </c>
      <c r="E5" s="51"/>
      <c r="F5" s="21"/>
      <c r="G5" s="88">
        <v>1.1599999999999999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82.13+37.23+658.04+72.33</f>
        <v>849.73</v>
      </c>
      <c r="C6" s="51">
        <f>78.4+68.11+686.67+72.33</f>
        <v>905.51</v>
      </c>
      <c r="D6" s="51">
        <f>B6-C6</f>
        <v>-55.779999999999973</v>
      </c>
      <c r="E6" s="51"/>
      <c r="F6" s="21"/>
      <c r="G6" s="191">
        <v>1926.73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12.98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0.26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/>
      <c r="C9" s="51"/>
      <c r="D9" s="51">
        <f>B9-C9</f>
        <v>0</v>
      </c>
      <c r="E9" s="51"/>
      <c r="F9" s="21"/>
      <c r="G9" s="27">
        <v>2.17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/>
      <c r="C10" s="51"/>
      <c r="D10" s="51">
        <f t="shared" si="0"/>
        <v>0</v>
      </c>
      <c r="E10" s="51"/>
      <c r="F10" s="21"/>
      <c r="G10" s="190">
        <v>675.18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11.77</v>
      </c>
      <c r="H11" s="13"/>
      <c r="I11" s="13"/>
      <c r="J11" s="13"/>
      <c r="K11" s="13"/>
      <c r="L11" s="13"/>
    </row>
    <row r="12" spans="1:12" s="14" customFormat="1">
      <c r="A12" s="20" t="s">
        <v>168</v>
      </c>
      <c r="B12" s="41"/>
      <c r="C12" s="51"/>
      <c r="D12" s="51">
        <f t="shared" si="0"/>
        <v>0</v>
      </c>
      <c r="E12" s="51"/>
      <c r="F12" s="21"/>
      <c r="G12" s="27">
        <v>69.31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</v>
      </c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>
        <v>942.41</v>
      </c>
      <c r="C14" s="51">
        <v>834.28</v>
      </c>
      <c r="D14" s="51">
        <f t="shared" si="0"/>
        <v>108.13</v>
      </c>
      <c r="E14" s="51"/>
      <c r="F14" s="21"/>
      <c r="G14" s="27">
        <v>47.61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0.13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53.69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0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f>19.1+174.06</f>
        <v>193.16</v>
      </c>
      <c r="C18" s="51">
        <f>19.1+174.06</f>
        <v>193.16</v>
      </c>
      <c r="D18" s="51">
        <f t="shared" ref="D18:D28" si="1">B18-C18</f>
        <v>0</v>
      </c>
      <c r="E18" s="51"/>
      <c r="F18" s="22"/>
      <c r="G18" s="89">
        <v>117.52</v>
      </c>
      <c r="H18" s="13"/>
      <c r="I18" s="13"/>
      <c r="J18" s="13"/>
      <c r="K18" s="13"/>
      <c r="L18" s="13"/>
    </row>
    <row r="19" spans="1:12" s="14" customFormat="1">
      <c r="A19" s="18" t="s">
        <v>169</v>
      </c>
      <c r="B19" s="40"/>
      <c r="C19" s="51"/>
      <c r="D19" s="51">
        <f t="shared" si="1"/>
        <v>0</v>
      </c>
      <c r="E19" s="51"/>
      <c r="F19" s="22"/>
      <c r="G19" s="89">
        <v>0</v>
      </c>
      <c r="H19" s="13"/>
      <c r="I19" s="13"/>
      <c r="J19" s="13"/>
      <c r="K19" s="13"/>
      <c r="L19" s="13"/>
    </row>
    <row r="20" spans="1:12" s="14" customFormat="1">
      <c r="A20" s="18" t="s">
        <v>59</v>
      </c>
      <c r="B20" s="40"/>
      <c r="C20" s="51"/>
      <c r="D20" s="51">
        <f t="shared" si="1"/>
        <v>0</v>
      </c>
      <c r="E20" s="51"/>
      <c r="F20" s="19"/>
      <c r="G20" s="89">
        <v>45.49</v>
      </c>
      <c r="H20" s="13"/>
      <c r="I20" s="13"/>
      <c r="J20" s="13"/>
      <c r="K20" s="13"/>
      <c r="L20" s="13"/>
    </row>
    <row r="21" spans="1:12" s="14" customFormat="1">
      <c r="A21" s="18" t="s">
        <v>105</v>
      </c>
      <c r="B21" s="40"/>
      <c r="C21" s="51"/>
      <c r="D21" s="51">
        <f t="shared" si="1"/>
        <v>0</v>
      </c>
      <c r="E21" s="51"/>
      <c r="F21" s="19"/>
      <c r="G21" s="89">
        <v>0</v>
      </c>
      <c r="H21" s="13"/>
      <c r="I21" s="13"/>
      <c r="J21" s="13"/>
      <c r="K21" s="13"/>
      <c r="L21" s="13"/>
    </row>
    <row r="22" spans="1:12" s="14" customFormat="1">
      <c r="A22" s="18" t="s">
        <v>32</v>
      </c>
      <c r="B22" s="40"/>
      <c r="C22" s="51"/>
      <c r="D22" s="51">
        <f t="shared" si="1"/>
        <v>0</v>
      </c>
      <c r="E22" s="51"/>
      <c r="F22" s="21"/>
      <c r="G22" s="88">
        <v>2.5</v>
      </c>
      <c r="H22" s="13"/>
      <c r="I22" s="13"/>
      <c r="J22" s="13"/>
      <c r="K22" s="13"/>
      <c r="L22" s="13"/>
    </row>
    <row r="23" spans="1:12" s="14" customFormat="1">
      <c r="A23" s="20" t="s">
        <v>33</v>
      </c>
      <c r="B23" s="41"/>
      <c r="C23" s="51"/>
      <c r="D23" s="51">
        <f t="shared" si="1"/>
        <v>0</v>
      </c>
      <c r="E23" s="51"/>
      <c r="F23" s="21"/>
      <c r="G23" s="27">
        <v>22.75</v>
      </c>
      <c r="H23" s="13"/>
      <c r="I23" s="13"/>
      <c r="J23" s="13"/>
      <c r="K23" s="13"/>
      <c r="L23" s="13"/>
    </row>
    <row r="24" spans="1:12" s="14" customFormat="1">
      <c r="A24" s="20" t="s">
        <v>31</v>
      </c>
      <c r="B24" s="41"/>
      <c r="C24" s="51"/>
      <c r="D24" s="51">
        <f t="shared" si="1"/>
        <v>0</v>
      </c>
      <c r="E24" s="51"/>
      <c r="F24" s="21"/>
      <c r="G24" s="27">
        <v>4.22</v>
      </c>
      <c r="H24" s="13"/>
      <c r="I24" s="13"/>
      <c r="J24" s="13"/>
      <c r="K24" s="13"/>
      <c r="L24" s="13"/>
    </row>
    <row r="25" spans="1:12" s="14" customFormat="1" ht="12.75" customHeight="1">
      <c r="A25" s="20" t="s">
        <v>69</v>
      </c>
      <c r="B25" s="54">
        <f>424.97+178.28+7.29+25.83</f>
        <v>636.37</v>
      </c>
      <c r="C25" s="22">
        <v>0</v>
      </c>
      <c r="D25" s="52">
        <f t="shared" si="1"/>
        <v>636.37</v>
      </c>
      <c r="E25" s="51"/>
      <c r="F25" s="21"/>
      <c r="G25" s="27">
        <v>158.54</v>
      </c>
      <c r="H25" s="23"/>
      <c r="I25" s="13"/>
      <c r="J25" s="13"/>
      <c r="K25" s="13"/>
      <c r="L25" s="13"/>
    </row>
    <row r="26" spans="1:12" s="14" customFormat="1" ht="12.75" customHeight="1">
      <c r="A26" s="81" t="s">
        <v>117</v>
      </c>
      <c r="B26" s="54"/>
      <c r="C26" s="22"/>
      <c r="D26" s="51">
        <f t="shared" si="1"/>
        <v>0</v>
      </c>
      <c r="E26" s="51"/>
      <c r="F26" s="21"/>
      <c r="G26" s="90">
        <v>1.0900000000000001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34</v>
      </c>
      <c r="B27" s="54"/>
      <c r="C27" s="22"/>
      <c r="D27" s="51">
        <f t="shared" si="1"/>
        <v>0</v>
      </c>
      <c r="E27" s="51"/>
      <c r="F27" s="21"/>
      <c r="G27" s="90">
        <v>39.24</v>
      </c>
      <c r="H27" s="23"/>
      <c r="I27" s="13"/>
      <c r="J27" s="13"/>
      <c r="K27" s="13"/>
      <c r="L27" s="13"/>
    </row>
    <row r="28" spans="1:12" s="14" customFormat="1" ht="13.5" thickBot="1">
      <c r="A28" s="24" t="s">
        <v>120</v>
      </c>
      <c r="B28" s="132">
        <f>299.27+487.48+291.58+133.96+3326.28</f>
        <v>4538.57</v>
      </c>
      <c r="C28" s="132">
        <f>275.86+487.48+303.17+121.19+218.26</f>
        <v>1405.96</v>
      </c>
      <c r="D28" s="133">
        <f t="shared" si="1"/>
        <v>3132.6099999999997</v>
      </c>
      <c r="E28" s="42"/>
      <c r="F28" s="42"/>
      <c r="G28" s="91"/>
      <c r="H28" s="13"/>
      <c r="I28" s="13"/>
      <c r="J28" s="13"/>
      <c r="K28" s="13"/>
      <c r="L28" s="13"/>
    </row>
    <row r="29" spans="1:12" s="14" customFormat="1" ht="30.75" thickBot="1">
      <c r="A29" s="25" t="s">
        <v>10</v>
      </c>
      <c r="B29" s="37" t="s">
        <v>19</v>
      </c>
      <c r="C29" s="48" t="s">
        <v>12</v>
      </c>
      <c r="D29" s="44" t="s">
        <v>11</v>
      </c>
      <c r="E29" s="37" t="s">
        <v>21</v>
      </c>
      <c r="F29" s="37" t="s">
        <v>20</v>
      </c>
      <c r="G29" s="70" t="s">
        <v>58</v>
      </c>
      <c r="H29" s="65"/>
    </row>
    <row r="30" spans="1:12" s="14" customFormat="1" ht="15.75" thickBot="1">
      <c r="A30" s="9" t="s">
        <v>23</v>
      </c>
      <c r="B30" s="161">
        <f>1026.97+200.6+64.55</f>
        <v>1292.1199999999999</v>
      </c>
      <c r="C30" s="162">
        <f>1026.97+136+45.48+19.07</f>
        <v>1227.52</v>
      </c>
      <c r="D30" s="46">
        <f>B30-C30</f>
        <v>64.599999999999909</v>
      </c>
      <c r="E30" s="61"/>
      <c r="F30" s="62"/>
      <c r="G30" s="26">
        <v>106.86</v>
      </c>
      <c r="H30" s="13"/>
      <c r="I30" s="13"/>
      <c r="J30" s="13"/>
      <c r="K30" s="13"/>
      <c r="L30" s="13"/>
    </row>
    <row r="31" spans="1:12" s="14" customFormat="1" ht="30.75" thickBot="1">
      <c r="A31" s="25" t="s">
        <v>22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">
      <c r="A32" s="9" t="s">
        <v>35</v>
      </c>
      <c r="B32" s="38">
        <f>699.72+525.68+309.42</f>
        <v>1534.8200000000002</v>
      </c>
      <c r="C32" s="50">
        <f>353.99+512.16+27.25+282.64</f>
        <v>1176.04</v>
      </c>
      <c r="D32" s="49">
        <f>B32-C32</f>
        <v>358.7800000000002</v>
      </c>
      <c r="E32" s="82"/>
      <c r="F32" s="60"/>
      <c r="G32" s="195">
        <v>784.38</v>
      </c>
      <c r="H32" s="13"/>
      <c r="I32" s="13"/>
      <c r="J32" s="13"/>
      <c r="K32" s="13"/>
      <c r="L32" s="13"/>
    </row>
    <row r="33" spans="1:12" s="14" customFormat="1" ht="17.25" customHeight="1">
      <c r="A33" s="20" t="s">
        <v>38</v>
      </c>
      <c r="B33" s="41"/>
      <c r="C33" s="53"/>
      <c r="D33" s="22">
        <f>B33-C33</f>
        <v>0</v>
      </c>
      <c r="E33" s="54"/>
      <c r="F33" s="41"/>
      <c r="G33" s="27">
        <v>65.02</v>
      </c>
      <c r="H33" s="13"/>
      <c r="I33" s="13"/>
      <c r="J33" s="13"/>
      <c r="K33" s="13"/>
      <c r="L33" s="13"/>
    </row>
    <row r="34" spans="1:12" s="14" customFormat="1" ht="12.75" customHeight="1">
      <c r="A34" s="124" t="s">
        <v>70</v>
      </c>
      <c r="B34" s="54">
        <f>1063.1+1356.31+292.75</f>
        <v>2712.16</v>
      </c>
      <c r="C34" s="22">
        <f>657.7+134.33+1162.88+383.2</f>
        <v>2338.11</v>
      </c>
      <c r="D34" s="22">
        <f>B34-C34</f>
        <v>374.04999999999973</v>
      </c>
      <c r="E34" s="54"/>
      <c r="F34" s="41"/>
      <c r="G34" s="190">
        <v>489.74</v>
      </c>
      <c r="H34" s="13"/>
      <c r="I34" s="13"/>
      <c r="J34" s="13"/>
      <c r="K34" s="13"/>
      <c r="L34" s="13"/>
    </row>
    <row r="35" spans="1:12" s="14" customFormat="1">
      <c r="A35" s="81" t="s">
        <v>119</v>
      </c>
      <c r="B35" s="132">
        <f>192.04+167.9+1611.09+958.47</f>
        <v>2929.5</v>
      </c>
      <c r="C35" s="132">
        <f>197.18+167.9+1586.89+958.47</f>
        <v>2910.4400000000005</v>
      </c>
      <c r="D35" s="133">
        <f>B35-C35</f>
        <v>19.059999999999491</v>
      </c>
      <c r="E35" s="111"/>
      <c r="F35" s="57"/>
      <c r="G35" s="112"/>
      <c r="K35" s="13"/>
      <c r="L35" s="13"/>
    </row>
    <row r="36" spans="1:12" s="14" customFormat="1">
      <c r="A36" s="81" t="s">
        <v>491</v>
      </c>
      <c r="B36" s="54">
        <v>1262.8</v>
      </c>
      <c r="C36" s="22">
        <v>1247.3</v>
      </c>
      <c r="D36" s="22">
        <f>B36-C36</f>
        <v>15.5</v>
      </c>
      <c r="E36" s="111"/>
      <c r="F36" s="57"/>
      <c r="G36" s="112">
        <v>93.21</v>
      </c>
      <c r="K36" s="13"/>
      <c r="L36" s="13"/>
    </row>
    <row r="37" spans="1:12" s="14" customFormat="1" ht="13.5" thickBot="1">
      <c r="A37" s="24" t="s">
        <v>99</v>
      </c>
      <c r="B37" s="126">
        <v>2451.4</v>
      </c>
      <c r="C37" s="113">
        <v>0</v>
      </c>
      <c r="D37" s="126">
        <f>B37</f>
        <v>2451.4</v>
      </c>
      <c r="E37" s="71"/>
      <c r="F37" s="72"/>
      <c r="G37" s="74"/>
      <c r="K37" s="13"/>
      <c r="L37" s="13"/>
    </row>
    <row r="38" spans="1:12" ht="34.5" customHeight="1" thickBot="1">
      <c r="A38" s="25" t="s">
        <v>72</v>
      </c>
      <c r="B38" s="37" t="s">
        <v>19</v>
      </c>
      <c r="C38" s="48" t="s">
        <v>12</v>
      </c>
      <c r="D38" s="44" t="s">
        <v>11</v>
      </c>
      <c r="E38" s="37" t="s">
        <v>21</v>
      </c>
      <c r="F38" s="87" t="s">
        <v>84</v>
      </c>
      <c r="G38" s="68"/>
      <c r="H38" s="13"/>
      <c r="I38" s="13"/>
      <c r="J38" s="13"/>
      <c r="K38" s="13"/>
      <c r="L38" s="13"/>
    </row>
    <row r="39" spans="1:12" ht="19.5" customHeight="1" thickBot="1">
      <c r="A39" s="9" t="s">
        <v>71</v>
      </c>
      <c r="B39" s="120"/>
      <c r="C39" s="120"/>
      <c r="D39" s="121">
        <f>B39-C39</f>
        <v>0</v>
      </c>
      <c r="E39" s="123"/>
      <c r="F39" s="122"/>
      <c r="G39" s="68"/>
    </row>
    <row r="40" spans="1:12" ht="19.5" customHeight="1" thickBot="1">
      <c r="A40" s="25" t="s">
        <v>50</v>
      </c>
      <c r="B40" s="75" t="s">
        <v>65</v>
      </c>
      <c r="C40" s="68"/>
      <c r="D40" s="68"/>
      <c r="E40" s="68"/>
      <c r="F40" s="68"/>
      <c r="G40" s="68"/>
      <c r="H40" s="13"/>
      <c r="I40" s="13"/>
      <c r="J40" s="13"/>
      <c r="K40" s="13"/>
      <c r="L40" s="13"/>
    </row>
    <row r="41" spans="1:12" ht="30" customHeight="1">
      <c r="A41" s="101" t="s">
        <v>138</v>
      </c>
      <c r="B41" s="79"/>
      <c r="C41" s="68"/>
      <c r="D41" s="68"/>
      <c r="E41" s="68"/>
      <c r="F41" s="68"/>
      <c r="G41" s="68"/>
    </row>
    <row r="42" spans="1:12" ht="15">
      <c r="A42" s="29" t="s">
        <v>139</v>
      </c>
      <c r="B42" s="80"/>
      <c r="C42" s="68"/>
      <c r="D42" s="68"/>
      <c r="E42" s="68"/>
      <c r="F42" s="68"/>
      <c r="G42" s="68"/>
    </row>
    <row r="43" spans="1:12" ht="15">
      <c r="A43" s="29" t="s">
        <v>140</v>
      </c>
      <c r="B43" s="80">
        <v>0</v>
      </c>
      <c r="C43" s="68"/>
      <c r="D43" s="68"/>
      <c r="E43" s="68"/>
      <c r="F43" s="68"/>
      <c r="G43" s="68"/>
    </row>
    <row r="44" spans="1:12" ht="15">
      <c r="A44" s="29" t="s">
        <v>141</v>
      </c>
      <c r="B44" s="80">
        <v>0</v>
      </c>
      <c r="C44" s="68"/>
      <c r="D44" s="68"/>
      <c r="E44" s="68"/>
      <c r="F44" s="68"/>
      <c r="G44" s="68"/>
    </row>
    <row r="45" spans="1:12" ht="15">
      <c r="A45" s="20" t="s">
        <v>142</v>
      </c>
      <c r="B45" s="80"/>
      <c r="C45" s="68"/>
      <c r="D45" s="68"/>
      <c r="E45" s="68"/>
      <c r="F45" s="68"/>
      <c r="G45" s="68"/>
    </row>
    <row r="46" spans="1:12" ht="25.5">
      <c r="A46" s="64" t="s">
        <v>143</v>
      </c>
      <c r="B46" s="80"/>
      <c r="C46" s="68"/>
      <c r="D46" s="68"/>
      <c r="E46" s="68"/>
      <c r="F46" s="68"/>
      <c r="G46" s="68"/>
    </row>
    <row r="47" spans="1:12" ht="25.5">
      <c r="A47" s="64" t="s">
        <v>144</v>
      </c>
      <c r="B47" s="80"/>
      <c r="C47" s="68"/>
      <c r="D47" s="68"/>
      <c r="E47" s="68"/>
      <c r="F47" s="68"/>
      <c r="G47" s="68"/>
    </row>
    <row r="48" spans="1:12" ht="25.5">
      <c r="A48" s="64" t="s">
        <v>145</v>
      </c>
      <c r="B48" s="80"/>
      <c r="C48" s="68"/>
      <c r="D48" s="68"/>
      <c r="E48" s="68"/>
      <c r="F48" s="68"/>
      <c r="G48" s="68"/>
    </row>
    <row r="49" spans="1:12" ht="15">
      <c r="A49" s="18" t="s">
        <v>125</v>
      </c>
      <c r="B49" s="80"/>
      <c r="C49" s="68"/>
      <c r="D49" s="68"/>
      <c r="E49" s="68"/>
      <c r="F49" s="68"/>
      <c r="G49" s="68"/>
    </row>
    <row r="50" spans="1:12" ht="14.25" customHeight="1">
      <c r="A50" s="29" t="s">
        <v>126</v>
      </c>
      <c r="B50" s="80"/>
      <c r="C50" s="68"/>
      <c r="D50" s="68"/>
      <c r="E50" s="68"/>
      <c r="F50" s="68"/>
      <c r="G50" s="68"/>
    </row>
    <row r="51" spans="1:12" ht="26.25" customHeight="1">
      <c r="A51" s="29" t="s">
        <v>127</v>
      </c>
      <c r="B51" s="80"/>
      <c r="C51" s="68"/>
      <c r="D51" s="68"/>
      <c r="E51" s="68"/>
      <c r="F51" s="68"/>
      <c r="G51" s="68"/>
    </row>
    <row r="52" spans="1:12" ht="33" customHeight="1">
      <c r="A52" s="29" t="s">
        <v>128</v>
      </c>
      <c r="B52" s="80"/>
      <c r="C52" s="68"/>
      <c r="D52" s="68"/>
      <c r="E52" s="68"/>
      <c r="F52" s="68"/>
      <c r="G52" s="68"/>
      <c r="J52" s="13"/>
      <c r="K52" s="13"/>
      <c r="L52" s="13"/>
    </row>
    <row r="53" spans="1:12" ht="32.25" customHeight="1">
      <c r="A53" s="29" t="s">
        <v>129</v>
      </c>
      <c r="B53" s="80"/>
      <c r="C53" s="68"/>
      <c r="D53" s="68"/>
      <c r="E53" s="68"/>
      <c r="F53" s="68"/>
      <c r="G53" s="68"/>
    </row>
    <row r="54" spans="1:12" ht="31.5" customHeight="1">
      <c r="A54" s="29" t="s">
        <v>134</v>
      </c>
      <c r="B54" s="80"/>
      <c r="C54" s="68"/>
      <c r="D54" s="68"/>
      <c r="E54" s="68"/>
      <c r="F54" s="68"/>
      <c r="G54" s="68"/>
    </row>
    <row r="55" spans="1:12" s="14" customFormat="1" ht="15">
      <c r="A55" s="29" t="s">
        <v>135</v>
      </c>
      <c r="B55" s="80"/>
      <c r="C55" s="68"/>
      <c r="D55" s="68"/>
      <c r="E55" s="68"/>
      <c r="F55" s="68"/>
      <c r="G55" s="68"/>
      <c r="H55" s="3"/>
      <c r="I55" s="3"/>
      <c r="J55" s="13"/>
      <c r="K55" s="13"/>
      <c r="L55" s="13"/>
    </row>
    <row r="56" spans="1:12" s="14" customFormat="1" ht="15">
      <c r="A56" s="29" t="s">
        <v>136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130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29" t="s">
        <v>131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64" t="s">
        <v>132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s="14" customFormat="1" ht="25.5">
      <c r="A60" s="64" t="s">
        <v>133</v>
      </c>
      <c r="B60" s="80"/>
      <c r="C60" s="68"/>
      <c r="D60" s="68"/>
      <c r="E60" s="68"/>
      <c r="F60" s="68"/>
      <c r="G60" s="68"/>
      <c r="H60" s="3"/>
      <c r="I60" s="3"/>
      <c r="J60" s="13"/>
      <c r="K60" s="13"/>
      <c r="L60" s="13"/>
    </row>
    <row r="61" spans="1:12" ht="15">
      <c r="A61" s="66" t="s">
        <v>146</v>
      </c>
      <c r="B61" s="80"/>
      <c r="C61" s="68"/>
      <c r="D61" s="68"/>
      <c r="E61" s="68"/>
      <c r="F61" s="68"/>
      <c r="G61" s="68"/>
    </row>
    <row r="62" spans="1:12" ht="15">
      <c r="A62" s="81" t="s">
        <v>124</v>
      </c>
      <c r="B62" s="80"/>
      <c r="C62" s="68"/>
      <c r="D62" s="68"/>
      <c r="E62" s="68"/>
      <c r="F62" s="68"/>
      <c r="G62" s="68"/>
    </row>
    <row r="63" spans="1:12" ht="15">
      <c r="A63" s="64" t="s">
        <v>73</v>
      </c>
      <c r="B63" s="80"/>
      <c r="C63" s="68"/>
      <c r="D63" s="68"/>
      <c r="E63" s="68"/>
      <c r="F63" s="68"/>
      <c r="G63" s="68"/>
    </row>
    <row r="64" spans="1:12" ht="15">
      <c r="A64" s="64" t="s">
        <v>74</v>
      </c>
      <c r="B64" s="80"/>
      <c r="C64" s="68"/>
      <c r="D64" s="68"/>
      <c r="E64" s="68"/>
      <c r="F64" s="68"/>
      <c r="G64" s="68"/>
    </row>
    <row r="65" spans="1:12" s="14" customFormat="1" ht="15">
      <c r="A65" s="64" t="s">
        <v>76</v>
      </c>
      <c r="B65" s="80"/>
      <c r="C65" s="68"/>
      <c r="D65" s="68"/>
      <c r="E65" s="68"/>
      <c r="F65" s="68"/>
      <c r="G65" s="68"/>
      <c r="H65" s="13"/>
      <c r="I65" s="13"/>
      <c r="J65" s="3"/>
      <c r="K65" s="3"/>
      <c r="L65" s="3"/>
    </row>
    <row r="66" spans="1:12" ht="15">
      <c r="A66" s="64" t="s">
        <v>75</v>
      </c>
      <c r="B66" s="80"/>
      <c r="C66" s="68"/>
      <c r="D66" s="68"/>
      <c r="E66" s="68"/>
      <c r="F66" s="68"/>
      <c r="G66" s="68"/>
      <c r="H66" s="13"/>
      <c r="I66" s="13"/>
    </row>
    <row r="67" spans="1:12" ht="15">
      <c r="A67" s="64" t="s">
        <v>77</v>
      </c>
      <c r="B67" s="80"/>
      <c r="C67" s="68"/>
      <c r="D67" s="68"/>
      <c r="E67" s="68"/>
      <c r="F67" s="68"/>
      <c r="G67" s="68"/>
    </row>
    <row r="68" spans="1:12" ht="15">
      <c r="A68" s="64" t="s">
        <v>83</v>
      </c>
      <c r="B68" s="80"/>
      <c r="C68" s="68"/>
      <c r="D68" s="68"/>
      <c r="E68" s="68"/>
      <c r="F68" s="68"/>
      <c r="G68" s="68"/>
    </row>
    <row r="69" spans="1:12" ht="15">
      <c r="A69" s="64" t="s">
        <v>90</v>
      </c>
      <c r="B69" s="80"/>
      <c r="C69" s="68"/>
      <c r="D69" s="68"/>
      <c r="E69" s="68"/>
      <c r="F69" s="68"/>
      <c r="G69" s="68"/>
    </row>
    <row r="70" spans="1:12" ht="15">
      <c r="A70" s="64" t="s">
        <v>91</v>
      </c>
      <c r="B70" s="80"/>
      <c r="C70" s="36"/>
      <c r="D70" s="55"/>
      <c r="E70" s="59"/>
      <c r="F70" s="59"/>
    </row>
    <row r="71" spans="1:12" ht="15">
      <c r="A71" s="64" t="s">
        <v>96</v>
      </c>
      <c r="B71" s="80"/>
      <c r="C71" s="36"/>
      <c r="D71" s="55"/>
      <c r="E71" s="59"/>
      <c r="F71" s="59"/>
    </row>
    <row r="72" spans="1:12" ht="15">
      <c r="A72" s="64" t="s">
        <v>97</v>
      </c>
      <c r="B72" s="80"/>
      <c r="C72" s="36"/>
      <c r="D72" s="55"/>
      <c r="E72" s="59"/>
      <c r="F72" s="59"/>
    </row>
    <row r="73" spans="1:12" ht="15">
      <c r="A73" s="64" t="s">
        <v>98</v>
      </c>
      <c r="B73" s="80"/>
      <c r="C73" s="36"/>
      <c r="D73" s="55"/>
      <c r="E73" s="59"/>
      <c r="F73" s="59"/>
    </row>
    <row r="74" spans="1:12" ht="15">
      <c r="A74" s="64" t="s">
        <v>137</v>
      </c>
      <c r="B74" s="80"/>
      <c r="C74" s="36"/>
      <c r="D74" s="55"/>
      <c r="E74" s="59"/>
      <c r="F74" s="59"/>
    </row>
    <row r="75" spans="1:12" ht="15">
      <c r="A75" s="64" t="s">
        <v>94</v>
      </c>
      <c r="B75" s="80"/>
      <c r="C75" s="36"/>
      <c r="D75" s="55"/>
      <c r="E75" s="59"/>
      <c r="F75" s="59"/>
    </row>
    <row r="76" spans="1:12" ht="15">
      <c r="A76" s="64" t="s">
        <v>95</v>
      </c>
      <c r="B76" s="80"/>
      <c r="C76" s="36"/>
      <c r="D76" s="55"/>
      <c r="E76" s="59"/>
      <c r="F76" s="59"/>
    </row>
    <row r="77" spans="1:12" ht="25.5">
      <c r="A77" s="64" t="s">
        <v>147</v>
      </c>
      <c r="B77" s="80"/>
      <c r="C77" s="36"/>
      <c r="D77" s="55"/>
      <c r="E77" s="59"/>
      <c r="F77" s="59"/>
    </row>
    <row r="78" spans="1:12" ht="25.5">
      <c r="A78" s="64" t="s">
        <v>148</v>
      </c>
      <c r="B78" s="80"/>
      <c r="C78" s="36"/>
      <c r="D78" s="55"/>
      <c r="E78" s="59"/>
      <c r="F78" s="59"/>
    </row>
    <row r="79" spans="1:12" ht="25.5">
      <c r="A79" s="64" t="s">
        <v>149</v>
      </c>
      <c r="B79" s="80"/>
      <c r="C79" s="36"/>
      <c r="D79" s="55"/>
      <c r="E79" s="59"/>
      <c r="F79" s="59"/>
    </row>
    <row r="80" spans="1:12" ht="15">
      <c r="A80" s="64" t="s">
        <v>150</v>
      </c>
      <c r="B80" s="80"/>
      <c r="C80" s="36"/>
      <c r="D80" s="55"/>
      <c r="E80" s="59"/>
      <c r="F80" s="59"/>
    </row>
    <row r="81" spans="1:12" ht="15">
      <c r="A81" s="64" t="s">
        <v>151</v>
      </c>
      <c r="B81" s="80"/>
      <c r="C81" s="36"/>
      <c r="D81" s="55"/>
      <c r="E81" s="59"/>
      <c r="F81" s="59"/>
    </row>
    <row r="82" spans="1:12" ht="15">
      <c r="A82" s="94" t="s">
        <v>82</v>
      </c>
      <c r="B82" s="80">
        <v>17.75</v>
      </c>
      <c r="C82" s="36"/>
      <c r="D82" s="55"/>
      <c r="E82" s="59"/>
      <c r="F82" s="59"/>
    </row>
    <row r="83" spans="1:12" ht="15">
      <c r="A83" s="94" t="s">
        <v>101</v>
      </c>
      <c r="B83" s="80">
        <v>13.33</v>
      </c>
      <c r="C83" s="36"/>
      <c r="D83" s="55"/>
      <c r="E83" s="59"/>
      <c r="F83" s="59"/>
    </row>
    <row r="84" spans="1:12" ht="15">
      <c r="A84" s="94" t="s">
        <v>102</v>
      </c>
      <c r="B84" s="80">
        <v>0</v>
      </c>
      <c r="C84" s="36"/>
      <c r="D84" s="55"/>
      <c r="E84" s="59"/>
      <c r="F84" s="59"/>
    </row>
    <row r="85" spans="1:12" ht="15">
      <c r="A85" s="94" t="s">
        <v>103</v>
      </c>
      <c r="B85" s="80">
        <v>0.15</v>
      </c>
      <c r="C85" s="36"/>
      <c r="D85" s="55"/>
      <c r="E85" s="59"/>
      <c r="F85" s="59"/>
    </row>
    <row r="86" spans="1:12" ht="15">
      <c r="A86" s="94" t="s">
        <v>104</v>
      </c>
      <c r="B86" s="80">
        <v>0.55000000000000004</v>
      </c>
      <c r="C86" s="36"/>
      <c r="D86" s="55"/>
      <c r="E86" s="59"/>
      <c r="F86" s="59"/>
    </row>
    <row r="87" spans="1:12" ht="25.5">
      <c r="A87" s="115" t="s">
        <v>112</v>
      </c>
      <c r="B87" s="80"/>
      <c r="C87" s="36"/>
      <c r="D87" s="55"/>
      <c r="E87" s="59"/>
      <c r="F87" s="59"/>
    </row>
    <row r="88" spans="1:12" ht="26.25" thickBot="1">
      <c r="A88" s="95" t="s">
        <v>111</v>
      </c>
      <c r="B88" s="96"/>
      <c r="C88" s="36"/>
      <c r="D88" s="55"/>
      <c r="E88" s="59"/>
      <c r="F88" s="59"/>
    </row>
    <row r="89" spans="1:12" ht="15.75" thickBot="1">
      <c r="A89" s="92"/>
      <c r="B89" s="137"/>
      <c r="C89" s="36"/>
      <c r="D89" s="55"/>
      <c r="E89" s="59"/>
      <c r="F89" s="59"/>
    </row>
    <row r="90" spans="1:12" s="14" customFormat="1" ht="15.75" thickBot="1">
      <c r="A90" s="93" t="s">
        <v>64</v>
      </c>
      <c r="B90" s="78">
        <f>SUM(B2:B39)</f>
        <v>21571.51</v>
      </c>
      <c r="C90" s="69"/>
      <c r="D90" s="58"/>
      <c r="E90" s="68"/>
      <c r="F90" s="68"/>
      <c r="G90" s="58"/>
      <c r="H90" s="13"/>
      <c r="I90" s="13"/>
      <c r="J90" s="13"/>
      <c r="K90" s="13"/>
      <c r="L90" s="13"/>
    </row>
    <row r="91" spans="1:12" s="14" customFormat="1" ht="15.75" thickBot="1">
      <c r="A91" s="67" t="s">
        <v>55</v>
      </c>
      <c r="B91" s="28">
        <f>SUM(G2:G37)</f>
        <v>5021.97</v>
      </c>
      <c r="C91" s="58"/>
      <c r="D91" s="58"/>
      <c r="E91" s="68"/>
      <c r="F91" s="68"/>
      <c r="G91" s="30"/>
      <c r="H91" s="13"/>
      <c r="I91" s="13"/>
      <c r="J91" s="13"/>
      <c r="K91" s="13"/>
      <c r="L91" s="13"/>
    </row>
    <row r="92" spans="1:12" ht="15.75" thickBot="1">
      <c r="A92" s="86" t="s">
        <v>56</v>
      </c>
      <c r="B92" s="78">
        <f>SUM(B41:B88)</f>
        <v>31.779999999999998</v>
      </c>
      <c r="C92" s="36"/>
      <c r="D92" s="55"/>
      <c r="E92" s="59"/>
      <c r="F92" s="59"/>
    </row>
    <row r="93" spans="1:12" ht="15.75" thickBot="1">
      <c r="A93" s="77" t="s">
        <v>622</v>
      </c>
      <c r="B93" s="78">
        <f>B90+B91+B92</f>
        <v>26625.26</v>
      </c>
      <c r="C93" s="36"/>
      <c r="D93" s="55"/>
    </row>
    <row r="94" spans="1:12">
      <c r="B94" s="36"/>
      <c r="C94" s="36"/>
      <c r="D94" s="55"/>
    </row>
    <row r="95" spans="1:12">
      <c r="B95" s="36"/>
      <c r="C95" s="36"/>
      <c r="D95" s="55"/>
    </row>
    <row r="96" spans="1:12">
      <c r="B96" s="36"/>
      <c r="C96" s="36"/>
      <c r="D96" s="36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>
      <c r="B99" s="36"/>
      <c r="C99" s="36"/>
      <c r="D99" s="36"/>
    </row>
    <row r="100" spans="1:12" s="36" customFormat="1">
      <c r="A100" s="3"/>
      <c r="G100" s="33"/>
      <c r="H100" s="3"/>
      <c r="I100" s="3"/>
      <c r="J100" s="3"/>
      <c r="K100" s="3"/>
      <c r="L100" s="3"/>
    </row>
    <row r="101" spans="1:12" s="36" customFormat="1">
      <c r="A101" s="3"/>
      <c r="G101" s="33"/>
      <c r="H101" s="3"/>
      <c r="I101" s="3"/>
      <c r="J101" s="3"/>
      <c r="K101" s="3"/>
      <c r="L101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102"/>
  <sheetViews>
    <sheetView topLeftCell="A16" workbookViewId="0">
      <selection activeCell="D38" sqref="D38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22.7+370.66</f>
        <v>393.36</v>
      </c>
      <c r="C2" s="38">
        <f>22.7+20.83+290.76</f>
        <v>334.28999999999996</v>
      </c>
      <c r="D2" s="108">
        <f>B2-C2</f>
        <v>59.07000000000005</v>
      </c>
      <c r="E2" s="63"/>
      <c r="F2" s="38"/>
      <c r="G2" s="10">
        <v>299.43</v>
      </c>
    </row>
    <row r="3" spans="1:12" s="14" customFormat="1" ht="13.5" thickBot="1">
      <c r="A3" s="11" t="s">
        <v>28</v>
      </c>
      <c r="B3" s="39">
        <v>38.5</v>
      </c>
      <c r="C3" s="39">
        <v>0</v>
      </c>
      <c r="D3" s="73">
        <f>B3-C3</f>
        <v>38.5</v>
      </c>
      <c r="E3" s="39"/>
      <c r="F3" s="39"/>
      <c r="G3" s="12">
        <v>76.8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17" si="0">B5-C5</f>
        <v>0</v>
      </c>
      <c r="E5" s="51"/>
      <c r="F5" s="21"/>
      <c r="G5" s="88">
        <v>0.33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211.53+71.13+70.54</f>
        <v>353.2</v>
      </c>
      <c r="C6" s="51">
        <f>121.08+71.13+73.22</f>
        <v>265.42999999999995</v>
      </c>
      <c r="D6" s="51">
        <f>B6-C6</f>
        <v>87.770000000000039</v>
      </c>
      <c r="E6" s="51"/>
      <c r="F6" s="21"/>
      <c r="G6" s="191">
        <v>345.71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22.79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0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/>
      <c r="C9" s="51"/>
      <c r="D9" s="51">
        <f>B9-C9</f>
        <v>0</v>
      </c>
      <c r="E9" s="51"/>
      <c r="F9" s="21"/>
      <c r="G9" s="27">
        <v>2.66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>
        <f>241.44+950.78+21.03</f>
        <v>1213.25</v>
      </c>
      <c r="C10" s="51">
        <f>69.51+171.93+908.98+21.03</f>
        <v>1171.45</v>
      </c>
      <c r="D10" s="51">
        <f t="shared" si="0"/>
        <v>41.799999999999955</v>
      </c>
      <c r="E10" s="51"/>
      <c r="F10" s="21"/>
      <c r="G10" s="190">
        <v>398.66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4.17</v>
      </c>
      <c r="H11" s="13"/>
      <c r="I11" s="13"/>
      <c r="J11" s="13"/>
      <c r="K11" s="13"/>
      <c r="L11" s="13"/>
    </row>
    <row r="12" spans="1:12" s="14" customFormat="1">
      <c r="A12" s="20" t="s">
        <v>689</v>
      </c>
      <c r="B12" s="41"/>
      <c r="C12" s="51"/>
      <c r="D12" s="51"/>
      <c r="E12" s="51"/>
      <c r="F12" s="21"/>
      <c r="G12" s="27">
        <v>7.4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/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>
        <f>242.91+1357.98+10.19</f>
        <v>1611.0800000000002</v>
      </c>
      <c r="C14" s="51">
        <f>237.5+11.22+1477.1+10.19</f>
        <v>1736.01</v>
      </c>
      <c r="D14" s="51">
        <f t="shared" si="0"/>
        <v>-124.92999999999984</v>
      </c>
      <c r="E14" s="51"/>
      <c r="F14" s="21"/>
      <c r="G14" s="27">
        <v>12.77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1.59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63.43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0.28999999999999998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f>69.87+144.43+909.78</f>
        <v>1124.08</v>
      </c>
      <c r="C18" s="51">
        <f>0.93+69.87+79.72+63.24+786.09</f>
        <v>999.85</v>
      </c>
      <c r="D18" s="51">
        <f t="shared" ref="D18:D29" si="1">B18-C18</f>
        <v>124.2299999999999</v>
      </c>
      <c r="E18" s="51"/>
      <c r="F18" s="22"/>
      <c r="G18" s="196">
        <v>1013.27</v>
      </c>
      <c r="H18" s="13"/>
      <c r="I18" s="13"/>
      <c r="J18" s="13"/>
      <c r="K18" s="13"/>
      <c r="L18" s="13"/>
    </row>
    <row r="19" spans="1:12" s="14" customFormat="1">
      <c r="A19" s="18" t="s">
        <v>169</v>
      </c>
      <c r="B19" s="40"/>
      <c r="C19" s="51"/>
      <c r="D19" s="51">
        <f t="shared" si="1"/>
        <v>0</v>
      </c>
      <c r="E19" s="51"/>
      <c r="F19" s="22"/>
      <c r="G19" s="89">
        <v>0</v>
      </c>
      <c r="H19" s="13"/>
      <c r="I19" s="13"/>
      <c r="J19" s="13"/>
      <c r="K19" s="13"/>
      <c r="L19" s="13"/>
    </row>
    <row r="20" spans="1:12" s="14" customFormat="1">
      <c r="A20" s="18" t="s">
        <v>59</v>
      </c>
      <c r="B20" s="40"/>
      <c r="C20" s="51"/>
      <c r="D20" s="51">
        <f t="shared" si="1"/>
        <v>0</v>
      </c>
      <c r="E20" s="51"/>
      <c r="F20" s="19"/>
      <c r="G20" s="89">
        <v>30.78</v>
      </c>
      <c r="H20" s="13"/>
      <c r="I20" s="13"/>
      <c r="J20" s="13"/>
      <c r="K20" s="13"/>
      <c r="L20" s="13"/>
    </row>
    <row r="21" spans="1:12" s="14" customFormat="1">
      <c r="A21" s="18" t="s">
        <v>105</v>
      </c>
      <c r="B21" s="40"/>
      <c r="C21" s="51"/>
      <c r="D21" s="51">
        <f t="shared" si="1"/>
        <v>0</v>
      </c>
      <c r="E21" s="51"/>
      <c r="F21" s="19"/>
      <c r="G21" s="89">
        <v>0.5</v>
      </c>
      <c r="H21" s="13"/>
      <c r="I21" s="13"/>
      <c r="J21" s="13"/>
      <c r="K21" s="13"/>
      <c r="L21" s="13"/>
    </row>
    <row r="22" spans="1:12" s="14" customFormat="1">
      <c r="A22" s="18" t="s">
        <v>32</v>
      </c>
      <c r="B22" s="40"/>
      <c r="C22" s="51"/>
      <c r="D22" s="51">
        <f t="shared" si="1"/>
        <v>0</v>
      </c>
      <c r="E22" s="51"/>
      <c r="F22" s="21"/>
      <c r="G22" s="88">
        <v>1.74</v>
      </c>
      <c r="H22" s="13"/>
      <c r="I22" s="13"/>
      <c r="J22" s="13"/>
      <c r="K22" s="13"/>
      <c r="L22" s="13"/>
    </row>
    <row r="23" spans="1:12" s="14" customFormat="1">
      <c r="A23" s="20" t="s">
        <v>33</v>
      </c>
      <c r="B23" s="41"/>
      <c r="C23" s="51"/>
      <c r="D23" s="51">
        <f t="shared" si="1"/>
        <v>0</v>
      </c>
      <c r="E23" s="51"/>
      <c r="F23" s="21"/>
      <c r="G23" s="27">
        <v>26.62</v>
      </c>
      <c r="H23" s="13"/>
      <c r="I23" s="13"/>
      <c r="J23" s="13"/>
      <c r="K23" s="13"/>
      <c r="L23" s="13"/>
    </row>
    <row r="24" spans="1:12" s="14" customFormat="1" ht="12.75" customHeight="1">
      <c r="A24" s="81" t="s">
        <v>694</v>
      </c>
      <c r="B24" s="54">
        <v>268</v>
      </c>
      <c r="C24" s="22">
        <v>0</v>
      </c>
      <c r="D24" s="52">
        <f t="shared" si="1"/>
        <v>268</v>
      </c>
      <c r="E24" s="51"/>
      <c r="F24" s="21"/>
      <c r="G24" s="90">
        <v>5.42</v>
      </c>
      <c r="H24" s="23"/>
      <c r="I24" s="13"/>
      <c r="J24" s="13"/>
      <c r="K24" s="13"/>
      <c r="L24" s="13"/>
    </row>
    <row r="25" spans="1:12" s="14" customFormat="1">
      <c r="A25" s="20" t="s">
        <v>31</v>
      </c>
      <c r="B25" s="41"/>
      <c r="C25" s="51"/>
      <c r="D25" s="51">
        <f t="shared" si="1"/>
        <v>0</v>
      </c>
      <c r="E25" s="51"/>
      <c r="F25" s="21"/>
      <c r="G25" s="27">
        <v>1.05</v>
      </c>
      <c r="H25" s="13"/>
      <c r="I25" s="13"/>
      <c r="J25" s="13"/>
      <c r="K25" s="13"/>
      <c r="L25" s="13"/>
    </row>
    <row r="26" spans="1:12" s="14" customFormat="1" ht="12.75" customHeight="1">
      <c r="A26" s="20" t="s">
        <v>69</v>
      </c>
      <c r="B26" s="54"/>
      <c r="C26" s="22"/>
      <c r="D26" s="52">
        <f t="shared" si="1"/>
        <v>0</v>
      </c>
      <c r="E26" s="51"/>
      <c r="F26" s="21"/>
      <c r="G26" s="27">
        <v>9.83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117</v>
      </c>
      <c r="B27" s="54"/>
      <c r="C27" s="22"/>
      <c r="D27" s="51">
        <f t="shared" si="1"/>
        <v>0</v>
      </c>
      <c r="E27" s="51"/>
      <c r="F27" s="21"/>
      <c r="G27" s="90">
        <v>5.38</v>
      </c>
      <c r="H27" s="23"/>
      <c r="I27" s="13"/>
      <c r="J27" s="13"/>
      <c r="K27" s="13"/>
      <c r="L27" s="13"/>
    </row>
    <row r="28" spans="1:12" s="14" customFormat="1" ht="12.75" customHeight="1">
      <c r="A28" s="81" t="s">
        <v>34</v>
      </c>
      <c r="B28" s="54">
        <f>475.37+72.2</f>
        <v>547.57000000000005</v>
      </c>
      <c r="C28" s="22">
        <f>475.37+38.5</f>
        <v>513.87</v>
      </c>
      <c r="D28" s="51">
        <f t="shared" si="1"/>
        <v>33.700000000000045</v>
      </c>
      <c r="E28" s="51"/>
      <c r="F28" s="21"/>
      <c r="G28" s="90">
        <v>29.51</v>
      </c>
      <c r="H28" s="23"/>
      <c r="I28" s="13"/>
      <c r="J28" s="13"/>
      <c r="K28" s="13"/>
      <c r="L28" s="13"/>
    </row>
    <row r="29" spans="1:12" s="14" customFormat="1" ht="13.5" thickBot="1">
      <c r="A29" s="24" t="s">
        <v>120</v>
      </c>
      <c r="B29" s="132">
        <v>545.04999999999995</v>
      </c>
      <c r="C29" s="132">
        <v>0</v>
      </c>
      <c r="D29" s="133">
        <f t="shared" si="1"/>
        <v>545.04999999999995</v>
      </c>
      <c r="E29" s="42"/>
      <c r="F29" s="42"/>
      <c r="G29" s="91"/>
      <c r="H29" s="13"/>
      <c r="I29" s="13"/>
      <c r="J29" s="13"/>
      <c r="K29" s="13"/>
      <c r="L29" s="13"/>
    </row>
    <row r="30" spans="1:12" s="14" customFormat="1" ht="30.75" thickBot="1">
      <c r="A30" s="25" t="s">
        <v>10</v>
      </c>
      <c r="B30" s="37" t="s">
        <v>19</v>
      </c>
      <c r="C30" s="48" t="s">
        <v>12</v>
      </c>
      <c r="D30" s="44" t="s">
        <v>11</v>
      </c>
      <c r="E30" s="37" t="s">
        <v>21</v>
      </c>
      <c r="F30" s="37" t="s">
        <v>20</v>
      </c>
      <c r="G30" s="70" t="s">
        <v>58</v>
      </c>
      <c r="H30" s="65"/>
    </row>
    <row r="31" spans="1:12" s="14" customFormat="1" ht="15.75" thickBot="1">
      <c r="A31" s="9" t="s">
        <v>23</v>
      </c>
      <c r="B31" s="161">
        <f>1590.48+57.64+112.66+248.72</f>
        <v>2009.5000000000002</v>
      </c>
      <c r="C31" s="162">
        <f>1076+57.64+112.66+246.56</f>
        <v>1492.8600000000001</v>
      </c>
      <c r="D31" s="46">
        <f>B31-C31</f>
        <v>516.6400000000001</v>
      </c>
      <c r="E31" s="61"/>
      <c r="F31" s="62"/>
      <c r="G31" s="26">
        <v>368.4</v>
      </c>
      <c r="H31" s="13"/>
      <c r="I31" s="13"/>
      <c r="J31" s="13"/>
      <c r="K31" s="13"/>
      <c r="L31" s="13"/>
    </row>
    <row r="32" spans="1:12" s="14" customFormat="1" ht="30.75" thickBot="1">
      <c r="A32" s="25" t="s">
        <v>22</v>
      </c>
      <c r="B32" s="37" t="s">
        <v>19</v>
      </c>
      <c r="C32" s="48" t="s">
        <v>12</v>
      </c>
      <c r="D32" s="44" t="s">
        <v>11</v>
      </c>
      <c r="E32" s="37" t="s">
        <v>21</v>
      </c>
      <c r="F32" s="37" t="s">
        <v>20</v>
      </c>
      <c r="G32" s="70" t="s">
        <v>58</v>
      </c>
      <c r="H32" s="65"/>
    </row>
    <row r="33" spans="1:12" s="14" customFormat="1" ht="15">
      <c r="A33" s="9" t="s">
        <v>35</v>
      </c>
      <c r="B33" s="38">
        <f>847.27+19.35+445.27</f>
        <v>1311.8899999999999</v>
      </c>
      <c r="C33" s="50">
        <f>807.15+19.35+464.34</f>
        <v>1290.8399999999999</v>
      </c>
      <c r="D33" s="49">
        <f>B33-C33</f>
        <v>21.049999999999955</v>
      </c>
      <c r="E33" s="82"/>
      <c r="F33" s="60"/>
      <c r="G33" s="195">
        <f>289.78+169.14</f>
        <v>458.91999999999996</v>
      </c>
      <c r="H33" s="13"/>
      <c r="I33" s="13"/>
      <c r="J33" s="13"/>
      <c r="K33" s="13"/>
      <c r="L33" s="13"/>
    </row>
    <row r="34" spans="1:12" s="14" customFormat="1" ht="17.25" customHeight="1">
      <c r="A34" s="20" t="s">
        <v>38</v>
      </c>
      <c r="B34" s="41">
        <f>437.7+309.64</f>
        <v>747.33999999999992</v>
      </c>
      <c r="C34" s="53">
        <f>198.9+310.04</f>
        <v>508.94000000000005</v>
      </c>
      <c r="D34" s="22">
        <f>B34-C34</f>
        <v>238.39999999999986</v>
      </c>
      <c r="E34" s="54"/>
      <c r="F34" s="41"/>
      <c r="G34" s="190">
        <v>396.96</v>
      </c>
      <c r="H34" s="13"/>
      <c r="I34" s="13"/>
      <c r="J34" s="13"/>
      <c r="K34" s="13"/>
      <c r="L34" s="13"/>
    </row>
    <row r="35" spans="1:12" s="14" customFormat="1" ht="12.75" customHeight="1">
      <c r="A35" s="124" t="s">
        <v>70</v>
      </c>
      <c r="B35" s="54">
        <f>2651+1679.85</f>
        <v>4330.8500000000004</v>
      </c>
      <c r="C35" s="22">
        <v>1578.85</v>
      </c>
      <c r="D35" s="22">
        <f>B35-C35</f>
        <v>2752.0000000000005</v>
      </c>
      <c r="E35" s="54"/>
      <c r="F35" s="41"/>
      <c r="G35" s="190">
        <f>317.59</f>
        <v>317.58999999999997</v>
      </c>
      <c r="H35" s="13"/>
      <c r="I35" s="13"/>
      <c r="J35" s="13"/>
      <c r="K35" s="13"/>
      <c r="L35" s="13"/>
    </row>
    <row r="36" spans="1:12" s="14" customFormat="1">
      <c r="A36" s="81" t="s">
        <v>119</v>
      </c>
      <c r="B36" s="132">
        <f>3998.19+450.37+26.8+198.63</f>
        <v>4673.9900000000007</v>
      </c>
      <c r="C36" s="132">
        <f>633.64+380.16+26.8+198.63</f>
        <v>1239.23</v>
      </c>
      <c r="D36" s="133">
        <f>B36-C36</f>
        <v>3434.7600000000007</v>
      </c>
      <c r="E36" s="111"/>
      <c r="F36" s="57"/>
      <c r="G36" s="112"/>
      <c r="K36" s="13"/>
      <c r="L36" s="13"/>
    </row>
    <row r="37" spans="1:12" s="14" customFormat="1">
      <c r="A37" s="81" t="s">
        <v>491</v>
      </c>
      <c r="B37" s="54">
        <f>761.44</f>
        <v>761.44</v>
      </c>
      <c r="C37" s="22">
        <v>768.34</v>
      </c>
      <c r="D37" s="22">
        <f>B37-C37</f>
        <v>-6.8999999999999773</v>
      </c>
      <c r="E37" s="111"/>
      <c r="F37" s="57"/>
      <c r="G37" s="112">
        <v>161.83000000000001</v>
      </c>
      <c r="K37" s="13"/>
      <c r="L37" s="13"/>
    </row>
    <row r="38" spans="1:12" s="14" customFormat="1" ht="13.5" thickBot="1">
      <c r="A38" s="24" t="s">
        <v>99</v>
      </c>
      <c r="B38" s="126">
        <v>0</v>
      </c>
      <c r="C38" s="113">
        <v>0</v>
      </c>
      <c r="D38" s="126">
        <f>B38</f>
        <v>0</v>
      </c>
      <c r="E38" s="71"/>
      <c r="F38" s="72"/>
      <c r="G38" s="74"/>
      <c r="K38" s="13"/>
      <c r="L38" s="13"/>
    </row>
    <row r="39" spans="1:12" ht="34.5" customHeight="1" thickBot="1">
      <c r="A39" s="25" t="s">
        <v>72</v>
      </c>
      <c r="B39" s="37" t="s">
        <v>19</v>
      </c>
      <c r="C39" s="48" t="s">
        <v>12</v>
      </c>
      <c r="D39" s="44" t="s">
        <v>11</v>
      </c>
      <c r="E39" s="37" t="s">
        <v>21</v>
      </c>
      <c r="F39" s="87" t="s">
        <v>84</v>
      </c>
      <c r="G39" s="68"/>
      <c r="H39" s="13"/>
      <c r="I39" s="13"/>
      <c r="J39" s="13"/>
      <c r="K39" s="13"/>
      <c r="L39" s="13"/>
    </row>
    <row r="40" spans="1:12" ht="19.5" customHeight="1" thickBot="1">
      <c r="A40" s="9" t="s">
        <v>71</v>
      </c>
      <c r="B40" s="120"/>
      <c r="C40" s="120"/>
      <c r="D40" s="121">
        <f>B40-C40</f>
        <v>0</v>
      </c>
      <c r="E40" s="123"/>
      <c r="F40" s="122"/>
      <c r="G40" s="68"/>
    </row>
    <row r="41" spans="1:12" ht="19.5" customHeight="1" thickBot="1">
      <c r="A41" s="25" t="s">
        <v>50</v>
      </c>
      <c r="B41" s="75" t="s">
        <v>65</v>
      </c>
      <c r="C41" s="68"/>
      <c r="D41" s="68"/>
      <c r="E41" s="68"/>
      <c r="F41" s="68"/>
      <c r="G41" s="68"/>
      <c r="H41" s="13"/>
      <c r="I41" s="13"/>
      <c r="J41" s="13"/>
      <c r="K41" s="13"/>
      <c r="L41" s="13"/>
    </row>
    <row r="42" spans="1:12" ht="30" customHeight="1">
      <c r="A42" s="101" t="s">
        <v>138</v>
      </c>
      <c r="B42" s="79"/>
      <c r="C42" s="68"/>
      <c r="D42" s="68"/>
      <c r="E42" s="68"/>
      <c r="F42" s="68"/>
      <c r="G42" s="68"/>
    </row>
    <row r="43" spans="1:12" ht="15">
      <c r="A43" s="29" t="s">
        <v>139</v>
      </c>
      <c r="B43" s="80">
        <v>0.08</v>
      </c>
      <c r="C43" s="68"/>
      <c r="D43" s="68"/>
      <c r="E43" s="68"/>
      <c r="F43" s="68"/>
      <c r="G43" s="68"/>
    </row>
    <row r="44" spans="1:12" ht="15">
      <c r="A44" s="29" t="s">
        <v>140</v>
      </c>
      <c r="B44" s="80"/>
      <c r="C44" s="68"/>
      <c r="D44" s="68"/>
      <c r="E44" s="68"/>
      <c r="F44" s="68"/>
      <c r="G44" s="68"/>
    </row>
    <row r="45" spans="1:12" ht="15">
      <c r="A45" s="29" t="s">
        <v>141</v>
      </c>
      <c r="B45" s="80"/>
      <c r="C45" s="68"/>
      <c r="D45" s="68"/>
      <c r="E45" s="68"/>
      <c r="F45" s="68"/>
      <c r="G45" s="68"/>
    </row>
    <row r="46" spans="1:12" ht="15">
      <c r="A46" s="20" t="s">
        <v>142</v>
      </c>
      <c r="B46" s="80"/>
      <c r="C46" s="68"/>
      <c r="D46" s="68"/>
      <c r="E46" s="68"/>
      <c r="F46" s="68"/>
      <c r="G46" s="68"/>
    </row>
    <row r="47" spans="1:12" ht="25.5">
      <c r="A47" s="64" t="s">
        <v>143</v>
      </c>
      <c r="B47" s="80"/>
      <c r="C47" s="68"/>
      <c r="D47" s="68"/>
      <c r="E47" s="68"/>
      <c r="F47" s="68"/>
      <c r="G47" s="68"/>
    </row>
    <row r="48" spans="1:12" ht="25.5">
      <c r="A48" s="64" t="s">
        <v>144</v>
      </c>
      <c r="B48" s="80"/>
      <c r="C48" s="68"/>
      <c r="D48" s="68"/>
      <c r="E48" s="68"/>
      <c r="F48" s="68"/>
      <c r="G48" s="68"/>
    </row>
    <row r="49" spans="1:12" ht="25.5">
      <c r="A49" s="64" t="s">
        <v>145</v>
      </c>
      <c r="B49" s="80"/>
      <c r="C49" s="68"/>
      <c r="D49" s="68"/>
      <c r="E49" s="68"/>
      <c r="F49" s="68"/>
      <c r="G49" s="68"/>
    </row>
    <row r="50" spans="1:12" ht="15">
      <c r="A50" s="18" t="s">
        <v>125</v>
      </c>
      <c r="B50" s="80"/>
      <c r="C50" s="68"/>
      <c r="D50" s="68"/>
      <c r="E50" s="68"/>
      <c r="F50" s="68"/>
      <c r="G50" s="68"/>
    </row>
    <row r="51" spans="1:12" ht="14.25" customHeight="1">
      <c r="A51" s="29" t="s">
        <v>126</v>
      </c>
      <c r="B51" s="80"/>
      <c r="C51" s="68"/>
      <c r="D51" s="68"/>
      <c r="E51" s="68"/>
      <c r="F51" s="68"/>
      <c r="G51" s="68"/>
    </row>
    <row r="52" spans="1:12" ht="26.25" customHeight="1">
      <c r="A52" s="29" t="s">
        <v>127</v>
      </c>
      <c r="B52" s="80"/>
      <c r="C52" s="68"/>
      <c r="D52" s="68"/>
      <c r="E52" s="68"/>
      <c r="F52" s="68"/>
      <c r="G52" s="68"/>
    </row>
    <row r="53" spans="1:12" ht="33" customHeight="1">
      <c r="A53" s="29" t="s">
        <v>128</v>
      </c>
      <c r="B53" s="80"/>
      <c r="C53" s="68"/>
      <c r="D53" s="68"/>
      <c r="E53" s="68"/>
      <c r="F53" s="68"/>
      <c r="G53" s="68"/>
      <c r="J53" s="13"/>
      <c r="K53" s="13"/>
      <c r="L53" s="13"/>
    </row>
    <row r="54" spans="1:12" ht="32.25" customHeight="1">
      <c r="A54" s="29" t="s">
        <v>129</v>
      </c>
      <c r="B54" s="80"/>
      <c r="C54" s="68"/>
      <c r="D54" s="68"/>
      <c r="E54" s="68"/>
      <c r="F54" s="68"/>
      <c r="G54" s="68"/>
    </row>
    <row r="55" spans="1:12" ht="31.5" customHeight="1">
      <c r="A55" s="29" t="s">
        <v>134</v>
      </c>
      <c r="B55" s="80"/>
      <c r="C55" s="68"/>
      <c r="D55" s="68"/>
      <c r="E55" s="68"/>
      <c r="F55" s="68"/>
      <c r="G55" s="68"/>
    </row>
    <row r="56" spans="1:12" s="14" customFormat="1" ht="15">
      <c r="A56" s="29" t="s">
        <v>135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136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29" t="s">
        <v>130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29" t="s">
        <v>131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s="14" customFormat="1" ht="15">
      <c r="A60" s="64" t="s">
        <v>132</v>
      </c>
      <c r="B60" s="80"/>
      <c r="C60" s="68"/>
      <c r="D60" s="68"/>
      <c r="E60" s="68"/>
      <c r="F60" s="68"/>
      <c r="G60" s="68"/>
      <c r="H60" s="3"/>
      <c r="I60" s="3"/>
      <c r="J60" s="13"/>
      <c r="K60" s="13"/>
      <c r="L60" s="13"/>
    </row>
    <row r="61" spans="1:12" s="14" customFormat="1" ht="25.5">
      <c r="A61" s="64" t="s">
        <v>133</v>
      </c>
      <c r="B61" s="80"/>
      <c r="C61" s="68"/>
      <c r="D61" s="68"/>
      <c r="E61" s="68"/>
      <c r="F61" s="68"/>
      <c r="G61" s="68"/>
      <c r="H61" s="3"/>
      <c r="I61" s="3"/>
      <c r="J61" s="13"/>
      <c r="K61" s="13"/>
      <c r="L61" s="13"/>
    </row>
    <row r="62" spans="1:12" ht="15">
      <c r="A62" s="66" t="s">
        <v>146</v>
      </c>
      <c r="B62" s="80"/>
      <c r="C62" s="68"/>
      <c r="D62" s="68"/>
      <c r="E62" s="68"/>
      <c r="F62" s="68"/>
      <c r="G62" s="68"/>
    </row>
    <row r="63" spans="1:12" ht="15">
      <c r="A63" s="81" t="s">
        <v>124</v>
      </c>
      <c r="B63" s="80"/>
      <c r="C63" s="68"/>
      <c r="D63" s="68"/>
      <c r="E63" s="68"/>
      <c r="F63" s="68"/>
      <c r="G63" s="68"/>
    </row>
    <row r="64" spans="1:12" ht="15">
      <c r="A64" s="64" t="s">
        <v>73</v>
      </c>
      <c r="B64" s="80"/>
      <c r="C64" s="68"/>
      <c r="D64" s="68"/>
      <c r="E64" s="68"/>
      <c r="F64" s="68"/>
      <c r="G64" s="68"/>
    </row>
    <row r="65" spans="1:12" ht="15">
      <c r="A65" s="64" t="s">
        <v>74</v>
      </c>
      <c r="B65" s="80"/>
      <c r="C65" s="68"/>
      <c r="D65" s="68"/>
      <c r="E65" s="68"/>
      <c r="F65" s="68"/>
      <c r="G65" s="68"/>
    </row>
    <row r="66" spans="1:12" s="14" customFormat="1" ht="15">
      <c r="A66" s="64" t="s">
        <v>76</v>
      </c>
      <c r="B66" s="80"/>
      <c r="C66" s="68"/>
      <c r="D66" s="68"/>
      <c r="E66" s="68"/>
      <c r="F66" s="68"/>
      <c r="G66" s="68"/>
      <c r="H66" s="13"/>
      <c r="I66" s="13"/>
      <c r="J66" s="3"/>
      <c r="K66" s="3"/>
      <c r="L66" s="3"/>
    </row>
    <row r="67" spans="1:12" ht="15">
      <c r="A67" s="64" t="s">
        <v>75</v>
      </c>
      <c r="B67" s="80"/>
      <c r="C67" s="68"/>
      <c r="D67" s="68"/>
      <c r="E67" s="68"/>
      <c r="F67" s="68"/>
      <c r="G67" s="68"/>
      <c r="H67" s="13"/>
      <c r="I67" s="13"/>
    </row>
    <row r="68" spans="1:12" ht="15">
      <c r="A68" s="64" t="s">
        <v>77</v>
      </c>
      <c r="B68" s="80">
        <v>13.22</v>
      </c>
      <c r="C68" s="68"/>
      <c r="D68" s="68"/>
      <c r="E68" s="68"/>
      <c r="F68" s="68"/>
      <c r="G68" s="68"/>
    </row>
    <row r="69" spans="1:12" ht="15">
      <c r="A69" s="64" t="s">
        <v>83</v>
      </c>
      <c r="B69" s="80">
        <v>14.46</v>
      </c>
      <c r="C69" s="68"/>
      <c r="D69" s="68"/>
      <c r="E69" s="68"/>
      <c r="F69" s="68"/>
      <c r="G69" s="68"/>
    </row>
    <row r="70" spans="1:12" ht="15">
      <c r="A70" s="64" t="s">
        <v>90</v>
      </c>
      <c r="B70" s="80"/>
      <c r="C70" s="68"/>
      <c r="D70" s="68"/>
      <c r="E70" s="68"/>
      <c r="F70" s="68"/>
      <c r="G70" s="68"/>
    </row>
    <row r="71" spans="1:12" ht="15">
      <c r="A71" s="64" t="s">
        <v>91</v>
      </c>
      <c r="B71" s="80"/>
      <c r="C71" s="36"/>
      <c r="D71" s="55"/>
      <c r="E71" s="59"/>
      <c r="F71" s="59"/>
    </row>
    <row r="72" spans="1:12" ht="15">
      <c r="A72" s="64" t="s">
        <v>96</v>
      </c>
      <c r="B72" s="80"/>
      <c r="C72" s="36"/>
      <c r="D72" s="55"/>
      <c r="E72" s="59"/>
      <c r="F72" s="59"/>
    </row>
    <row r="73" spans="1:12" ht="15">
      <c r="A73" s="64" t="s">
        <v>97</v>
      </c>
      <c r="B73" s="80"/>
      <c r="C73" s="36"/>
      <c r="D73" s="55"/>
      <c r="E73" s="59"/>
      <c r="F73" s="59"/>
    </row>
    <row r="74" spans="1:12" ht="15">
      <c r="A74" s="64" t="s">
        <v>98</v>
      </c>
      <c r="B74" s="80"/>
      <c r="C74" s="36"/>
      <c r="D74" s="55"/>
      <c r="E74" s="59"/>
      <c r="F74" s="59"/>
    </row>
    <row r="75" spans="1:12" ht="15">
      <c r="A75" s="64" t="s">
        <v>137</v>
      </c>
      <c r="B75" s="80"/>
      <c r="C75" s="36"/>
      <c r="D75" s="55"/>
      <c r="E75" s="59"/>
      <c r="F75" s="59"/>
    </row>
    <row r="76" spans="1:12" ht="15">
      <c r="A76" s="64" t="s">
        <v>94</v>
      </c>
      <c r="B76" s="80"/>
      <c r="C76" s="36"/>
      <c r="D76" s="55"/>
      <c r="E76" s="59"/>
      <c r="F76" s="59"/>
    </row>
    <row r="77" spans="1:12" ht="15">
      <c r="A77" s="64" t="s">
        <v>95</v>
      </c>
      <c r="B77" s="80"/>
      <c r="C77" s="36"/>
      <c r="D77" s="55"/>
      <c r="E77" s="59"/>
      <c r="F77" s="59"/>
    </row>
    <row r="78" spans="1:12" ht="25.5">
      <c r="A78" s="64" t="s">
        <v>147</v>
      </c>
      <c r="B78" s="80">
        <v>1</v>
      </c>
      <c r="C78" s="36"/>
      <c r="D78" s="55"/>
      <c r="E78" s="59"/>
      <c r="F78" s="59"/>
    </row>
    <row r="79" spans="1:12" ht="25.5">
      <c r="A79" s="64" t="s">
        <v>148</v>
      </c>
      <c r="B79" s="80"/>
      <c r="C79" s="36"/>
      <c r="D79" s="55"/>
      <c r="E79" s="59"/>
      <c r="F79" s="59"/>
    </row>
    <row r="80" spans="1:12" ht="25.5">
      <c r="A80" s="64" t="s">
        <v>149</v>
      </c>
      <c r="B80" s="80"/>
      <c r="C80" s="36"/>
      <c r="D80" s="55"/>
      <c r="E80" s="59"/>
      <c r="F80" s="59"/>
    </row>
    <row r="81" spans="1:12" ht="15">
      <c r="A81" s="64" t="s">
        <v>150</v>
      </c>
      <c r="B81" s="80"/>
      <c r="C81" s="36"/>
      <c r="D81" s="55"/>
      <c r="E81" s="59"/>
      <c r="F81" s="59"/>
    </row>
    <row r="82" spans="1:12" ht="15">
      <c r="A82" s="64" t="s">
        <v>151</v>
      </c>
      <c r="B82" s="80">
        <v>2.46</v>
      </c>
      <c r="C82" s="36"/>
      <c r="D82" s="55"/>
      <c r="E82" s="59"/>
      <c r="F82" s="59"/>
    </row>
    <row r="83" spans="1:12" ht="15">
      <c r="A83" s="94" t="s">
        <v>82</v>
      </c>
      <c r="B83" s="80"/>
      <c r="C83" s="36"/>
      <c r="D83" s="55"/>
      <c r="E83" s="59"/>
      <c r="F83" s="59"/>
    </row>
    <row r="84" spans="1:12" ht="15">
      <c r="A84" s="94" t="s">
        <v>101</v>
      </c>
      <c r="B84" s="80">
        <v>30.13</v>
      </c>
      <c r="C84" s="36"/>
      <c r="D84" s="55"/>
      <c r="E84" s="59"/>
      <c r="F84" s="59"/>
    </row>
    <row r="85" spans="1:12" ht="15">
      <c r="A85" s="94" t="s">
        <v>102</v>
      </c>
      <c r="B85" s="80">
        <v>0.52</v>
      </c>
      <c r="C85" s="36"/>
      <c r="D85" s="55"/>
      <c r="E85" s="59"/>
      <c r="F85" s="59"/>
    </row>
    <row r="86" spans="1:12" ht="15">
      <c r="A86" s="94" t="s">
        <v>103</v>
      </c>
      <c r="B86" s="80">
        <v>0</v>
      </c>
      <c r="C86" s="36"/>
      <c r="D86" s="55"/>
      <c r="E86" s="59"/>
      <c r="F86" s="59"/>
    </row>
    <row r="87" spans="1:12" ht="15">
      <c r="A87" s="94" t="s">
        <v>104</v>
      </c>
      <c r="B87" s="80">
        <v>12.19</v>
      </c>
      <c r="C87" s="36"/>
      <c r="D87" s="55"/>
      <c r="E87" s="59"/>
      <c r="F87" s="59"/>
    </row>
    <row r="88" spans="1:12" ht="25.5">
      <c r="A88" s="115" t="s">
        <v>112</v>
      </c>
      <c r="B88" s="80"/>
      <c r="C88" s="36"/>
      <c r="D88" s="55"/>
      <c r="E88" s="59"/>
      <c r="F88" s="59"/>
    </row>
    <row r="89" spans="1:12" ht="26.25" thickBot="1">
      <c r="A89" s="95" t="s">
        <v>111</v>
      </c>
      <c r="B89" s="96"/>
      <c r="C89" s="36"/>
      <c r="D89" s="55"/>
      <c r="E89" s="59"/>
      <c r="F89" s="59"/>
    </row>
    <row r="90" spans="1:12" ht="15.75" thickBot="1">
      <c r="A90" s="92"/>
      <c r="B90" s="137"/>
      <c r="C90" s="36"/>
      <c r="D90" s="55"/>
      <c r="E90" s="59"/>
      <c r="F90" s="59"/>
    </row>
    <row r="91" spans="1:12" s="14" customFormat="1" ht="15.75" thickBot="1">
      <c r="A91" s="93" t="s">
        <v>64</v>
      </c>
      <c r="B91" s="78">
        <f>SUM(B2:B40)</f>
        <v>19929.099999999999</v>
      </c>
      <c r="C91" s="69"/>
      <c r="D91" s="58"/>
      <c r="E91" s="68"/>
      <c r="F91" s="68"/>
      <c r="G91" s="58"/>
      <c r="H91" s="13"/>
      <c r="I91" s="13"/>
      <c r="J91" s="13"/>
      <c r="K91" s="13"/>
      <c r="L91" s="13"/>
    </row>
    <row r="92" spans="1:12" s="14" customFormat="1" ht="15.75" thickBot="1">
      <c r="A92" s="67" t="s">
        <v>55</v>
      </c>
      <c r="B92" s="28">
        <f>SUM(G2:G38)</f>
        <v>4063.8300000000008</v>
      </c>
      <c r="C92" s="58"/>
      <c r="D92" s="58"/>
      <c r="E92" s="68"/>
      <c r="F92" s="68"/>
      <c r="G92" s="30"/>
      <c r="H92" s="13"/>
      <c r="I92" s="13"/>
      <c r="J92" s="13"/>
      <c r="K92" s="13"/>
      <c r="L92" s="13"/>
    </row>
    <row r="93" spans="1:12" ht="15.75" thickBot="1">
      <c r="A93" s="86" t="s">
        <v>56</v>
      </c>
      <c r="B93" s="78">
        <f>SUM(B42:B89)</f>
        <v>74.06</v>
      </c>
      <c r="C93" s="36"/>
      <c r="D93" s="55"/>
      <c r="E93" s="59"/>
      <c r="F93" s="59"/>
    </row>
    <row r="94" spans="1:12" ht="15.75" thickBot="1">
      <c r="A94" s="77" t="s">
        <v>622</v>
      </c>
      <c r="B94" s="78">
        <f>B91+B92+B93</f>
        <v>24066.99</v>
      </c>
      <c r="C94" s="36"/>
      <c r="D94" s="55"/>
    </row>
    <row r="95" spans="1:12">
      <c r="B95" s="36"/>
      <c r="C95" s="36"/>
      <c r="D95" s="55"/>
    </row>
    <row r="96" spans="1:12">
      <c r="B96" s="36"/>
      <c r="C96" s="36"/>
      <c r="D96" s="55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>
      <c r="B99" s="36"/>
      <c r="C99" s="36"/>
      <c r="D99" s="36"/>
    </row>
    <row r="100" spans="1:12">
      <c r="B100" s="36"/>
      <c r="C100" s="36"/>
      <c r="D100" s="36"/>
    </row>
    <row r="101" spans="1:12" s="36" customFormat="1">
      <c r="A101" s="3"/>
      <c r="G101" s="33"/>
      <c r="H101" s="3"/>
      <c r="I101" s="3"/>
      <c r="J101" s="3"/>
      <c r="K101" s="3"/>
      <c r="L101" s="3"/>
    </row>
    <row r="102" spans="1:12" s="36" customFormat="1">
      <c r="A102" s="3"/>
      <c r="G102" s="33"/>
      <c r="H102" s="3"/>
      <c r="I102" s="3"/>
      <c r="J102" s="3"/>
      <c r="K102" s="3"/>
      <c r="L102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102"/>
  <sheetViews>
    <sheetView tabSelected="1" topLeftCell="A2" workbookViewId="0">
      <selection activeCell="C39" sqref="C39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49.1+24.86+774.78</f>
        <v>848.74</v>
      </c>
      <c r="C2" s="38">
        <f>49.1+24.86+760.78</f>
        <v>834.74</v>
      </c>
      <c r="D2" s="108">
        <f>B2-C2</f>
        <v>14</v>
      </c>
      <c r="E2" s="63"/>
      <c r="F2" s="38"/>
      <c r="G2" s="10">
        <v>101.17</v>
      </c>
    </row>
    <row r="3" spans="1:12" s="14" customFormat="1" ht="13.5" thickBot="1">
      <c r="A3" s="11" t="s">
        <v>28</v>
      </c>
      <c r="B3" s="39"/>
      <c r="C3" s="39"/>
      <c r="D3" s="73">
        <f>B3-C3</f>
        <v>0</v>
      </c>
      <c r="E3" s="39"/>
      <c r="F3" s="39"/>
      <c r="G3" s="12">
        <v>83.21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/>
      <c r="C5" s="51"/>
      <c r="D5" s="51">
        <f t="shared" ref="D5:D29" si="0">B5-C5</f>
        <v>0</v>
      </c>
      <c r="E5" s="51"/>
      <c r="F5" s="21"/>
      <c r="G5" s="88">
        <v>0.56999999999999995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1474.33+19.86+348.47</f>
        <v>1842.6599999999999</v>
      </c>
      <c r="C6" s="51">
        <f>1686.23+19.86+339.2</f>
        <v>2045.29</v>
      </c>
      <c r="D6" s="51">
        <f>B6-C6</f>
        <v>-202.63000000000011</v>
      </c>
      <c r="E6" s="51"/>
      <c r="F6" s="21"/>
      <c r="G6" s="191">
        <v>1320.96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20.14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16.63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/>
      <c r="C9" s="51"/>
      <c r="D9" s="51">
        <f>B9-C9</f>
        <v>0</v>
      </c>
      <c r="E9" s="51"/>
      <c r="F9" s="21"/>
      <c r="G9" s="27">
        <v>1.38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>
        <f>55.81+1171.2</f>
        <v>1227.01</v>
      </c>
      <c r="C10" s="51">
        <f>43.15+751.85</f>
        <v>795</v>
      </c>
      <c r="D10" s="51">
        <f t="shared" si="0"/>
        <v>432.01</v>
      </c>
      <c r="E10" s="51"/>
      <c r="F10" s="21"/>
      <c r="G10" s="27">
        <v>193.33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72.3</v>
      </c>
      <c r="H11" s="13"/>
      <c r="I11" s="13"/>
      <c r="J11" s="13"/>
      <c r="K11" s="13"/>
      <c r="L11" s="13"/>
    </row>
    <row r="12" spans="1:12" s="14" customFormat="1">
      <c r="A12" s="20" t="s">
        <v>689</v>
      </c>
      <c r="B12" s="41">
        <v>1047.79</v>
      </c>
      <c r="C12" s="51">
        <v>922.39</v>
      </c>
      <c r="D12" s="51">
        <f t="shared" si="0"/>
        <v>125.39999999999998</v>
      </c>
      <c r="E12" s="51"/>
      <c r="F12" s="21"/>
      <c r="G12" s="27">
        <v>109.47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0.13</v>
      </c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/>
      <c r="C14" s="51"/>
      <c r="D14" s="51">
        <f t="shared" si="0"/>
        <v>0</v>
      </c>
      <c r="E14" s="51"/>
      <c r="F14" s="21"/>
      <c r="G14" s="190">
        <v>1464.72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34.75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77.44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0.4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v>123.05</v>
      </c>
      <c r="C18" s="51">
        <v>109.05</v>
      </c>
      <c r="D18" s="51">
        <f t="shared" si="0"/>
        <v>14</v>
      </c>
      <c r="E18" s="51"/>
      <c r="F18" s="22"/>
      <c r="G18" s="197">
        <v>107.12</v>
      </c>
      <c r="H18" s="13"/>
      <c r="I18" s="13"/>
      <c r="J18" s="13"/>
      <c r="K18" s="13"/>
      <c r="L18" s="13"/>
    </row>
    <row r="19" spans="1:12" s="14" customFormat="1">
      <c r="A19" s="18" t="s">
        <v>169</v>
      </c>
      <c r="B19" s="40"/>
      <c r="C19" s="51"/>
      <c r="D19" s="51">
        <f t="shared" si="0"/>
        <v>0</v>
      </c>
      <c r="E19" s="51"/>
      <c r="F19" s="22"/>
      <c r="G19" s="89"/>
      <c r="H19" s="13"/>
      <c r="I19" s="13"/>
      <c r="J19" s="13"/>
      <c r="K19" s="13"/>
      <c r="L19" s="13"/>
    </row>
    <row r="20" spans="1:12" s="14" customFormat="1">
      <c r="A20" s="18" t="s">
        <v>59</v>
      </c>
      <c r="B20" s="40"/>
      <c r="C20" s="51"/>
      <c r="D20" s="51">
        <f t="shared" si="0"/>
        <v>0</v>
      </c>
      <c r="E20" s="51"/>
      <c r="F20" s="19"/>
      <c r="G20" s="89">
        <v>25.4</v>
      </c>
      <c r="H20" s="13"/>
      <c r="I20" s="13"/>
      <c r="J20" s="13"/>
      <c r="K20" s="13"/>
      <c r="L20" s="13"/>
    </row>
    <row r="21" spans="1:12" s="14" customFormat="1">
      <c r="A21" s="18" t="s">
        <v>105</v>
      </c>
      <c r="B21" s="40"/>
      <c r="C21" s="51"/>
      <c r="D21" s="51">
        <f t="shared" si="0"/>
        <v>0</v>
      </c>
      <c r="E21" s="51"/>
      <c r="F21" s="19"/>
      <c r="G21" s="89">
        <v>0</v>
      </c>
      <c r="H21" s="13"/>
      <c r="I21" s="13"/>
      <c r="J21" s="13"/>
      <c r="K21" s="13"/>
      <c r="L21" s="13"/>
    </row>
    <row r="22" spans="1:12" s="14" customFormat="1">
      <c r="A22" s="18" t="s">
        <v>32</v>
      </c>
      <c r="B22" s="40">
        <f>62.67</f>
        <v>62.67</v>
      </c>
      <c r="C22" s="51">
        <v>0</v>
      </c>
      <c r="D22" s="51">
        <f t="shared" si="0"/>
        <v>62.67</v>
      </c>
      <c r="E22" s="51"/>
      <c r="F22" s="21"/>
      <c r="G22" s="88">
        <v>205.46</v>
      </c>
      <c r="H22" s="13"/>
      <c r="I22" s="13"/>
      <c r="J22" s="13"/>
      <c r="K22" s="13"/>
      <c r="L22" s="13"/>
    </row>
    <row r="23" spans="1:12" s="14" customFormat="1">
      <c r="A23" s="20" t="s">
        <v>33</v>
      </c>
      <c r="B23" s="41"/>
      <c r="C23" s="51"/>
      <c r="D23" s="51">
        <f t="shared" si="0"/>
        <v>0</v>
      </c>
      <c r="E23" s="51"/>
      <c r="F23" s="21"/>
      <c r="G23" s="27">
        <v>33.18</v>
      </c>
      <c r="H23" s="13"/>
      <c r="I23" s="13"/>
      <c r="J23" s="13"/>
      <c r="K23" s="13"/>
      <c r="L23" s="13"/>
    </row>
    <row r="24" spans="1:12" s="14" customFormat="1" ht="12.75" customHeight="1">
      <c r="A24" s="81" t="s">
        <v>694</v>
      </c>
      <c r="B24" s="54">
        <f>276.51+723.3</f>
        <v>999.81</v>
      </c>
      <c r="C24" s="22">
        <v>0</v>
      </c>
      <c r="D24" s="52">
        <f t="shared" si="0"/>
        <v>999.81</v>
      </c>
      <c r="E24" s="51"/>
      <c r="F24" s="21"/>
      <c r="G24" s="90"/>
      <c r="H24" s="23"/>
      <c r="I24" s="13"/>
      <c r="J24" s="13"/>
      <c r="K24" s="13"/>
      <c r="L24" s="13"/>
    </row>
    <row r="25" spans="1:12" s="14" customFormat="1">
      <c r="A25" s="20" t="s">
        <v>31</v>
      </c>
      <c r="B25" s="41"/>
      <c r="C25" s="51"/>
      <c r="D25" s="51">
        <f t="shared" si="0"/>
        <v>0</v>
      </c>
      <c r="E25" s="51"/>
      <c r="F25" s="21"/>
      <c r="G25" s="27">
        <v>5.38</v>
      </c>
      <c r="H25" s="13"/>
      <c r="I25" s="13"/>
      <c r="J25" s="13"/>
      <c r="K25" s="13"/>
      <c r="L25" s="13"/>
    </row>
    <row r="26" spans="1:12" s="14" customFormat="1" ht="12.75" customHeight="1">
      <c r="A26" s="20" t="s">
        <v>69</v>
      </c>
      <c r="B26" s="54">
        <f>415.29+130.32+123.47+28.8+134.81+60.73</f>
        <v>893.42000000000007</v>
      </c>
      <c r="C26" s="22">
        <f>28.8+134.81+60.73</f>
        <v>224.34</v>
      </c>
      <c r="D26" s="52">
        <f t="shared" si="0"/>
        <v>669.08</v>
      </c>
      <c r="E26" s="51"/>
      <c r="F26" s="21"/>
      <c r="G26" s="27">
        <v>277.55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117</v>
      </c>
      <c r="B27" s="54"/>
      <c r="C27" s="22"/>
      <c r="D27" s="51">
        <f t="shared" si="0"/>
        <v>0</v>
      </c>
      <c r="E27" s="51"/>
      <c r="F27" s="21"/>
      <c r="G27" s="90">
        <v>43.5</v>
      </c>
      <c r="H27" s="23"/>
      <c r="I27" s="13"/>
      <c r="J27" s="13"/>
      <c r="K27" s="13"/>
      <c r="L27" s="13"/>
    </row>
    <row r="28" spans="1:12" s="14" customFormat="1" ht="12.75" customHeight="1">
      <c r="A28" s="81" t="s">
        <v>34</v>
      </c>
      <c r="B28" s="54"/>
      <c r="C28" s="22"/>
      <c r="D28" s="51">
        <f t="shared" si="0"/>
        <v>0</v>
      </c>
      <c r="E28" s="51"/>
      <c r="F28" s="21"/>
      <c r="G28" s="90">
        <v>204.18</v>
      </c>
      <c r="H28" s="23"/>
      <c r="I28" s="13"/>
      <c r="J28" s="13"/>
      <c r="K28" s="13"/>
      <c r="L28" s="13"/>
    </row>
    <row r="29" spans="1:12" s="14" customFormat="1" ht="13.5" thickBot="1">
      <c r="A29" s="24" t="s">
        <v>120</v>
      </c>
      <c r="B29" s="132">
        <f>103.95+80.72</f>
        <v>184.67000000000002</v>
      </c>
      <c r="C29" s="132">
        <f>75.91+80.72</f>
        <v>156.63</v>
      </c>
      <c r="D29" s="133">
        <f t="shared" si="0"/>
        <v>28.04000000000002</v>
      </c>
      <c r="E29" s="42"/>
      <c r="F29" s="42"/>
      <c r="G29" s="91"/>
      <c r="H29" s="13"/>
      <c r="I29" s="13"/>
      <c r="J29" s="13"/>
      <c r="K29" s="13"/>
      <c r="L29" s="13"/>
    </row>
    <row r="30" spans="1:12" s="14" customFormat="1" ht="30.75" thickBot="1">
      <c r="A30" s="25" t="s">
        <v>10</v>
      </c>
      <c r="B30" s="37" t="s">
        <v>19</v>
      </c>
      <c r="C30" s="48" t="s">
        <v>12</v>
      </c>
      <c r="D30" s="44" t="s">
        <v>11</v>
      </c>
      <c r="E30" s="37" t="s">
        <v>21</v>
      </c>
      <c r="F30" s="37" t="s">
        <v>20</v>
      </c>
      <c r="G30" s="70" t="s">
        <v>58</v>
      </c>
      <c r="H30" s="65"/>
    </row>
    <row r="31" spans="1:12" s="14" customFormat="1" ht="15.75" thickBot="1">
      <c r="A31" s="9" t="s">
        <v>23</v>
      </c>
      <c r="B31" s="161">
        <f>143.61+16.02+0.73+1150.22</f>
        <v>1310.58</v>
      </c>
      <c r="C31" s="162">
        <f>143.61+16.02+0.73+1111.82</f>
        <v>1272.1799999999998</v>
      </c>
      <c r="D31" s="46">
        <f>B31-C31</f>
        <v>38.400000000000091</v>
      </c>
      <c r="E31" s="61"/>
      <c r="F31" s="62"/>
      <c r="G31" s="26">
        <v>468.69</v>
      </c>
      <c r="H31" s="13"/>
      <c r="I31" s="13"/>
      <c r="J31" s="13"/>
      <c r="K31" s="13"/>
      <c r="L31" s="13"/>
    </row>
    <row r="32" spans="1:12" s="14" customFormat="1" ht="30.75" thickBot="1">
      <c r="A32" s="25" t="s">
        <v>22</v>
      </c>
      <c r="B32" s="37" t="s">
        <v>19</v>
      </c>
      <c r="C32" s="48" t="s">
        <v>12</v>
      </c>
      <c r="D32" s="44" t="s">
        <v>11</v>
      </c>
      <c r="E32" s="37" t="s">
        <v>21</v>
      </c>
      <c r="F32" s="37" t="s">
        <v>20</v>
      </c>
      <c r="G32" s="70" t="s">
        <v>58</v>
      </c>
      <c r="H32" s="65"/>
    </row>
    <row r="33" spans="1:12" s="14" customFormat="1" ht="15">
      <c r="A33" s="9" t="s">
        <v>35</v>
      </c>
      <c r="B33" s="38">
        <f>157.9+106.4+524.83</f>
        <v>789.13000000000011</v>
      </c>
      <c r="C33" s="50">
        <f>101.5+17.81+110.77+517.07</f>
        <v>747.15000000000009</v>
      </c>
      <c r="D33" s="49">
        <f>B33-C33</f>
        <v>41.980000000000018</v>
      </c>
      <c r="E33" s="82"/>
      <c r="F33" s="60"/>
      <c r="G33" s="195">
        <v>775.67</v>
      </c>
      <c r="H33" s="13"/>
      <c r="I33" s="13"/>
      <c r="J33" s="13"/>
      <c r="K33" s="13"/>
      <c r="L33" s="13"/>
    </row>
    <row r="34" spans="1:12" s="14" customFormat="1" ht="17.25" customHeight="1">
      <c r="A34" s="20" t="s">
        <v>38</v>
      </c>
      <c r="B34" s="41">
        <f>435.67+171.8+147.1</f>
        <v>754.57</v>
      </c>
      <c r="C34" s="53">
        <f>349.39+130.39+128</f>
        <v>607.78</v>
      </c>
      <c r="D34" s="22">
        <f>B34-C34</f>
        <v>146.79000000000008</v>
      </c>
      <c r="E34" s="54"/>
      <c r="F34" s="41"/>
      <c r="G34" s="27">
        <v>104.89</v>
      </c>
      <c r="H34" s="13"/>
      <c r="I34" s="13"/>
      <c r="J34" s="13"/>
      <c r="K34" s="13"/>
      <c r="L34" s="13"/>
    </row>
    <row r="35" spans="1:12" s="14" customFormat="1" ht="12.75" customHeight="1">
      <c r="A35" s="124" t="s">
        <v>70</v>
      </c>
      <c r="B35" s="54">
        <f>1161.08+551.51</f>
        <v>1712.59</v>
      </c>
      <c r="C35" s="22">
        <f>891.23+47</f>
        <v>938.23</v>
      </c>
      <c r="D35" s="22">
        <f>B35-C35</f>
        <v>774.3599999999999</v>
      </c>
      <c r="E35" s="54"/>
      <c r="F35" s="41"/>
      <c r="G35" s="190">
        <v>813.11</v>
      </c>
      <c r="H35" s="13"/>
      <c r="I35" s="13"/>
      <c r="J35" s="13"/>
      <c r="K35" s="13"/>
      <c r="L35" s="13"/>
    </row>
    <row r="36" spans="1:12" s="14" customFormat="1">
      <c r="A36" s="81" t="s">
        <v>119</v>
      </c>
      <c r="B36" s="132">
        <f>89.02+1753.17+699.56+106</f>
        <v>2647.75</v>
      </c>
      <c r="C36" s="132">
        <f>89.02+1753.17+654.66+106</f>
        <v>2602.85</v>
      </c>
      <c r="D36" s="133">
        <f>B36-C36</f>
        <v>44.900000000000091</v>
      </c>
      <c r="E36" s="111"/>
      <c r="F36" s="57"/>
      <c r="G36" s="112"/>
      <c r="K36" s="13"/>
      <c r="L36" s="13"/>
    </row>
    <row r="37" spans="1:12" s="14" customFormat="1">
      <c r="A37" s="81" t="s">
        <v>491</v>
      </c>
      <c r="B37" s="54">
        <f>761.05+273.91</f>
        <v>1034.96</v>
      </c>
      <c r="C37" s="22">
        <f>737.35+273.91</f>
        <v>1011.26</v>
      </c>
      <c r="D37" s="22">
        <f>B37-C37</f>
        <v>23.700000000000045</v>
      </c>
      <c r="E37" s="111"/>
      <c r="F37" s="57"/>
      <c r="G37" s="112">
        <v>205.67</v>
      </c>
      <c r="K37" s="13"/>
      <c r="L37" s="13"/>
    </row>
    <row r="38" spans="1:12" s="14" customFormat="1" ht="13.5" thickBot="1">
      <c r="A38" s="24" t="s">
        <v>99</v>
      </c>
      <c r="B38" s="126">
        <v>2440.9699999999998</v>
      </c>
      <c r="C38" s="113">
        <v>0</v>
      </c>
      <c r="D38" s="126">
        <f>B38</f>
        <v>2440.9699999999998</v>
      </c>
      <c r="E38" s="71"/>
      <c r="F38" s="72"/>
      <c r="G38" s="74"/>
      <c r="K38" s="13"/>
      <c r="L38" s="13"/>
    </row>
    <row r="39" spans="1:12" ht="34.5" customHeight="1" thickBot="1">
      <c r="A39" s="25" t="s">
        <v>72</v>
      </c>
      <c r="B39" s="37" t="s">
        <v>19</v>
      </c>
      <c r="C39" s="48" t="s">
        <v>12</v>
      </c>
      <c r="D39" s="44" t="s">
        <v>11</v>
      </c>
      <c r="E39" s="37" t="s">
        <v>21</v>
      </c>
      <c r="F39" s="87" t="s">
        <v>84</v>
      </c>
      <c r="G39" s="68"/>
      <c r="H39" s="13"/>
      <c r="I39" s="13"/>
      <c r="J39" s="13"/>
      <c r="K39" s="13"/>
      <c r="L39" s="13"/>
    </row>
    <row r="40" spans="1:12" ht="19.5" customHeight="1" thickBot="1">
      <c r="A40" s="9" t="s">
        <v>71</v>
      </c>
      <c r="B40" s="120"/>
      <c r="C40" s="120"/>
      <c r="D40" s="121">
        <f>B40-C40</f>
        <v>0</v>
      </c>
      <c r="E40" s="123"/>
      <c r="F40" s="122"/>
      <c r="G40" s="68"/>
    </row>
    <row r="41" spans="1:12" ht="19.5" customHeight="1" thickBot="1">
      <c r="A41" s="25" t="s">
        <v>50</v>
      </c>
      <c r="B41" s="75" t="s">
        <v>65</v>
      </c>
      <c r="C41" s="68"/>
      <c r="D41" s="68"/>
      <c r="E41" s="68"/>
      <c r="F41" s="68"/>
      <c r="G41" s="68"/>
      <c r="H41" s="13"/>
      <c r="I41" s="13"/>
      <c r="J41" s="13"/>
      <c r="K41" s="13"/>
      <c r="L41" s="13"/>
    </row>
    <row r="42" spans="1:12" ht="30" customHeight="1">
      <c r="A42" s="101" t="s">
        <v>138</v>
      </c>
      <c r="B42" s="79"/>
      <c r="C42" s="68"/>
      <c r="D42" s="68"/>
      <c r="E42" s="68"/>
      <c r="F42" s="68"/>
      <c r="G42" s="68"/>
    </row>
    <row r="43" spans="1:12" ht="15">
      <c r="A43" s="29" t="s">
        <v>139</v>
      </c>
      <c r="B43" s="80">
        <v>0.08</v>
      </c>
      <c r="C43" s="68"/>
      <c r="D43" s="68"/>
      <c r="E43" s="68"/>
      <c r="F43" s="68"/>
      <c r="G43" s="68"/>
    </row>
    <row r="44" spans="1:12" ht="15">
      <c r="A44" s="29" t="s">
        <v>140</v>
      </c>
      <c r="B44" s="80"/>
      <c r="C44" s="68"/>
      <c r="D44" s="68"/>
      <c r="E44" s="68"/>
      <c r="F44" s="68"/>
      <c r="G44" s="68"/>
    </row>
    <row r="45" spans="1:12" ht="15">
      <c r="A45" s="29" t="s">
        <v>141</v>
      </c>
      <c r="B45" s="80"/>
      <c r="C45" s="68"/>
      <c r="D45" s="68"/>
      <c r="E45" s="68"/>
      <c r="F45" s="68"/>
      <c r="G45" s="68"/>
    </row>
    <row r="46" spans="1:12" ht="15">
      <c r="A46" s="20" t="s">
        <v>142</v>
      </c>
      <c r="B46" s="80"/>
      <c r="C46" s="68"/>
      <c r="D46" s="68"/>
      <c r="E46" s="68"/>
      <c r="F46" s="68"/>
      <c r="G46" s="68"/>
    </row>
    <row r="47" spans="1:12" ht="25.5">
      <c r="A47" s="64" t="s">
        <v>143</v>
      </c>
      <c r="B47" s="80">
        <v>0</v>
      </c>
      <c r="C47" s="68"/>
      <c r="D47" s="68"/>
      <c r="E47" s="68"/>
      <c r="F47" s="68"/>
      <c r="G47" s="68"/>
    </row>
    <row r="48" spans="1:12" ht="25.5">
      <c r="A48" s="64" t="s">
        <v>144</v>
      </c>
      <c r="B48" s="80"/>
      <c r="C48" s="68"/>
      <c r="D48" s="68"/>
      <c r="E48" s="68"/>
      <c r="F48" s="68"/>
      <c r="G48" s="68"/>
    </row>
    <row r="49" spans="1:12" ht="25.5">
      <c r="A49" s="64" t="s">
        <v>145</v>
      </c>
      <c r="B49" s="80">
        <v>3.15</v>
      </c>
      <c r="C49" s="68"/>
      <c r="D49" s="68"/>
      <c r="E49" s="68"/>
      <c r="F49" s="68"/>
      <c r="G49" s="68"/>
    </row>
    <row r="50" spans="1:12" ht="15">
      <c r="A50" s="18" t="s">
        <v>125</v>
      </c>
      <c r="B50" s="80"/>
      <c r="C50" s="68"/>
      <c r="D50" s="68"/>
      <c r="E50" s="68"/>
      <c r="F50" s="68"/>
      <c r="G50" s="68"/>
    </row>
    <row r="51" spans="1:12" ht="14.25" customHeight="1">
      <c r="A51" s="29" t="s">
        <v>126</v>
      </c>
      <c r="B51" s="80"/>
      <c r="C51" s="68"/>
      <c r="D51" s="68"/>
      <c r="E51" s="68"/>
      <c r="F51" s="68"/>
      <c r="G51" s="68"/>
    </row>
    <row r="52" spans="1:12" ht="26.25" customHeight="1">
      <c r="A52" s="29" t="s">
        <v>127</v>
      </c>
      <c r="B52" s="80"/>
      <c r="C52" s="68"/>
      <c r="D52" s="68"/>
      <c r="E52" s="68"/>
      <c r="F52" s="68"/>
      <c r="G52" s="68"/>
    </row>
    <row r="53" spans="1:12" ht="33" customHeight="1">
      <c r="A53" s="29" t="s">
        <v>128</v>
      </c>
      <c r="B53" s="80"/>
      <c r="C53" s="68"/>
      <c r="D53" s="68"/>
      <c r="E53" s="68"/>
      <c r="F53" s="68"/>
      <c r="G53" s="68"/>
      <c r="J53" s="13"/>
      <c r="K53" s="13"/>
      <c r="L53" s="13"/>
    </row>
    <row r="54" spans="1:12" ht="32.25" customHeight="1">
      <c r="A54" s="29" t="s">
        <v>129</v>
      </c>
      <c r="B54" s="80"/>
      <c r="C54" s="68"/>
      <c r="D54" s="68"/>
      <c r="E54" s="68"/>
      <c r="F54" s="68"/>
      <c r="G54" s="68"/>
    </row>
    <row r="55" spans="1:12" ht="31.5" customHeight="1">
      <c r="A55" s="29" t="s">
        <v>134</v>
      </c>
      <c r="B55" s="80"/>
      <c r="C55" s="68"/>
      <c r="D55" s="68"/>
      <c r="E55" s="68"/>
      <c r="F55" s="68"/>
      <c r="G55" s="68"/>
    </row>
    <row r="56" spans="1:12" s="14" customFormat="1" ht="15">
      <c r="A56" s="29" t="s">
        <v>135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136</v>
      </c>
      <c r="B57" s="80">
        <v>0</v>
      </c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29" t="s">
        <v>130</v>
      </c>
      <c r="B58" s="80">
        <v>0</v>
      </c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29" t="s">
        <v>131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s="14" customFormat="1" ht="15">
      <c r="A60" s="64" t="s">
        <v>132</v>
      </c>
      <c r="B60" s="80"/>
      <c r="C60" s="68"/>
      <c r="D60" s="68"/>
      <c r="E60" s="68"/>
      <c r="F60" s="68"/>
      <c r="G60" s="68"/>
      <c r="H60" s="3"/>
      <c r="I60" s="3"/>
      <c r="J60" s="13"/>
      <c r="K60" s="13"/>
      <c r="L60" s="13"/>
    </row>
    <row r="61" spans="1:12" s="14" customFormat="1" ht="25.5">
      <c r="A61" s="64" t="s">
        <v>133</v>
      </c>
      <c r="B61" s="80"/>
      <c r="C61" s="68"/>
      <c r="D61" s="68"/>
      <c r="E61" s="68"/>
      <c r="F61" s="68"/>
      <c r="G61" s="68"/>
      <c r="H61" s="3"/>
      <c r="I61" s="3"/>
      <c r="J61" s="13"/>
      <c r="K61" s="13"/>
      <c r="L61" s="13"/>
    </row>
    <row r="62" spans="1:12" ht="15">
      <c r="A62" s="66" t="s">
        <v>146</v>
      </c>
      <c r="B62" s="80"/>
      <c r="C62" s="68"/>
      <c r="D62" s="68"/>
      <c r="E62" s="68"/>
      <c r="F62" s="68"/>
      <c r="G62" s="68"/>
    </row>
    <row r="63" spans="1:12" ht="15">
      <c r="A63" s="81" t="s">
        <v>124</v>
      </c>
      <c r="B63" s="80">
        <v>0</v>
      </c>
      <c r="C63" s="68"/>
      <c r="D63" s="68"/>
      <c r="E63" s="68"/>
      <c r="F63" s="68"/>
      <c r="G63" s="68"/>
    </row>
    <row r="64" spans="1:12" ht="15">
      <c r="A64" s="64" t="s">
        <v>73</v>
      </c>
      <c r="B64" s="80">
        <v>0</v>
      </c>
      <c r="C64" s="68"/>
      <c r="D64" s="68"/>
      <c r="E64" s="68"/>
      <c r="F64" s="68"/>
      <c r="G64" s="68"/>
    </row>
    <row r="65" spans="1:12" ht="15">
      <c r="A65" s="64" t="s">
        <v>74</v>
      </c>
      <c r="B65" s="80">
        <v>0</v>
      </c>
      <c r="C65" s="68"/>
      <c r="D65" s="68"/>
      <c r="E65" s="68"/>
      <c r="F65" s="68"/>
      <c r="G65" s="68"/>
    </row>
    <row r="66" spans="1:12" s="14" customFormat="1" ht="15">
      <c r="A66" s="64" t="s">
        <v>76</v>
      </c>
      <c r="B66" s="80">
        <v>0</v>
      </c>
      <c r="C66" s="68"/>
      <c r="D66" s="68"/>
      <c r="E66" s="68"/>
      <c r="F66" s="68"/>
      <c r="G66" s="68"/>
      <c r="H66" s="13"/>
      <c r="I66" s="13"/>
      <c r="J66" s="3"/>
      <c r="K66" s="3"/>
      <c r="L66" s="3"/>
    </row>
    <row r="67" spans="1:12" ht="15">
      <c r="A67" s="64" t="s">
        <v>75</v>
      </c>
      <c r="B67" s="80">
        <v>0</v>
      </c>
      <c r="C67" s="68"/>
      <c r="D67" s="68"/>
      <c r="E67" s="68"/>
      <c r="F67" s="68"/>
      <c r="G67" s="68"/>
      <c r="H67" s="13"/>
      <c r="I67" s="13"/>
    </row>
    <row r="68" spans="1:12" ht="15">
      <c r="A68" s="64" t="s">
        <v>77</v>
      </c>
      <c r="B68" s="80">
        <v>9.92</v>
      </c>
      <c r="C68" s="68"/>
      <c r="D68" s="68"/>
      <c r="E68" s="68"/>
      <c r="F68" s="68"/>
      <c r="G68" s="68"/>
    </row>
    <row r="69" spans="1:12" ht="15">
      <c r="A69" s="64" t="s">
        <v>83</v>
      </c>
      <c r="B69" s="80">
        <v>11.16</v>
      </c>
      <c r="C69" s="68"/>
      <c r="D69" s="68"/>
      <c r="E69" s="68"/>
      <c r="F69" s="68"/>
      <c r="G69" s="68"/>
    </row>
    <row r="70" spans="1:12" ht="15">
      <c r="A70" s="64" t="s">
        <v>90</v>
      </c>
      <c r="B70" s="80">
        <v>0.83</v>
      </c>
      <c r="C70" s="68"/>
      <c r="D70" s="68"/>
      <c r="E70" s="68"/>
      <c r="F70" s="68"/>
      <c r="G70" s="68"/>
    </row>
    <row r="71" spans="1:12" ht="15">
      <c r="A71" s="64" t="s">
        <v>91</v>
      </c>
      <c r="B71" s="80">
        <v>0</v>
      </c>
      <c r="C71" s="36"/>
      <c r="D71" s="55"/>
      <c r="E71" s="59"/>
      <c r="F71" s="59"/>
    </row>
    <row r="72" spans="1:12" ht="15">
      <c r="A72" s="64" t="s">
        <v>96</v>
      </c>
      <c r="B72" s="80"/>
      <c r="C72" s="36"/>
      <c r="D72" s="55"/>
      <c r="E72" s="59"/>
      <c r="F72" s="59"/>
    </row>
    <row r="73" spans="1:12" ht="15">
      <c r="A73" s="64" t="s">
        <v>97</v>
      </c>
      <c r="B73" s="80"/>
      <c r="C73" s="36"/>
      <c r="D73" s="55"/>
      <c r="E73" s="59"/>
      <c r="F73" s="59"/>
    </row>
    <row r="74" spans="1:12" ht="15">
      <c r="A74" s="64" t="s">
        <v>98</v>
      </c>
      <c r="B74" s="80"/>
      <c r="C74" s="36"/>
      <c r="D74" s="55"/>
      <c r="E74" s="59"/>
      <c r="F74" s="59"/>
    </row>
    <row r="75" spans="1:12" ht="15">
      <c r="A75" s="64" t="s">
        <v>137</v>
      </c>
      <c r="B75" s="80"/>
      <c r="C75" s="36"/>
      <c r="D75" s="55"/>
      <c r="E75" s="59"/>
      <c r="F75" s="59"/>
    </row>
    <row r="76" spans="1:12" ht="15">
      <c r="A76" s="64" t="s">
        <v>94</v>
      </c>
      <c r="B76" s="80"/>
      <c r="C76" s="36"/>
      <c r="D76" s="55"/>
      <c r="E76" s="59"/>
      <c r="F76" s="59"/>
    </row>
    <row r="77" spans="1:12" ht="15">
      <c r="A77" s="64" t="s">
        <v>95</v>
      </c>
      <c r="B77" s="80"/>
      <c r="C77" s="36"/>
      <c r="D77" s="55"/>
      <c r="E77" s="59"/>
      <c r="F77" s="59"/>
    </row>
    <row r="78" spans="1:12" ht="25.5">
      <c r="A78" s="64" t="s">
        <v>147</v>
      </c>
      <c r="B78" s="80">
        <v>0</v>
      </c>
      <c r="C78" s="36"/>
      <c r="D78" s="55"/>
      <c r="E78" s="59"/>
      <c r="F78" s="59"/>
    </row>
    <row r="79" spans="1:12" ht="25.5">
      <c r="A79" s="64" t="s">
        <v>148</v>
      </c>
      <c r="B79" s="80"/>
      <c r="C79" s="36"/>
      <c r="D79" s="55"/>
      <c r="E79" s="59"/>
      <c r="F79" s="59"/>
    </row>
    <row r="80" spans="1:12" ht="25.5">
      <c r="A80" s="64" t="s">
        <v>149</v>
      </c>
      <c r="B80" s="80"/>
      <c r="C80" s="36"/>
      <c r="D80" s="55"/>
      <c r="E80" s="59"/>
      <c r="F80" s="59"/>
    </row>
    <row r="81" spans="1:12" ht="15">
      <c r="A81" s="64" t="s">
        <v>150</v>
      </c>
      <c r="B81" s="80">
        <v>0</v>
      </c>
      <c r="C81" s="36"/>
      <c r="D81" s="55"/>
      <c r="E81" s="59"/>
      <c r="F81" s="59"/>
    </row>
    <row r="82" spans="1:12" ht="15">
      <c r="A82" s="64" t="s">
        <v>151</v>
      </c>
      <c r="B82" s="80">
        <v>0</v>
      </c>
      <c r="C82" s="36"/>
      <c r="D82" s="55"/>
      <c r="E82" s="59"/>
      <c r="F82" s="59"/>
    </row>
    <row r="83" spans="1:12" ht="15">
      <c r="A83" s="94" t="s">
        <v>82</v>
      </c>
      <c r="B83" s="80">
        <v>1.05</v>
      </c>
      <c r="C83" s="36"/>
      <c r="D83" s="55"/>
      <c r="E83" s="59"/>
      <c r="F83" s="59"/>
    </row>
    <row r="84" spans="1:12" ht="15">
      <c r="A84" s="94" t="s">
        <v>101</v>
      </c>
      <c r="B84" s="80">
        <v>50</v>
      </c>
      <c r="C84" s="36"/>
      <c r="D84" s="55"/>
      <c r="E84" s="59"/>
      <c r="F84" s="59"/>
    </row>
    <row r="85" spans="1:12" ht="15">
      <c r="A85" s="94" t="s">
        <v>102</v>
      </c>
      <c r="B85" s="80"/>
      <c r="C85" s="36"/>
      <c r="D85" s="55"/>
      <c r="E85" s="59"/>
      <c r="F85" s="59"/>
    </row>
    <row r="86" spans="1:12" ht="15">
      <c r="A86" s="94" t="s">
        <v>103</v>
      </c>
      <c r="B86" s="80">
        <v>8.8800000000000008</v>
      </c>
      <c r="C86" s="36"/>
      <c r="D86" s="55"/>
      <c r="E86" s="59"/>
      <c r="F86" s="59"/>
    </row>
    <row r="87" spans="1:12" ht="15">
      <c r="A87" s="94" t="s">
        <v>104</v>
      </c>
      <c r="B87" s="80">
        <v>12.29</v>
      </c>
      <c r="C87" s="36"/>
      <c r="D87" s="55"/>
      <c r="E87" s="59"/>
      <c r="F87" s="59"/>
    </row>
    <row r="88" spans="1:12" ht="25.5">
      <c r="A88" s="115" t="s">
        <v>112</v>
      </c>
      <c r="B88" s="80"/>
      <c r="C88" s="36"/>
      <c r="D88" s="55"/>
      <c r="E88" s="59"/>
      <c r="F88" s="59"/>
    </row>
    <row r="89" spans="1:12" ht="26.25" thickBot="1">
      <c r="A89" s="95" t="s">
        <v>111</v>
      </c>
      <c r="B89" s="96"/>
      <c r="C89" s="36"/>
      <c r="D89" s="55"/>
      <c r="E89" s="59"/>
      <c r="F89" s="59"/>
    </row>
    <row r="90" spans="1:12" ht="15.75" thickBot="1">
      <c r="A90" s="92"/>
      <c r="B90" s="137"/>
      <c r="C90" s="36"/>
      <c r="D90" s="55"/>
      <c r="E90" s="59"/>
      <c r="F90" s="59"/>
    </row>
    <row r="91" spans="1:12" s="14" customFormat="1" ht="15.75" thickBot="1">
      <c r="A91" s="93" t="s">
        <v>64</v>
      </c>
      <c r="B91" s="78">
        <f>SUM(B2:B40)</f>
        <v>17920.37</v>
      </c>
      <c r="C91" s="69"/>
      <c r="D91" s="58"/>
      <c r="E91" s="68"/>
      <c r="F91" s="68"/>
      <c r="G91" s="58"/>
      <c r="H91" s="13"/>
      <c r="I91" s="13"/>
      <c r="J91" s="13"/>
      <c r="K91" s="13"/>
      <c r="L91" s="13"/>
    </row>
    <row r="92" spans="1:12" s="14" customFormat="1" ht="15.75" thickBot="1">
      <c r="A92" s="67" t="s">
        <v>55</v>
      </c>
      <c r="B92" s="28">
        <f>SUM(G2:G38)</f>
        <v>6766.4000000000005</v>
      </c>
      <c r="C92" s="58"/>
      <c r="D92" s="58"/>
      <c r="E92" s="68"/>
      <c r="F92" s="68"/>
      <c r="G92" s="30"/>
      <c r="H92" s="13"/>
      <c r="I92" s="13"/>
      <c r="J92" s="13"/>
      <c r="K92" s="13"/>
      <c r="L92" s="13"/>
    </row>
    <row r="93" spans="1:12" ht="15.75" thickBot="1">
      <c r="A93" s="86" t="s">
        <v>56</v>
      </c>
      <c r="B93" s="78">
        <f>SUM(B42:B89)</f>
        <v>97.359999999999985</v>
      </c>
      <c r="C93" s="36"/>
      <c r="D93" s="55"/>
      <c r="E93" s="59"/>
      <c r="F93" s="59"/>
    </row>
    <row r="94" spans="1:12" ht="15.75" thickBot="1">
      <c r="A94" s="77" t="s">
        <v>622</v>
      </c>
      <c r="B94" s="78">
        <f>B91+B92+B93</f>
        <v>24784.13</v>
      </c>
      <c r="C94" s="36"/>
      <c r="D94" s="55"/>
    </row>
    <row r="95" spans="1:12">
      <c r="B95" s="36"/>
      <c r="C95" s="36"/>
      <c r="D95" s="55"/>
    </row>
    <row r="96" spans="1:12">
      <c r="B96" s="36"/>
      <c r="C96" s="36"/>
      <c r="D96" s="55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>
      <c r="B99" s="36"/>
      <c r="C99" s="36"/>
      <c r="D99" s="36"/>
    </row>
    <row r="100" spans="1:12">
      <c r="B100" s="36"/>
      <c r="C100" s="36"/>
      <c r="D100" s="36"/>
    </row>
    <row r="101" spans="1:12" s="36" customFormat="1">
      <c r="A101" s="3"/>
      <c r="G101" s="33"/>
      <c r="H101" s="3"/>
      <c r="I101" s="3"/>
      <c r="J101" s="3"/>
      <c r="K101" s="3"/>
      <c r="L101" s="3"/>
    </row>
    <row r="102" spans="1:12" s="36" customFormat="1">
      <c r="A102" s="3"/>
      <c r="G102" s="33"/>
      <c r="H102" s="3"/>
      <c r="I102" s="3"/>
      <c r="J102" s="3"/>
      <c r="K102" s="3"/>
      <c r="L102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H41" sqref="H41"/>
    </sheetView>
  </sheetViews>
  <sheetFormatPr defaultRowHeight="12.75"/>
  <cols>
    <col min="1" max="1" width="28.42578125" customWidth="1"/>
    <col min="2" max="2" width="22.7109375" bestFit="1" customWidth="1"/>
    <col min="3" max="3" width="21.42578125" customWidth="1"/>
    <col min="4" max="4" width="23.7109375" customWidth="1"/>
  </cols>
  <sheetData>
    <row r="1" spans="1:4" ht="30.75" thickBot="1">
      <c r="A1" s="7" t="s">
        <v>7</v>
      </c>
      <c r="B1" s="173" t="s">
        <v>19</v>
      </c>
      <c r="C1" s="174" t="s">
        <v>12</v>
      </c>
      <c r="D1" s="174" t="s">
        <v>11</v>
      </c>
    </row>
    <row r="2" spans="1:4">
      <c r="A2" s="9" t="s">
        <v>36</v>
      </c>
      <c r="B2" s="175">
        <f>Ottobre!B2+Novembre!B2+Dicembre!B2</f>
        <v>2893.0699999999997</v>
      </c>
      <c r="C2" s="175">
        <f>Ottobre!C2+Novembre!C2+Dicembre!C2</f>
        <v>2797</v>
      </c>
      <c r="D2" s="175">
        <f>Ottobre!D2+Novembre!D2+Dicembre!D2</f>
        <v>96.07000000000005</v>
      </c>
    </row>
    <row r="3" spans="1:4" ht="13.5" thickBot="1">
      <c r="A3" s="11" t="s">
        <v>28</v>
      </c>
      <c r="B3" s="175">
        <f>Ottobre!B3+Novembre!B3+Dicembre!B3</f>
        <v>616</v>
      </c>
      <c r="C3" s="175">
        <f>Ottobre!C3+Novembre!C3+Dicembre!C3</f>
        <v>300</v>
      </c>
      <c r="D3" s="175">
        <f>Ottobre!D3+Novembre!D3+Dicembre!D3</f>
        <v>316</v>
      </c>
    </row>
    <row r="4" spans="1:4" ht="15.75" thickBot="1">
      <c r="A4" s="15" t="s">
        <v>5</v>
      </c>
      <c r="B4" s="173"/>
      <c r="C4" s="178"/>
      <c r="D4" s="179"/>
    </row>
    <row r="5" spans="1:4">
      <c r="A5" s="18" t="s">
        <v>60</v>
      </c>
      <c r="B5" s="175">
        <f>Ottobre!B5+Novembre!B5+Dicembre!B5</f>
        <v>0</v>
      </c>
      <c r="C5" s="175">
        <f>Ottobre!C5+Novembre!C5+Dicembre!C5</f>
        <v>0</v>
      </c>
      <c r="D5" s="175">
        <f>Ottobre!D5+Novembre!D5+Dicembre!D5</f>
        <v>0</v>
      </c>
    </row>
    <row r="6" spans="1:4">
      <c r="A6" s="20" t="s">
        <v>100</v>
      </c>
      <c r="B6" s="175">
        <f>Ottobre!B6+Novembre!B6+Dicembre!B6</f>
        <v>3045.59</v>
      </c>
      <c r="C6" s="175">
        <f>Ottobre!C6+Novembre!C6+Dicembre!C6</f>
        <v>3216.23</v>
      </c>
      <c r="D6" s="175">
        <f>Ottobre!D6+Novembre!D6+Dicembre!D6</f>
        <v>-170.64000000000004</v>
      </c>
    </row>
    <row r="7" spans="1:4">
      <c r="A7" s="20" t="s">
        <v>29</v>
      </c>
      <c r="B7" s="175">
        <f>Ottobre!B7+Novembre!B7+Dicembre!B7</f>
        <v>0</v>
      </c>
      <c r="C7" s="175">
        <f>Ottobre!C7+Novembre!C7+Dicembre!C7</f>
        <v>0</v>
      </c>
      <c r="D7" s="175">
        <f>Ottobre!D7+Novembre!D7+Dicembre!D7</f>
        <v>0</v>
      </c>
    </row>
    <row r="8" spans="1:4">
      <c r="A8" s="20" t="s">
        <v>92</v>
      </c>
      <c r="B8" s="175">
        <f>Ottobre!B8+Novembre!B8+Dicembre!B8</f>
        <v>0</v>
      </c>
      <c r="C8" s="175">
        <f>Ottobre!C8+Novembre!C8+Dicembre!C8</f>
        <v>0</v>
      </c>
      <c r="D8" s="175">
        <f>Ottobre!D8+Novembre!D8+Dicembre!D8</f>
        <v>0</v>
      </c>
    </row>
    <row r="9" spans="1:4">
      <c r="A9" s="20" t="s">
        <v>37</v>
      </c>
      <c r="B9" s="175">
        <f>Ottobre!B9+Novembre!B9+Dicembre!B9</f>
        <v>0</v>
      </c>
      <c r="C9" s="175">
        <f>Ottobre!C9+Novembre!C9+Dicembre!C9</f>
        <v>0</v>
      </c>
      <c r="D9" s="175">
        <f>Ottobre!D9+Novembre!D9+Dicembre!D9</f>
        <v>0</v>
      </c>
    </row>
    <row r="10" spans="1:4">
      <c r="A10" s="20" t="s">
        <v>68</v>
      </c>
      <c r="B10" s="175">
        <f>Ottobre!B10+Novembre!B10+Dicembre!B10</f>
        <v>2440.2600000000002</v>
      </c>
      <c r="C10" s="175">
        <f>Ottobre!C10+Novembre!C10+Dicembre!C10</f>
        <v>1966.45</v>
      </c>
      <c r="D10" s="175">
        <f>Ottobre!D10+Novembre!D10+Dicembre!D10</f>
        <v>473.80999999999995</v>
      </c>
    </row>
    <row r="11" spans="1:4">
      <c r="A11" s="20" t="s">
        <v>122</v>
      </c>
      <c r="B11" s="175">
        <f>Ottobre!B11+Novembre!B11+Dicembre!B11</f>
        <v>0</v>
      </c>
      <c r="C11" s="175">
        <f>Ottobre!C11+Novembre!C11+Dicembre!C11</f>
        <v>0</v>
      </c>
      <c r="D11" s="175">
        <f>Ottobre!D11+Novembre!D11+Dicembre!D11</f>
        <v>0</v>
      </c>
    </row>
    <row r="12" spans="1:4">
      <c r="A12" s="20" t="s">
        <v>689</v>
      </c>
      <c r="B12" s="175">
        <f>Novembre!B12+Dicembre!B12</f>
        <v>1047.79</v>
      </c>
      <c r="C12" s="175">
        <f>Novembre!C12+Dicembre!C12</f>
        <v>922.39</v>
      </c>
      <c r="D12" s="175">
        <f>Novembre!D12+Dicembre!D12</f>
        <v>125.39999999999998</v>
      </c>
    </row>
    <row r="13" spans="1:4">
      <c r="A13" s="20" t="s">
        <v>115</v>
      </c>
      <c r="B13" s="175">
        <f>Ottobre!B13+Novembre!B13+Dicembre!B13</f>
        <v>0</v>
      </c>
      <c r="C13" s="175">
        <f>Ottobre!C13+Novembre!C13+Dicembre!C13</f>
        <v>0</v>
      </c>
      <c r="D13" s="175">
        <f>Ottobre!D13+Novembre!D13+Dicembre!D13</f>
        <v>0</v>
      </c>
    </row>
    <row r="14" spans="1:4">
      <c r="A14" s="20" t="s">
        <v>123</v>
      </c>
      <c r="B14" s="175">
        <f>Ottobre!B14+Novembre!B14+Dicembre!B14</f>
        <v>2553.4900000000002</v>
      </c>
      <c r="C14" s="175">
        <f>Ottobre!C14+Novembre!C14+Dicembre!C14</f>
        <v>2570.29</v>
      </c>
      <c r="D14" s="175">
        <f>Ottobre!D14+Novembre!D14+Dicembre!D14</f>
        <v>-16.799999999999841</v>
      </c>
    </row>
    <row r="15" spans="1:4">
      <c r="A15" s="20" t="s">
        <v>78</v>
      </c>
      <c r="B15" s="175">
        <f>Ottobre!B15+Novembre!B15+Dicembre!B15</f>
        <v>0</v>
      </c>
      <c r="C15" s="175">
        <f>Ottobre!C15+Novembre!C15+Dicembre!C15</f>
        <v>0</v>
      </c>
      <c r="D15" s="175">
        <f>Ottobre!D15+Novembre!D15+Dicembre!D15</f>
        <v>0</v>
      </c>
    </row>
    <row r="16" spans="1:4">
      <c r="A16" s="20" t="s">
        <v>93</v>
      </c>
      <c r="B16" s="175">
        <f>Ottobre!B16+Novembre!B16+Dicembre!B16</f>
        <v>0</v>
      </c>
      <c r="C16" s="175">
        <f>Ottobre!C16+Novembre!C16+Dicembre!C16</f>
        <v>0</v>
      </c>
      <c r="D16" s="175">
        <f>Ottobre!D16+Novembre!D16+Dicembre!D16</f>
        <v>0</v>
      </c>
    </row>
    <row r="17" spans="1:4">
      <c r="A17" s="18" t="s">
        <v>24</v>
      </c>
      <c r="B17" s="175">
        <f>Ottobre!B17+Novembre!B17+Dicembre!B17</f>
        <v>0</v>
      </c>
      <c r="C17" s="175">
        <f>Ottobre!C17+Novembre!C17+Dicembre!C17</f>
        <v>0</v>
      </c>
      <c r="D17" s="175">
        <f>Ottobre!D17+Novembre!D17+Dicembre!D17</f>
        <v>0</v>
      </c>
    </row>
    <row r="18" spans="1:4">
      <c r="A18" s="18" t="s">
        <v>25</v>
      </c>
      <c r="B18" s="175">
        <f>Ottobre!B18+Novembre!B18+Dicembre!B18</f>
        <v>1440.29</v>
      </c>
      <c r="C18" s="175">
        <f>Ottobre!C18+Novembre!C18+Dicembre!C18</f>
        <v>1302.06</v>
      </c>
      <c r="D18" s="175">
        <f>Ottobre!D18+Novembre!D18+Dicembre!D18</f>
        <v>138.2299999999999</v>
      </c>
    </row>
    <row r="19" spans="1:4">
      <c r="A19" s="18" t="s">
        <v>169</v>
      </c>
      <c r="B19" s="175">
        <f>Ottobre!B19+Novembre!B19+Dicembre!B19</f>
        <v>0</v>
      </c>
      <c r="C19" s="175">
        <f>Ottobre!C19+Novembre!C19+Dicembre!C19</f>
        <v>0</v>
      </c>
      <c r="D19" s="175">
        <f>Ottobre!D19+Novembre!D19+Dicembre!D19</f>
        <v>0</v>
      </c>
    </row>
    <row r="20" spans="1:4">
      <c r="A20" s="18" t="s">
        <v>59</v>
      </c>
      <c r="B20" s="175">
        <f>Ottobre!B20+Novembre!B20+Dicembre!B20</f>
        <v>0</v>
      </c>
      <c r="C20" s="175">
        <f>Ottobre!C20+Novembre!C20+Dicembre!C20</f>
        <v>0</v>
      </c>
      <c r="D20" s="175">
        <f>Ottobre!D20+Novembre!D20+Dicembre!D20</f>
        <v>0</v>
      </c>
    </row>
    <row r="21" spans="1:4">
      <c r="A21" s="18" t="s">
        <v>105</v>
      </c>
      <c r="B21" s="175">
        <f>Ottobre!B21+Novembre!B21+Dicembre!B21</f>
        <v>0</v>
      </c>
      <c r="C21" s="175">
        <f>Ottobre!C21+Novembre!C21+Dicembre!C21</f>
        <v>0</v>
      </c>
      <c r="D21" s="175">
        <f>Ottobre!D21+Novembre!D21+Dicembre!D21</f>
        <v>0</v>
      </c>
    </row>
    <row r="22" spans="1:4">
      <c r="A22" s="20" t="s">
        <v>32</v>
      </c>
      <c r="B22" s="175">
        <f>Ottobre!B22+Novembre!B22+Dicembre!B22</f>
        <v>62.67</v>
      </c>
      <c r="C22" s="175">
        <f>Ottobre!C22+Novembre!C22+Dicembre!C22</f>
        <v>0</v>
      </c>
      <c r="D22" s="175">
        <f>Ottobre!D22+Novembre!D22+Dicembre!D22</f>
        <v>62.67</v>
      </c>
    </row>
    <row r="23" spans="1:4">
      <c r="A23" s="20" t="s">
        <v>33</v>
      </c>
      <c r="B23" s="175">
        <f>Ottobre!B23+Novembre!B23+Dicembre!B23</f>
        <v>0</v>
      </c>
      <c r="C23" s="175">
        <f>Ottobre!C23+Novembre!C23+Dicembre!C23</f>
        <v>0</v>
      </c>
      <c r="D23" s="175">
        <f>Ottobre!D23+Novembre!D23+Dicembre!D23</f>
        <v>0</v>
      </c>
    </row>
    <row r="24" spans="1:4">
      <c r="A24" s="20" t="s">
        <v>694</v>
      </c>
      <c r="B24" s="175">
        <f>Novembre!B24+Dicembre!B24</f>
        <v>1267.81</v>
      </c>
      <c r="C24" s="175">
        <f>Novembre!C24+Dicembre!C24</f>
        <v>0</v>
      </c>
      <c r="D24" s="175">
        <f>Novembre!D24+Dicembre!D24</f>
        <v>1267.81</v>
      </c>
    </row>
    <row r="25" spans="1:4">
      <c r="A25" s="20" t="s">
        <v>31</v>
      </c>
      <c r="B25" s="175">
        <f>Ottobre!B24+Novembre!B25+Dicembre!B25</f>
        <v>0</v>
      </c>
      <c r="C25" s="175">
        <f>Ottobre!C24+Novembre!C25+Dicembre!C25</f>
        <v>0</v>
      </c>
      <c r="D25" s="175">
        <f>Ottobre!D24+Novembre!D25+Dicembre!D25</f>
        <v>0</v>
      </c>
    </row>
    <row r="26" spans="1:4">
      <c r="A26" s="81" t="s">
        <v>69</v>
      </c>
      <c r="B26" s="175">
        <f>Ottobre!B25+Novembre!B26+Dicembre!B26</f>
        <v>1529.79</v>
      </c>
      <c r="C26" s="175">
        <f>Ottobre!C25+Novembre!C26+Dicembre!C26</f>
        <v>224.34</v>
      </c>
      <c r="D26" s="175">
        <f>Ottobre!D25+Novembre!D26+Dicembre!D26</f>
        <v>1305.45</v>
      </c>
    </row>
    <row r="27" spans="1:4">
      <c r="A27" s="81" t="s">
        <v>117</v>
      </c>
      <c r="B27" s="175">
        <f>Ottobre!B26+Novembre!B27+Dicembre!B27</f>
        <v>0</v>
      </c>
      <c r="C27" s="175">
        <f>Ottobre!C26+Novembre!C27+Dicembre!C27</f>
        <v>0</v>
      </c>
      <c r="D27" s="175">
        <f>Ottobre!D26+Novembre!D27+Dicembre!D27</f>
        <v>0</v>
      </c>
    </row>
    <row r="28" spans="1:4">
      <c r="A28" s="81" t="s">
        <v>34</v>
      </c>
      <c r="B28" s="175">
        <f>Ottobre!B27+Novembre!B28+Dicembre!B28</f>
        <v>547.57000000000005</v>
      </c>
      <c r="C28" s="175">
        <f>Ottobre!C27+Novembre!C28+Dicembre!C28</f>
        <v>513.87</v>
      </c>
      <c r="D28" s="175">
        <f>Ottobre!D27+Novembre!D28+Dicembre!D28</f>
        <v>33.700000000000045</v>
      </c>
    </row>
    <row r="29" spans="1:4" ht="13.5" thickBot="1">
      <c r="A29" s="24" t="s">
        <v>120</v>
      </c>
      <c r="B29" s="188">
        <f>Ottobre!B28+Novembre!B29+Dicembre!B29</f>
        <v>5268.29</v>
      </c>
      <c r="C29" s="188">
        <f>Ottobre!C28+Novembre!C29+Dicembre!C29</f>
        <v>1562.5900000000001</v>
      </c>
      <c r="D29" s="188">
        <f>Ottobre!D28+Novembre!D29+Dicembre!D29</f>
        <v>3705.7</v>
      </c>
    </row>
    <row r="30" spans="1:4" ht="15.75" thickBot="1">
      <c r="A30" s="25" t="s">
        <v>10</v>
      </c>
      <c r="B30" s="173"/>
      <c r="C30" s="178"/>
      <c r="D30" s="179"/>
    </row>
    <row r="31" spans="1:4" ht="13.5" thickBot="1">
      <c r="A31" s="17" t="s">
        <v>23</v>
      </c>
      <c r="B31" s="175">
        <f>Ottobre!B30+Novembre!B31+Dicembre!B31</f>
        <v>4612.2</v>
      </c>
      <c r="C31" s="175">
        <f>Ottobre!C30+Novembre!C31+Dicembre!C31</f>
        <v>3992.56</v>
      </c>
      <c r="D31" s="175">
        <f>Ottobre!D30+Novembre!D31+Dicembre!D31</f>
        <v>619.6400000000001</v>
      </c>
    </row>
    <row r="32" spans="1:4" ht="15.75" thickBot="1">
      <c r="A32" s="25" t="s">
        <v>22</v>
      </c>
      <c r="B32" s="173"/>
      <c r="C32" s="178"/>
      <c r="D32" s="179"/>
    </row>
    <row r="33" spans="1:4">
      <c r="A33" s="17" t="s">
        <v>35</v>
      </c>
      <c r="B33" s="175">
        <f>Ottobre!B32+Novembre!B33+Dicembre!B33</f>
        <v>3635.84</v>
      </c>
      <c r="C33" s="175">
        <f>Ottobre!C32+Novembre!C33+Dicembre!C33</f>
        <v>3214.03</v>
      </c>
      <c r="D33" s="175">
        <f>Ottobre!D32+Novembre!D33+Dicembre!D33</f>
        <v>421.81000000000017</v>
      </c>
    </row>
    <row r="34" spans="1:4">
      <c r="A34" s="20" t="s">
        <v>38</v>
      </c>
      <c r="B34" s="175">
        <f>Ottobre!B33+Novembre!B34+Dicembre!B34</f>
        <v>1501.9099999999999</v>
      </c>
      <c r="C34" s="175">
        <f>Ottobre!C33+Novembre!C34+Dicembre!C34</f>
        <v>1116.72</v>
      </c>
      <c r="D34" s="175">
        <f>Ottobre!D33+Novembre!D34+Dicembre!D34</f>
        <v>385.18999999999994</v>
      </c>
    </row>
    <row r="35" spans="1:4">
      <c r="A35" s="20" t="s">
        <v>70</v>
      </c>
      <c r="B35" s="175">
        <f>Ottobre!B34+Novembre!B35+Dicembre!B35</f>
        <v>8755.6</v>
      </c>
      <c r="C35" s="175">
        <f>Ottobre!C34+Novembre!C35+Dicembre!C35</f>
        <v>4855.1900000000005</v>
      </c>
      <c r="D35" s="175">
        <f>Ottobre!D34+Novembre!D35+Dicembre!D35</f>
        <v>3900.41</v>
      </c>
    </row>
    <row r="36" spans="1:4">
      <c r="A36" s="20" t="s">
        <v>119</v>
      </c>
      <c r="B36" s="188">
        <f>Ottobre!B35+Novembre!B36+Dicembre!B36</f>
        <v>10251.240000000002</v>
      </c>
      <c r="C36" s="188">
        <f>Ottobre!C35+Novembre!C36+Dicembre!C36</f>
        <v>6752.52</v>
      </c>
      <c r="D36" s="188">
        <f>Ottobre!D35+Novembre!D36+Dicembre!D36</f>
        <v>3498.7200000000003</v>
      </c>
    </row>
    <row r="37" spans="1:4" ht="13.5" thickBot="1">
      <c r="A37" s="24" t="s">
        <v>99</v>
      </c>
      <c r="B37" s="189">
        <f>Ottobre!B36+Novembre!B37+Dicembre!B37</f>
        <v>3059.2</v>
      </c>
      <c r="C37" s="189">
        <f>Ottobre!C36+Novembre!C37+Dicembre!C37</f>
        <v>3026.8999999999996</v>
      </c>
      <c r="D37" s="189">
        <f>Ottobre!D36+Novembre!D37+Dicembre!D37</f>
        <v>32.300000000000068</v>
      </c>
    </row>
    <row r="38" spans="1:4" ht="15.75" thickBot="1">
      <c r="A38" s="25" t="s">
        <v>72</v>
      </c>
      <c r="B38" s="173"/>
      <c r="C38" s="178"/>
      <c r="D38" s="179"/>
    </row>
    <row r="39" spans="1:4">
      <c r="A39" s="17" t="s">
        <v>71</v>
      </c>
      <c r="B39" s="175">
        <f>Ottobre!B39+Novembre!B40+Dicembre!B40</f>
        <v>0</v>
      </c>
      <c r="C39" s="175">
        <f>Ottobre!C39+Novembre!C40+Dicembre!C40</f>
        <v>0</v>
      </c>
      <c r="D39" s="175">
        <f>Ottobre!D39+Novembre!D40+Dicembre!D40</f>
        <v>0</v>
      </c>
    </row>
    <row r="40" spans="1:4" ht="13.5" thickBot="1">
      <c r="A40" s="4"/>
      <c r="B40" s="183"/>
      <c r="C40" s="183"/>
      <c r="D40" s="184"/>
    </row>
    <row r="41" spans="1:4" ht="15.75" thickBot="1">
      <c r="A41" s="149" t="s">
        <v>64</v>
      </c>
      <c r="B41" s="185">
        <f>SUM(B2:B39)</f>
        <v>54528.61</v>
      </c>
      <c r="C41" s="185">
        <f t="shared" ref="C41:D41" si="0">SUM(C2:C39)</f>
        <v>38333.140000000007</v>
      </c>
      <c r="D41" s="185">
        <f t="shared" si="0"/>
        <v>16195.470000000001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4"/>
  <sheetViews>
    <sheetView workbookViewId="0">
      <selection activeCell="G11" sqref="G11"/>
    </sheetView>
  </sheetViews>
  <sheetFormatPr defaultColWidth="19.7109375" defaultRowHeight="12.75"/>
  <cols>
    <col min="1" max="1" width="30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626.27+100.03+22.47</f>
        <v>748.77</v>
      </c>
      <c r="C2" s="38">
        <f>357.17+7.54+22.47</f>
        <v>387.18000000000006</v>
      </c>
      <c r="D2" s="108">
        <f>B2-C2</f>
        <v>361.58999999999992</v>
      </c>
      <c r="E2" s="63"/>
      <c r="F2" s="38"/>
      <c r="G2" s="10">
        <v>24</v>
      </c>
    </row>
    <row r="3" spans="1:12" s="14" customFormat="1" ht="13.5" thickBot="1">
      <c r="A3" s="11" t="s">
        <v>28</v>
      </c>
      <c r="B3" s="39">
        <f>314.2+954.09+15.62</f>
        <v>1283.9099999999999</v>
      </c>
      <c r="C3" s="39">
        <f>954.09+15.62</f>
        <v>969.71</v>
      </c>
      <c r="D3" s="73">
        <f>B3-C3</f>
        <v>314.19999999999982</v>
      </c>
      <c r="E3" s="39"/>
      <c r="F3" s="39"/>
      <c r="G3" s="12">
        <v>75.459999999999994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>
        <f>170.31+144.29</f>
        <v>314.60000000000002</v>
      </c>
      <c r="C5" s="51">
        <f>171.09+154</f>
        <v>325.09000000000003</v>
      </c>
      <c r="D5" s="51">
        <f t="shared" ref="D5:D16" si="0">B5-C5</f>
        <v>-10.490000000000009</v>
      </c>
      <c r="E5" s="51"/>
      <c r="F5" s="21"/>
      <c r="G5" s="88">
        <v>105.95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482.39+431.3+225.81</f>
        <v>1139.5</v>
      </c>
      <c r="C6" s="51">
        <f>542.43+401.3+209.32</f>
        <v>1153.05</v>
      </c>
      <c r="D6" s="51">
        <f>B6-C6</f>
        <v>-13.549999999999955</v>
      </c>
      <c r="E6" s="51"/>
      <c r="F6" s="21"/>
      <c r="G6" s="88">
        <v>255.03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4.68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0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>
        <f>399</f>
        <v>399</v>
      </c>
      <c r="C9" s="51">
        <v>0</v>
      </c>
      <c r="D9" s="51">
        <f>B9-C9</f>
        <v>399</v>
      </c>
      <c r="E9" s="51"/>
      <c r="F9" s="21"/>
      <c r="G9" s="27">
        <v>10.47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>
        <f>161.23+35.37+109.06+375.3+1033.29</f>
        <v>1714.25</v>
      </c>
      <c r="C10" s="51">
        <f>161.23+35.37+146.6+293.85+1008.31</f>
        <v>1645.36</v>
      </c>
      <c r="D10" s="51">
        <f t="shared" si="0"/>
        <v>68.8900000000001</v>
      </c>
      <c r="E10" s="51"/>
      <c r="F10" s="21"/>
      <c r="G10" s="27">
        <v>972.81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>
        <v>0</v>
      </c>
      <c r="C11" s="51">
        <v>0</v>
      </c>
      <c r="D11" s="51">
        <f t="shared" si="0"/>
        <v>0</v>
      </c>
      <c r="E11" s="51"/>
      <c r="F11" s="21"/>
      <c r="G11" s="27">
        <v>0.37</v>
      </c>
      <c r="H11" s="13"/>
      <c r="I11" s="13"/>
      <c r="J11" s="13"/>
      <c r="K11" s="13"/>
      <c r="L11" s="13"/>
    </row>
    <row r="12" spans="1:12" s="14" customFormat="1">
      <c r="A12" s="20" t="s">
        <v>30</v>
      </c>
      <c r="B12" s="41">
        <f>206.1+88</f>
        <v>294.10000000000002</v>
      </c>
      <c r="C12" s="51">
        <v>0</v>
      </c>
      <c r="D12" s="51">
        <f t="shared" si="0"/>
        <v>294.10000000000002</v>
      </c>
      <c r="E12" s="51"/>
      <c r="F12" s="21"/>
      <c r="G12" s="27">
        <v>11.3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</v>
      </c>
      <c r="H13" s="13"/>
      <c r="I13" s="13"/>
      <c r="J13" s="13"/>
      <c r="K13" s="13"/>
      <c r="L13" s="13"/>
    </row>
    <row r="14" spans="1:12" s="14" customFormat="1">
      <c r="A14" s="20" t="s">
        <v>78</v>
      </c>
      <c r="B14" s="41"/>
      <c r="C14" s="51"/>
      <c r="D14" s="51">
        <f t="shared" si="0"/>
        <v>0</v>
      </c>
      <c r="E14" s="51"/>
      <c r="F14" s="21"/>
      <c r="G14" s="27">
        <v>95.5</v>
      </c>
      <c r="H14" s="13"/>
      <c r="I14" s="13"/>
      <c r="J14" s="13"/>
      <c r="K14" s="13"/>
      <c r="L14" s="13"/>
    </row>
    <row r="15" spans="1:12" s="14" customFormat="1">
      <c r="A15" s="20" t="s">
        <v>93</v>
      </c>
      <c r="B15" s="41"/>
      <c r="C15" s="51"/>
      <c r="D15" s="51">
        <f t="shared" si="0"/>
        <v>0</v>
      </c>
      <c r="E15" s="51"/>
      <c r="F15" s="22"/>
      <c r="G15" s="27">
        <v>11.52</v>
      </c>
      <c r="H15" s="13"/>
      <c r="I15" s="13"/>
      <c r="J15" s="13"/>
      <c r="K15" s="13"/>
      <c r="L15" s="13"/>
    </row>
    <row r="16" spans="1:12" s="14" customFormat="1">
      <c r="A16" s="18" t="s">
        <v>24</v>
      </c>
      <c r="B16" s="40"/>
      <c r="C16" s="51"/>
      <c r="D16" s="51">
        <f t="shared" si="0"/>
        <v>0</v>
      </c>
      <c r="E16" s="51"/>
      <c r="F16" s="22"/>
      <c r="G16" s="89">
        <v>17.91</v>
      </c>
      <c r="H16" s="13"/>
      <c r="I16" s="13"/>
      <c r="J16" s="13"/>
      <c r="K16" s="13"/>
      <c r="L16" s="13"/>
    </row>
    <row r="17" spans="1:12" s="14" customFormat="1">
      <c r="A17" s="18" t="s">
        <v>25</v>
      </c>
      <c r="B17" s="40">
        <f>1827.07+15.02</f>
        <v>1842.09</v>
      </c>
      <c r="C17" s="51">
        <f>1827.07+15.02</f>
        <v>1842.09</v>
      </c>
      <c r="D17" s="51">
        <f>B17-C17</f>
        <v>0</v>
      </c>
      <c r="E17" s="51"/>
      <c r="F17" s="22"/>
      <c r="G17" s="89">
        <v>94.23</v>
      </c>
      <c r="H17" s="13"/>
      <c r="I17" s="13"/>
      <c r="J17" s="13"/>
      <c r="K17" s="13"/>
      <c r="L17" s="13"/>
    </row>
    <row r="18" spans="1:12" s="14" customFormat="1">
      <c r="A18" s="18" t="s">
        <v>59</v>
      </c>
      <c r="B18" s="40"/>
      <c r="C18" s="51"/>
      <c r="D18" s="51">
        <f t="shared" ref="D18:D27" si="1">B18-C18</f>
        <v>0</v>
      </c>
      <c r="E18" s="51"/>
      <c r="F18" s="19"/>
      <c r="G18" s="89">
        <v>3.56</v>
      </c>
      <c r="H18" s="13"/>
      <c r="I18" s="13"/>
      <c r="J18" s="13"/>
      <c r="K18" s="13"/>
      <c r="L18" s="13"/>
    </row>
    <row r="19" spans="1:12" s="14" customFormat="1">
      <c r="A19" s="18" t="s">
        <v>105</v>
      </c>
      <c r="B19" s="40"/>
      <c r="C19" s="51"/>
      <c r="D19" s="51"/>
      <c r="E19" s="51"/>
      <c r="F19" s="19"/>
      <c r="G19" s="89">
        <v>0</v>
      </c>
      <c r="H19" s="13"/>
      <c r="I19" s="13"/>
      <c r="J19" s="13"/>
      <c r="K19" s="13"/>
      <c r="L19" s="13"/>
    </row>
    <row r="20" spans="1:12" s="14" customFormat="1">
      <c r="A20" s="18" t="s">
        <v>32</v>
      </c>
      <c r="B20" s="40"/>
      <c r="C20" s="51"/>
      <c r="D20" s="51">
        <f t="shared" si="1"/>
        <v>0</v>
      </c>
      <c r="E20" s="51"/>
      <c r="F20" s="21"/>
      <c r="G20" s="88">
        <v>1.55</v>
      </c>
      <c r="H20" s="13"/>
      <c r="I20" s="13"/>
      <c r="J20" s="13"/>
      <c r="K20" s="13"/>
      <c r="L20" s="13"/>
    </row>
    <row r="21" spans="1:12" s="14" customFormat="1">
      <c r="A21" s="20" t="s">
        <v>33</v>
      </c>
      <c r="B21" s="41">
        <f>724.05+243.39</f>
        <v>967.43999999999994</v>
      </c>
      <c r="C21" s="51">
        <f>724.05+151.6</f>
        <v>875.65</v>
      </c>
      <c r="D21" s="51">
        <f t="shared" si="1"/>
        <v>91.789999999999964</v>
      </c>
      <c r="E21" s="51"/>
      <c r="F21" s="21"/>
      <c r="G21" s="27">
        <v>46.36</v>
      </c>
      <c r="H21" s="13"/>
      <c r="I21" s="13"/>
      <c r="J21" s="13"/>
      <c r="K21" s="13"/>
      <c r="L21" s="13"/>
    </row>
    <row r="22" spans="1:12" s="14" customFormat="1">
      <c r="A22" s="20" t="s">
        <v>118</v>
      </c>
      <c r="B22" s="41"/>
      <c r="C22" s="51"/>
      <c r="D22" s="51">
        <f t="shared" si="1"/>
        <v>0</v>
      </c>
      <c r="E22" s="51"/>
      <c r="F22" s="21"/>
      <c r="G22" s="27">
        <v>0</v>
      </c>
      <c r="H22" s="13"/>
      <c r="I22" s="13"/>
      <c r="J22" s="13"/>
      <c r="K22" s="13"/>
      <c r="L22" s="13"/>
    </row>
    <row r="23" spans="1:12" s="14" customFormat="1">
      <c r="A23" s="20" t="s">
        <v>31</v>
      </c>
      <c r="B23" s="41">
        <f>391.49</f>
        <v>391.49</v>
      </c>
      <c r="C23" s="51">
        <f>103.64</f>
        <v>103.64</v>
      </c>
      <c r="D23" s="51">
        <f t="shared" si="1"/>
        <v>287.85000000000002</v>
      </c>
      <c r="E23" s="51"/>
      <c r="F23" s="21"/>
      <c r="G23" s="27">
        <v>15.34</v>
      </c>
      <c r="H23" s="13"/>
      <c r="I23" s="13"/>
      <c r="J23" s="13"/>
      <c r="K23" s="13"/>
      <c r="L23" s="13"/>
    </row>
    <row r="24" spans="1:12" s="14" customFormat="1" ht="12.75" customHeight="1">
      <c r="A24" s="20" t="s">
        <v>69</v>
      </c>
      <c r="B24" s="54">
        <f>29.55+284.85</f>
        <v>314.40000000000003</v>
      </c>
      <c r="C24" s="22">
        <v>0</v>
      </c>
      <c r="D24" s="52">
        <f>B24-C24</f>
        <v>314.40000000000003</v>
      </c>
      <c r="E24" s="51"/>
      <c r="F24" s="21"/>
      <c r="G24" s="27">
        <v>60.89</v>
      </c>
      <c r="H24" s="23"/>
      <c r="I24" s="13"/>
      <c r="J24" s="13"/>
      <c r="K24" s="13"/>
      <c r="L24" s="13"/>
    </row>
    <row r="25" spans="1:12" s="14" customFormat="1" ht="12.75" customHeight="1">
      <c r="A25" s="81" t="s">
        <v>117</v>
      </c>
      <c r="B25" s="54"/>
      <c r="C25" s="22"/>
      <c r="D25" s="52"/>
      <c r="E25" s="51"/>
      <c r="F25" s="21"/>
      <c r="G25" s="90">
        <v>0.93</v>
      </c>
      <c r="H25" s="23"/>
      <c r="I25" s="13"/>
      <c r="J25" s="13"/>
      <c r="K25" s="13"/>
      <c r="L25" s="13"/>
    </row>
    <row r="26" spans="1:12" s="14" customFormat="1" ht="12.75" customHeight="1">
      <c r="A26" s="81" t="s">
        <v>34</v>
      </c>
      <c r="B26" s="54"/>
      <c r="C26" s="22"/>
      <c r="D26" s="52"/>
      <c r="E26" s="51"/>
      <c r="F26" s="21"/>
      <c r="G26" s="90">
        <v>26.92</v>
      </c>
      <c r="H26" s="23"/>
      <c r="I26" s="13"/>
      <c r="J26" s="13"/>
      <c r="K26" s="13"/>
      <c r="L26" s="13"/>
    </row>
    <row r="27" spans="1:12" s="14" customFormat="1" ht="13.5" thickBot="1">
      <c r="A27" s="24" t="s">
        <v>120</v>
      </c>
      <c r="B27" s="132">
        <f>385.01+1711.83+252.07</f>
        <v>2348.9100000000003</v>
      </c>
      <c r="C27" s="132">
        <f>365.89+1711.83+179.12</f>
        <v>2256.8399999999997</v>
      </c>
      <c r="D27" s="133">
        <f t="shared" si="1"/>
        <v>92.070000000000618</v>
      </c>
      <c r="E27" s="42"/>
      <c r="F27" s="42"/>
      <c r="G27" s="91"/>
      <c r="H27" s="13"/>
      <c r="I27" s="13"/>
      <c r="J27" s="13"/>
      <c r="K27" s="13"/>
      <c r="L27" s="13"/>
    </row>
    <row r="28" spans="1:12" s="14" customFormat="1" ht="30.75" thickBot="1">
      <c r="A28" s="25" t="s">
        <v>10</v>
      </c>
      <c r="B28" s="37" t="s">
        <v>19</v>
      </c>
      <c r="C28" s="48" t="s">
        <v>12</v>
      </c>
      <c r="D28" s="44" t="s">
        <v>11</v>
      </c>
      <c r="E28" s="37" t="s">
        <v>21</v>
      </c>
      <c r="F28" s="37" t="s">
        <v>20</v>
      </c>
      <c r="G28" s="70" t="s">
        <v>58</v>
      </c>
      <c r="H28" s="65"/>
    </row>
    <row r="29" spans="1:12" s="14" customFormat="1" ht="15.75" thickBot="1">
      <c r="A29" s="9" t="s">
        <v>23</v>
      </c>
      <c r="B29" s="38"/>
      <c r="C29" s="47"/>
      <c r="D29" s="46">
        <f>B29-C29</f>
        <v>0</v>
      </c>
      <c r="E29" s="61"/>
      <c r="F29" s="62"/>
      <c r="G29" s="26">
        <v>38.44</v>
      </c>
      <c r="H29" s="13"/>
      <c r="I29" s="13"/>
      <c r="J29" s="13"/>
      <c r="K29" s="13"/>
      <c r="L29" s="13"/>
    </row>
    <row r="30" spans="1:12" s="14" customFormat="1" ht="30.75" thickBot="1">
      <c r="A30" s="25" t="s">
        <v>22</v>
      </c>
      <c r="B30" s="37" t="s">
        <v>19</v>
      </c>
      <c r="C30" s="48" t="s">
        <v>12</v>
      </c>
      <c r="D30" s="44" t="s">
        <v>11</v>
      </c>
      <c r="E30" s="37" t="s">
        <v>21</v>
      </c>
      <c r="F30" s="37" t="s">
        <v>20</v>
      </c>
      <c r="G30" s="70" t="s">
        <v>58</v>
      </c>
      <c r="H30" s="65"/>
    </row>
    <row r="31" spans="1:12" s="14" customFormat="1" ht="15">
      <c r="A31" s="9" t="s">
        <v>35</v>
      </c>
      <c r="B31" s="38">
        <f>190.7+554.74</f>
        <v>745.44</v>
      </c>
      <c r="C31" s="50">
        <f>66.4+102.75+497.88</f>
        <v>667.03</v>
      </c>
      <c r="D31" s="49">
        <f>B31-C31</f>
        <v>78.410000000000082</v>
      </c>
      <c r="E31" s="82"/>
      <c r="F31" s="60"/>
      <c r="G31" s="76">
        <v>651.72</v>
      </c>
      <c r="H31" s="13"/>
      <c r="I31" s="13"/>
      <c r="J31" s="13"/>
      <c r="K31" s="13"/>
      <c r="L31" s="13"/>
    </row>
    <row r="32" spans="1:12" s="14" customFormat="1" ht="17.25" customHeight="1">
      <c r="A32" s="20" t="s">
        <v>38</v>
      </c>
      <c r="B32" s="41">
        <f>258.68+321.38</f>
        <v>580.05999999999995</v>
      </c>
      <c r="C32" s="53">
        <f>248.45+212.2</f>
        <v>460.65</v>
      </c>
      <c r="D32" s="22">
        <f>B32-C32</f>
        <v>119.40999999999997</v>
      </c>
      <c r="E32" s="54"/>
      <c r="F32" s="41"/>
      <c r="G32" s="27">
        <v>179</v>
      </c>
      <c r="H32" s="13"/>
      <c r="I32" s="13"/>
      <c r="J32" s="13"/>
      <c r="K32" s="13"/>
      <c r="L32" s="13"/>
    </row>
    <row r="33" spans="1:12" s="14" customFormat="1">
      <c r="A33" s="124" t="s">
        <v>70</v>
      </c>
      <c r="B33" s="41">
        <f>623.2+959.06+591.42</f>
        <v>2173.6799999999998</v>
      </c>
      <c r="C33" s="51">
        <f>391.2+967.44+612.16</f>
        <v>1970.8000000000002</v>
      </c>
      <c r="D33" s="22">
        <f>B33-C33</f>
        <v>202.87999999999965</v>
      </c>
      <c r="E33" s="54"/>
      <c r="F33" s="41"/>
      <c r="G33" s="27">
        <v>394.93</v>
      </c>
      <c r="H33" s="13"/>
      <c r="I33" s="13"/>
      <c r="J33" s="13"/>
      <c r="K33" s="13"/>
      <c r="L33" s="13"/>
    </row>
    <row r="34" spans="1:12" s="14" customFormat="1">
      <c r="A34" s="81" t="s">
        <v>119</v>
      </c>
      <c r="B34" s="132">
        <f>173.69+51.26+423.82</f>
        <v>648.77</v>
      </c>
      <c r="C34" s="132">
        <f>158.76+28.97+404.66</f>
        <v>592.39</v>
      </c>
      <c r="D34" s="133">
        <f>B34-C34</f>
        <v>56.379999999999995</v>
      </c>
      <c r="E34" s="111"/>
      <c r="F34" s="57"/>
      <c r="G34" s="112"/>
      <c r="K34" s="13"/>
      <c r="L34" s="13"/>
    </row>
    <row r="35" spans="1:12" s="14" customFormat="1" ht="13.5" thickBot="1">
      <c r="A35" s="24" t="s">
        <v>99</v>
      </c>
      <c r="B35" s="126">
        <v>4190.18</v>
      </c>
      <c r="C35" s="113">
        <v>0</v>
      </c>
      <c r="D35" s="126">
        <f>B35</f>
        <v>4190.18</v>
      </c>
      <c r="E35" s="71"/>
      <c r="F35" s="72"/>
      <c r="G35" s="74"/>
      <c r="K35" s="13"/>
      <c r="L35" s="13"/>
    </row>
    <row r="36" spans="1:12" ht="19.5" customHeight="1" thickBot="1">
      <c r="A36" s="25" t="s">
        <v>50</v>
      </c>
      <c r="B36" s="75" t="s">
        <v>65</v>
      </c>
      <c r="C36" s="68"/>
      <c r="D36" s="68"/>
      <c r="E36" s="68"/>
      <c r="F36" s="68"/>
      <c r="G36" s="68"/>
      <c r="H36" s="13"/>
      <c r="I36" s="13"/>
      <c r="J36" s="13"/>
      <c r="K36" s="13"/>
      <c r="L36" s="13"/>
    </row>
    <row r="37" spans="1:12" ht="30" customHeight="1">
      <c r="A37" s="101" t="s">
        <v>138</v>
      </c>
      <c r="B37" s="79">
        <v>0</v>
      </c>
      <c r="C37" s="68"/>
      <c r="E37" s="3"/>
      <c r="F37" s="3"/>
      <c r="G37" s="3"/>
    </row>
    <row r="38" spans="1:12" ht="15">
      <c r="A38" s="29" t="s">
        <v>139</v>
      </c>
      <c r="B38" s="80">
        <v>0</v>
      </c>
      <c r="C38" s="68"/>
      <c r="E38" s="3"/>
      <c r="F38" s="3"/>
      <c r="G38" s="3"/>
    </row>
    <row r="39" spans="1:12" ht="15">
      <c r="A39" s="29" t="s">
        <v>140</v>
      </c>
      <c r="B39" s="80">
        <v>0</v>
      </c>
      <c r="C39" s="68"/>
      <c r="E39" s="3"/>
      <c r="F39" s="3"/>
      <c r="G39" s="3"/>
    </row>
    <row r="40" spans="1:12" ht="15">
      <c r="A40" s="29" t="s">
        <v>141</v>
      </c>
      <c r="B40" s="80">
        <v>0</v>
      </c>
      <c r="C40" s="68"/>
      <c r="E40" s="3"/>
      <c r="F40" s="3"/>
      <c r="G40" s="3"/>
    </row>
    <row r="41" spans="1:12" ht="15">
      <c r="A41" s="20" t="s">
        <v>142</v>
      </c>
      <c r="B41" s="80">
        <v>0</v>
      </c>
      <c r="C41" s="68"/>
      <c r="E41" s="3"/>
      <c r="F41" s="3"/>
      <c r="G41" s="3"/>
    </row>
    <row r="42" spans="1:12" ht="25.5">
      <c r="A42" s="64" t="s">
        <v>143</v>
      </c>
      <c r="B42" s="80">
        <v>0</v>
      </c>
      <c r="C42" s="68"/>
      <c r="E42" s="3"/>
      <c r="F42" s="3"/>
      <c r="G42" s="3"/>
    </row>
    <row r="43" spans="1:12" ht="25.5">
      <c r="A43" s="64" t="s">
        <v>144</v>
      </c>
      <c r="B43" s="80">
        <v>0</v>
      </c>
      <c r="C43" s="68"/>
      <c r="E43" s="3"/>
      <c r="F43" s="3"/>
      <c r="G43" s="3"/>
    </row>
    <row r="44" spans="1:12" ht="25.5">
      <c r="A44" s="64" t="s">
        <v>145</v>
      </c>
      <c r="B44" s="80">
        <v>0</v>
      </c>
      <c r="C44" s="68"/>
      <c r="E44" s="3"/>
      <c r="F44" s="3"/>
      <c r="G44" s="3"/>
    </row>
    <row r="45" spans="1:12" ht="15">
      <c r="A45" s="18" t="s">
        <v>125</v>
      </c>
      <c r="B45" s="80">
        <v>0</v>
      </c>
      <c r="C45" s="68"/>
      <c r="E45" s="3"/>
      <c r="F45" s="3"/>
      <c r="G45" s="3"/>
    </row>
    <row r="46" spans="1:12" ht="15">
      <c r="A46" s="29" t="s">
        <v>126</v>
      </c>
      <c r="B46" s="80">
        <v>0</v>
      </c>
      <c r="C46" s="68"/>
      <c r="E46" s="3"/>
      <c r="F46" s="3"/>
      <c r="G46" s="3"/>
    </row>
    <row r="47" spans="1:12" ht="15">
      <c r="A47" s="29" t="s">
        <v>127</v>
      </c>
      <c r="B47" s="80">
        <v>0</v>
      </c>
      <c r="C47" s="68"/>
      <c r="E47" s="3"/>
      <c r="F47" s="3"/>
      <c r="G47" s="3"/>
    </row>
    <row r="48" spans="1:12" ht="15">
      <c r="A48" s="29" t="s">
        <v>128</v>
      </c>
      <c r="B48" s="80">
        <v>0</v>
      </c>
      <c r="C48" s="68"/>
      <c r="E48" s="3"/>
      <c r="F48" s="3"/>
      <c r="G48" s="3"/>
    </row>
    <row r="49" spans="1:12" ht="25.5">
      <c r="A49" s="29" t="s">
        <v>129</v>
      </c>
      <c r="B49" s="80">
        <v>0</v>
      </c>
      <c r="C49" s="68"/>
      <c r="E49" s="3"/>
      <c r="F49" s="3"/>
      <c r="G49" s="3"/>
    </row>
    <row r="50" spans="1:12" ht="15">
      <c r="A50" s="29" t="s">
        <v>134</v>
      </c>
      <c r="B50" s="80">
        <v>0</v>
      </c>
      <c r="C50" s="68"/>
      <c r="E50" s="3"/>
      <c r="F50" s="3"/>
      <c r="G50" s="3"/>
    </row>
    <row r="51" spans="1:12" ht="15">
      <c r="A51" s="29" t="s">
        <v>135</v>
      </c>
      <c r="B51" s="80">
        <v>0</v>
      </c>
      <c r="C51" s="68"/>
      <c r="E51" s="3"/>
      <c r="F51" s="3"/>
      <c r="G51" s="3"/>
    </row>
    <row r="52" spans="1:12" ht="14.25" customHeight="1">
      <c r="A52" s="29" t="s">
        <v>136</v>
      </c>
      <c r="B52" s="80">
        <v>0</v>
      </c>
      <c r="C52" s="68"/>
      <c r="E52" s="3"/>
      <c r="F52" s="3"/>
      <c r="G52" s="3"/>
    </row>
    <row r="53" spans="1:12" ht="21.75" customHeight="1">
      <c r="A53" s="29" t="s">
        <v>130</v>
      </c>
      <c r="B53" s="80">
        <v>0</v>
      </c>
      <c r="C53" s="68"/>
      <c r="E53" s="3"/>
      <c r="F53" s="3"/>
      <c r="G53" s="3"/>
    </row>
    <row r="54" spans="1:12" ht="20.25" customHeight="1">
      <c r="A54" s="29" t="s">
        <v>131</v>
      </c>
      <c r="B54" s="80">
        <v>0</v>
      </c>
      <c r="C54" s="68"/>
      <c r="E54" s="3"/>
      <c r="F54" s="3"/>
      <c r="G54" s="3"/>
      <c r="J54" s="13"/>
      <c r="K54" s="13"/>
      <c r="L54" s="13"/>
    </row>
    <row r="55" spans="1:12" ht="18" customHeight="1">
      <c r="A55" s="64" t="s">
        <v>132</v>
      </c>
      <c r="B55" s="80">
        <v>0</v>
      </c>
      <c r="C55" s="68"/>
      <c r="E55" s="3"/>
      <c r="F55" s="3"/>
      <c r="G55" s="3"/>
    </row>
    <row r="56" spans="1:12" s="14" customFormat="1" ht="25.5">
      <c r="A56" s="64" t="s">
        <v>133</v>
      </c>
      <c r="B56" s="80">
        <v>0</v>
      </c>
      <c r="C56" s="68"/>
      <c r="D56" s="3"/>
      <c r="E56" s="3"/>
      <c r="F56" s="3"/>
      <c r="G56" s="3"/>
      <c r="H56" s="3"/>
      <c r="I56" s="3"/>
      <c r="J56" s="13"/>
      <c r="K56" s="13"/>
      <c r="L56" s="13"/>
    </row>
    <row r="57" spans="1:12" s="14" customFormat="1" ht="15">
      <c r="A57" s="66" t="s">
        <v>146</v>
      </c>
      <c r="B57" s="80">
        <v>0</v>
      </c>
      <c r="C57" s="68"/>
      <c r="D57" s="3"/>
      <c r="E57" s="3"/>
      <c r="F57" s="3"/>
      <c r="G57" s="3"/>
      <c r="H57" s="3"/>
      <c r="I57" s="3"/>
      <c r="J57" s="13"/>
      <c r="K57" s="13"/>
      <c r="L57" s="13"/>
    </row>
    <row r="58" spans="1:12" ht="18.75" customHeight="1">
      <c r="A58" s="81" t="s">
        <v>124</v>
      </c>
      <c r="B58" s="80">
        <v>0</v>
      </c>
      <c r="C58" s="68"/>
      <c r="E58" s="3"/>
      <c r="F58" s="3"/>
      <c r="G58" s="3"/>
    </row>
    <row r="59" spans="1:12" s="14" customFormat="1" ht="15">
      <c r="A59" s="64" t="s">
        <v>73</v>
      </c>
      <c r="B59" s="80">
        <v>0</v>
      </c>
      <c r="C59" s="68"/>
      <c r="D59" s="3"/>
      <c r="E59" s="3"/>
      <c r="F59" s="3"/>
      <c r="G59" s="3"/>
      <c r="H59" s="3"/>
      <c r="I59" s="3"/>
      <c r="J59" s="13"/>
      <c r="K59" s="13"/>
      <c r="L59" s="13"/>
    </row>
    <row r="60" spans="1:12" s="14" customFormat="1" ht="15">
      <c r="A60" s="64" t="s">
        <v>74</v>
      </c>
      <c r="B60" s="80">
        <v>0</v>
      </c>
      <c r="C60" s="68"/>
      <c r="D60" s="3"/>
      <c r="E60" s="3"/>
      <c r="F60" s="3"/>
      <c r="G60" s="3"/>
      <c r="H60" s="3"/>
      <c r="I60" s="3"/>
      <c r="J60" s="13"/>
      <c r="K60" s="13"/>
      <c r="L60" s="13"/>
    </row>
    <row r="61" spans="1:12" s="14" customFormat="1" ht="15">
      <c r="A61" s="64" t="s">
        <v>76</v>
      </c>
      <c r="B61" s="80">
        <v>0</v>
      </c>
      <c r="C61" s="68"/>
      <c r="D61" s="3"/>
      <c r="E61" s="3"/>
      <c r="F61" s="3"/>
      <c r="G61" s="3"/>
      <c r="H61" s="3"/>
      <c r="I61" s="3"/>
      <c r="J61" s="13"/>
      <c r="K61" s="13"/>
      <c r="L61" s="13"/>
    </row>
    <row r="62" spans="1:12" s="14" customFormat="1" ht="15">
      <c r="A62" s="64" t="s">
        <v>75</v>
      </c>
      <c r="B62" s="80">
        <v>0</v>
      </c>
      <c r="C62" s="68"/>
      <c r="D62" s="3"/>
      <c r="E62" s="3"/>
      <c r="F62" s="3"/>
      <c r="G62" s="3"/>
      <c r="H62" s="3"/>
      <c r="I62" s="3"/>
      <c r="J62" s="13"/>
      <c r="K62" s="13"/>
      <c r="L62" s="13"/>
    </row>
    <row r="63" spans="1:12" ht="15">
      <c r="A63" s="64" t="s">
        <v>77</v>
      </c>
      <c r="B63" s="80">
        <v>9.92</v>
      </c>
      <c r="C63" s="68"/>
      <c r="E63" s="3"/>
      <c r="F63" s="3"/>
      <c r="G63" s="3"/>
    </row>
    <row r="64" spans="1:12" ht="25.5">
      <c r="A64" s="64" t="s">
        <v>83</v>
      </c>
      <c r="B64" s="80">
        <v>0</v>
      </c>
      <c r="C64" s="68"/>
      <c r="E64" s="3"/>
      <c r="F64" s="3"/>
      <c r="G64" s="3"/>
    </row>
    <row r="65" spans="1:9" ht="15">
      <c r="A65" s="64" t="s">
        <v>90</v>
      </c>
      <c r="B65" s="80">
        <v>0</v>
      </c>
      <c r="C65" s="68"/>
      <c r="E65" s="3"/>
      <c r="F65" s="3"/>
      <c r="G65" s="3"/>
    </row>
    <row r="66" spans="1:9" ht="15">
      <c r="A66" s="64" t="s">
        <v>91</v>
      </c>
      <c r="B66" s="80">
        <v>0</v>
      </c>
      <c r="C66" s="68"/>
      <c r="E66" s="3"/>
      <c r="F66" s="3"/>
      <c r="G66" s="3"/>
    </row>
    <row r="67" spans="1:9" ht="15">
      <c r="A67" s="64" t="s">
        <v>96</v>
      </c>
      <c r="B67" s="80">
        <v>0</v>
      </c>
      <c r="C67" s="68"/>
      <c r="E67" s="3"/>
      <c r="F67" s="3"/>
      <c r="G67" s="3"/>
    </row>
    <row r="68" spans="1:9" ht="15">
      <c r="A68" s="64" t="s">
        <v>97</v>
      </c>
      <c r="B68" s="80">
        <v>0</v>
      </c>
      <c r="C68" s="68"/>
      <c r="E68" s="3"/>
      <c r="F68" s="3"/>
      <c r="G68" s="3"/>
    </row>
    <row r="69" spans="1:9" ht="15">
      <c r="A69" s="64" t="s">
        <v>98</v>
      </c>
      <c r="B69" s="80">
        <v>0</v>
      </c>
      <c r="C69" s="68"/>
      <c r="E69" s="3"/>
      <c r="F69" s="3"/>
      <c r="G69" s="3"/>
    </row>
    <row r="70" spans="1:9" ht="14.25" customHeight="1">
      <c r="A70" s="64" t="s">
        <v>137</v>
      </c>
      <c r="B70" s="80"/>
      <c r="C70" s="36"/>
      <c r="D70" s="55"/>
      <c r="E70" s="59"/>
      <c r="F70" s="59"/>
    </row>
    <row r="71" spans="1:9" ht="22.5" customHeight="1">
      <c r="A71" s="64" t="s">
        <v>94</v>
      </c>
      <c r="B71" s="80">
        <v>0</v>
      </c>
      <c r="C71" s="36"/>
      <c r="D71" s="55"/>
      <c r="E71" s="59"/>
      <c r="F71" s="59"/>
    </row>
    <row r="72" spans="1:9" ht="15">
      <c r="A72" s="64" t="s">
        <v>95</v>
      </c>
      <c r="B72" s="80"/>
      <c r="C72" s="36"/>
      <c r="D72" s="55"/>
      <c r="E72" s="59"/>
      <c r="F72" s="59"/>
    </row>
    <row r="73" spans="1:9" ht="25.5">
      <c r="A73" s="64" t="s">
        <v>147</v>
      </c>
      <c r="B73" s="80">
        <v>0</v>
      </c>
      <c r="C73" s="68"/>
      <c r="E73" s="3"/>
      <c r="F73" s="3"/>
      <c r="G73" s="3"/>
      <c r="I73" s="13"/>
    </row>
    <row r="74" spans="1:9" ht="25.5">
      <c r="A74" s="64" t="s">
        <v>148</v>
      </c>
      <c r="B74" s="80">
        <v>0</v>
      </c>
      <c r="C74" s="68"/>
      <c r="E74" s="3"/>
      <c r="F74" s="3"/>
      <c r="G74" s="3"/>
      <c r="I74" s="13"/>
    </row>
    <row r="75" spans="1:9" ht="25.5">
      <c r="A75" s="64" t="s">
        <v>149</v>
      </c>
      <c r="B75" s="80">
        <v>0</v>
      </c>
      <c r="C75" s="68"/>
      <c r="E75" s="3"/>
      <c r="F75" s="3"/>
      <c r="G75" s="3"/>
      <c r="I75" s="13"/>
    </row>
    <row r="76" spans="1:9" ht="25.5">
      <c r="A76" s="64" t="s">
        <v>150</v>
      </c>
      <c r="B76" s="80">
        <v>0</v>
      </c>
      <c r="C76" s="68"/>
      <c r="E76" s="3"/>
      <c r="F76" s="3"/>
      <c r="G76" s="3"/>
      <c r="I76" s="13"/>
    </row>
    <row r="77" spans="1:9" ht="15">
      <c r="A77" s="64" t="s">
        <v>151</v>
      </c>
      <c r="B77" s="80">
        <v>0</v>
      </c>
      <c r="C77" s="68"/>
      <c r="E77" s="3"/>
      <c r="F77" s="3"/>
      <c r="G77" s="3"/>
      <c r="I77" s="13"/>
    </row>
    <row r="78" spans="1:9" ht="15">
      <c r="A78" s="94" t="s">
        <v>82</v>
      </c>
      <c r="B78" s="80">
        <v>87.63</v>
      </c>
      <c r="C78" s="68"/>
      <c r="E78" s="3"/>
      <c r="F78" s="3"/>
      <c r="G78" s="3"/>
    </row>
    <row r="79" spans="1:9" ht="15">
      <c r="A79" s="94" t="s">
        <v>101</v>
      </c>
      <c r="B79" s="80">
        <v>6.67</v>
      </c>
      <c r="C79" s="68"/>
      <c r="E79" s="3"/>
      <c r="F79" s="3"/>
      <c r="G79" s="3"/>
    </row>
    <row r="80" spans="1:9" ht="15">
      <c r="A80" s="94" t="s">
        <v>102</v>
      </c>
      <c r="B80" s="80">
        <v>0</v>
      </c>
      <c r="C80" s="68"/>
      <c r="E80" s="3"/>
      <c r="F80" s="3"/>
      <c r="G80" s="3"/>
    </row>
    <row r="81" spans="1:12">
      <c r="A81" s="94" t="s">
        <v>103</v>
      </c>
      <c r="B81" s="80">
        <v>0.66</v>
      </c>
      <c r="C81" s="36"/>
      <c r="G81" s="3"/>
      <c r="H81" s="36"/>
      <c r="I81" s="36"/>
    </row>
    <row r="82" spans="1:12">
      <c r="A82" s="94" t="s">
        <v>104</v>
      </c>
      <c r="B82" s="80">
        <v>0</v>
      </c>
      <c r="C82" s="36"/>
      <c r="G82" s="3"/>
      <c r="H82" s="36"/>
      <c r="I82" s="36"/>
    </row>
    <row r="83" spans="1:12" ht="26.25" customHeight="1">
      <c r="A83" s="115" t="s">
        <v>112</v>
      </c>
      <c r="B83" s="80">
        <v>0</v>
      </c>
      <c r="C83" s="36"/>
      <c r="G83" s="3"/>
      <c r="H83" s="36"/>
      <c r="I83" s="36"/>
    </row>
    <row r="84" spans="1:12" ht="26.25" thickBot="1">
      <c r="A84" s="95" t="s">
        <v>111</v>
      </c>
      <c r="B84" s="96">
        <v>0</v>
      </c>
      <c r="C84" s="36"/>
      <c r="G84" s="3"/>
      <c r="H84" s="36"/>
      <c r="I84" s="36"/>
    </row>
    <row r="85" spans="1:12" ht="13.5" thickBot="1">
      <c r="A85" s="92"/>
      <c r="B85" s="97"/>
      <c r="C85" s="36"/>
      <c r="G85" s="3"/>
      <c r="H85" s="36"/>
      <c r="I85" s="36"/>
    </row>
    <row r="86" spans="1:12" s="14" customFormat="1" ht="15.75" thickBot="1">
      <c r="A86" s="93" t="s">
        <v>64</v>
      </c>
      <c r="B86" s="78">
        <f>SUM(B2:B35)</f>
        <v>20096.59</v>
      </c>
      <c r="C86" s="69"/>
      <c r="D86" s="3"/>
      <c r="E86" s="36"/>
      <c r="F86" s="36"/>
      <c r="G86" s="3"/>
      <c r="H86" s="36"/>
      <c r="I86" s="36"/>
      <c r="J86" s="13"/>
      <c r="K86" s="13"/>
      <c r="L86" s="13"/>
    </row>
    <row r="87" spans="1:12" s="14" customFormat="1" ht="15.75" thickBot="1">
      <c r="A87" s="67" t="s">
        <v>55</v>
      </c>
      <c r="B87" s="28">
        <f>SUM(G2:G35)</f>
        <v>3098.87</v>
      </c>
      <c r="C87" s="58"/>
      <c r="D87" s="3"/>
      <c r="E87" s="36"/>
      <c r="F87" s="36"/>
      <c r="G87" s="3"/>
      <c r="H87" s="36"/>
      <c r="I87" s="36"/>
      <c r="J87" s="13"/>
      <c r="K87" s="13"/>
      <c r="L87" s="13"/>
    </row>
    <row r="88" spans="1:12" ht="15.75" thickBot="1">
      <c r="A88" s="86" t="s">
        <v>56</v>
      </c>
      <c r="B88" s="78">
        <f>SUM(B37:B84)</f>
        <v>104.88</v>
      </c>
      <c r="C88" s="36"/>
      <c r="G88" s="3"/>
      <c r="H88" s="36"/>
      <c r="I88" s="36"/>
    </row>
    <row r="89" spans="1:12" ht="15.75" thickBot="1">
      <c r="A89" s="77" t="s">
        <v>67</v>
      </c>
      <c r="B89" s="78">
        <f>B86+B87+B88</f>
        <v>23300.34</v>
      </c>
      <c r="C89" s="36"/>
      <c r="D89" s="3" t="s">
        <v>152</v>
      </c>
      <c r="G89" s="3"/>
      <c r="H89" s="36"/>
      <c r="I89" s="36"/>
    </row>
    <row r="90" spans="1:12">
      <c r="B90" s="36"/>
      <c r="C90" s="36"/>
      <c r="G90" s="3"/>
      <c r="H90" s="36"/>
      <c r="I90" s="36"/>
    </row>
    <row r="91" spans="1:12">
      <c r="B91" s="36"/>
      <c r="C91" s="36"/>
      <c r="G91" s="3"/>
      <c r="H91" s="36"/>
      <c r="I91" s="36"/>
    </row>
    <row r="92" spans="1:12">
      <c r="G92" s="3"/>
      <c r="H92" s="36"/>
      <c r="I92" s="36"/>
    </row>
    <row r="93" spans="1:12">
      <c r="G93" s="3"/>
      <c r="H93" s="36"/>
      <c r="I93" s="36"/>
    </row>
    <row r="94" spans="1:12">
      <c r="G94" s="3"/>
      <c r="H94" s="36"/>
      <c r="I94" s="36"/>
    </row>
  </sheetData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43"/>
  <sheetViews>
    <sheetView workbookViewId="0">
      <pane xSplit="4" ySplit="1" topLeftCell="K29" activePane="bottomRight" state="frozen"/>
      <selection pane="topRight" activeCell="E1" sqref="E1"/>
      <selection pane="bottomLeft" activeCell="A2" sqref="A2"/>
      <selection pane="bottomRight" activeCell="A33" sqref="A33"/>
    </sheetView>
  </sheetViews>
  <sheetFormatPr defaultRowHeight="12.75"/>
  <cols>
    <col min="1" max="1" width="47.140625" style="3" customWidth="1"/>
    <col min="2" max="2" width="29" style="3" hidden="1" customWidth="1"/>
    <col min="3" max="3" width="24.42578125" style="3" hidden="1" customWidth="1"/>
    <col min="4" max="4" width="24.5703125" style="3" hidden="1" customWidth="1"/>
    <col min="5" max="5" width="29" style="3" customWidth="1"/>
    <col min="6" max="6" width="24.42578125" style="3" customWidth="1"/>
    <col min="7" max="7" width="24.5703125" style="3" customWidth="1"/>
    <col min="8" max="8" width="29" style="3" customWidth="1"/>
    <col min="9" max="9" width="24.42578125" style="3" customWidth="1"/>
    <col min="10" max="10" width="24.5703125" style="3" customWidth="1"/>
    <col min="11" max="11" width="29" style="3" customWidth="1"/>
    <col min="12" max="12" width="24.42578125" style="3" customWidth="1"/>
    <col min="13" max="13" width="24.5703125" style="3" customWidth="1"/>
    <col min="14" max="16384" width="9.140625" style="3"/>
  </cols>
  <sheetData>
    <row r="1" spans="1:17" ht="46.5" customHeight="1" thickBot="1">
      <c r="A1" s="1" t="s">
        <v>15</v>
      </c>
      <c r="B1" s="1" t="s">
        <v>16</v>
      </c>
      <c r="C1" s="1" t="s">
        <v>17</v>
      </c>
      <c r="D1" s="2" t="s">
        <v>18</v>
      </c>
      <c r="E1" s="1" t="s">
        <v>557</v>
      </c>
      <c r="F1" s="1" t="s">
        <v>558</v>
      </c>
      <c r="G1" s="2" t="s">
        <v>559</v>
      </c>
      <c r="H1" s="1" t="s">
        <v>560</v>
      </c>
      <c r="I1" s="1" t="s">
        <v>561</v>
      </c>
      <c r="J1" s="2" t="s">
        <v>562</v>
      </c>
      <c r="K1" s="1" t="s">
        <v>563</v>
      </c>
      <c r="L1" s="1" t="s">
        <v>564</v>
      </c>
      <c r="M1" s="2" t="s">
        <v>565</v>
      </c>
    </row>
    <row r="2" spans="1:17" ht="53.25" customHeight="1">
      <c r="A2" s="138" t="s">
        <v>36</v>
      </c>
      <c r="B2" s="84" t="s">
        <v>121</v>
      </c>
      <c r="C2" s="84" t="s">
        <v>174</v>
      </c>
      <c r="D2" s="192" t="s">
        <v>175</v>
      </c>
      <c r="E2" s="84" t="s">
        <v>603</v>
      </c>
      <c r="F2" s="84" t="s">
        <v>604</v>
      </c>
      <c r="G2" s="84" t="s">
        <v>241</v>
      </c>
      <c r="H2" s="5" t="s">
        <v>673</v>
      </c>
      <c r="I2" s="5" t="s">
        <v>674</v>
      </c>
      <c r="J2" s="5" t="s">
        <v>241</v>
      </c>
      <c r="K2" s="5" t="s">
        <v>733</v>
      </c>
      <c r="L2" s="5" t="s">
        <v>567</v>
      </c>
      <c r="M2" s="5" t="s">
        <v>241</v>
      </c>
    </row>
    <row r="3" spans="1:17" ht="53.25" customHeight="1">
      <c r="A3" s="138" t="s">
        <v>28</v>
      </c>
      <c r="B3" s="5"/>
      <c r="C3" s="5"/>
      <c r="D3" s="192"/>
      <c r="E3" s="5" t="s">
        <v>580</v>
      </c>
      <c r="F3" s="5" t="s">
        <v>581</v>
      </c>
      <c r="G3" s="5" t="s">
        <v>241</v>
      </c>
      <c r="H3" s="5" t="s">
        <v>643</v>
      </c>
      <c r="I3" s="5" t="s">
        <v>644</v>
      </c>
      <c r="J3" s="5" t="s">
        <v>241</v>
      </c>
      <c r="K3" s="5" t="s">
        <v>708</v>
      </c>
      <c r="L3" s="5" t="s">
        <v>709</v>
      </c>
      <c r="M3" s="5" t="s">
        <v>241</v>
      </c>
      <c r="N3" s="152"/>
      <c r="O3" s="150"/>
      <c r="P3" s="153"/>
      <c r="Q3"/>
    </row>
    <row r="4" spans="1:17" ht="53.25" customHeight="1">
      <c r="A4" s="64" t="s">
        <v>60</v>
      </c>
      <c r="B4" s="5"/>
      <c r="C4" s="5"/>
      <c r="D4" s="192"/>
      <c r="E4" s="5" t="s">
        <v>577</v>
      </c>
      <c r="F4" s="5" t="s">
        <v>567</v>
      </c>
      <c r="G4" s="5" t="s">
        <v>241</v>
      </c>
      <c r="H4" s="5" t="s">
        <v>639</v>
      </c>
      <c r="I4" s="5" t="s">
        <v>640</v>
      </c>
      <c r="J4" s="5" t="s">
        <v>241</v>
      </c>
      <c r="K4" s="5" t="s">
        <v>704</v>
      </c>
      <c r="L4" s="5" t="s">
        <v>705</v>
      </c>
      <c r="M4" s="5" t="s">
        <v>241</v>
      </c>
      <c r="N4" s="150"/>
      <c r="O4" s="150"/>
      <c r="P4" s="150"/>
      <c r="Q4" s="153"/>
    </row>
    <row r="5" spans="1:17" ht="53.25" customHeight="1">
      <c r="A5" s="64" t="s">
        <v>290</v>
      </c>
      <c r="B5" s="5"/>
      <c r="C5" s="5"/>
      <c r="D5" s="192"/>
      <c r="E5" s="5" t="s">
        <v>615</v>
      </c>
      <c r="F5" s="5" t="s">
        <v>616</v>
      </c>
      <c r="G5" s="5" t="s">
        <v>184</v>
      </c>
      <c r="H5" s="5" t="s">
        <v>685</v>
      </c>
      <c r="I5" s="5" t="s">
        <v>686</v>
      </c>
      <c r="J5" s="5" t="s">
        <v>241</v>
      </c>
      <c r="K5" s="5" t="s">
        <v>745</v>
      </c>
      <c r="L5" s="5" t="s">
        <v>746</v>
      </c>
      <c r="M5" s="5" t="s">
        <v>266</v>
      </c>
      <c r="N5" s="150"/>
      <c r="O5" s="150"/>
      <c r="P5" s="150"/>
      <c r="Q5" s="153"/>
    </row>
    <row r="6" spans="1:17" ht="53.25" customHeight="1">
      <c r="A6" s="64" t="s">
        <v>100</v>
      </c>
      <c r="B6" s="5"/>
      <c r="C6" s="5"/>
      <c r="D6" s="192"/>
      <c r="E6" s="163" t="s">
        <v>605</v>
      </c>
      <c r="F6" s="5" t="s">
        <v>606</v>
      </c>
      <c r="G6" s="5" t="s">
        <v>241</v>
      </c>
      <c r="H6" s="163" t="s">
        <v>675</v>
      </c>
      <c r="I6" s="5" t="s">
        <v>676</v>
      </c>
      <c r="J6" s="5" t="s">
        <v>241</v>
      </c>
      <c r="K6" s="163" t="s">
        <v>734</v>
      </c>
      <c r="L6" s="163" t="s">
        <v>735</v>
      </c>
      <c r="M6" s="5" t="s">
        <v>241</v>
      </c>
    </row>
    <row r="7" spans="1:17" ht="53.25" customHeight="1">
      <c r="A7" s="139" t="s">
        <v>29</v>
      </c>
      <c r="B7" s="5"/>
      <c r="C7" s="135"/>
      <c r="D7" s="192"/>
      <c r="E7" s="5" t="s">
        <v>582</v>
      </c>
      <c r="F7" s="5" t="s">
        <v>583</v>
      </c>
      <c r="G7" s="5" t="s">
        <v>238</v>
      </c>
      <c r="H7" s="5" t="s">
        <v>645</v>
      </c>
      <c r="I7" s="5" t="s">
        <v>646</v>
      </c>
      <c r="J7" s="5" t="s">
        <v>241</v>
      </c>
      <c r="K7" s="5" t="s">
        <v>710</v>
      </c>
      <c r="L7" s="5" t="s">
        <v>711</v>
      </c>
      <c r="M7" s="5" t="s">
        <v>241</v>
      </c>
    </row>
    <row r="8" spans="1:17" ht="53.25" customHeight="1">
      <c r="A8" s="139" t="s">
        <v>92</v>
      </c>
      <c r="B8" s="5"/>
      <c r="C8" s="135"/>
      <c r="D8" s="192"/>
      <c r="E8" s="5" t="s">
        <v>590</v>
      </c>
      <c r="F8" s="5" t="s">
        <v>567</v>
      </c>
      <c r="G8" s="5" t="s">
        <v>241</v>
      </c>
      <c r="H8" s="5" t="s">
        <v>656</v>
      </c>
      <c r="I8" s="5" t="s">
        <v>657</v>
      </c>
      <c r="J8" s="5" t="s">
        <v>241</v>
      </c>
      <c r="K8" s="5" t="s">
        <v>719</v>
      </c>
      <c r="L8" s="5" t="s">
        <v>720</v>
      </c>
      <c r="M8" s="5" t="s">
        <v>241</v>
      </c>
    </row>
    <row r="9" spans="1:17" ht="53.25" customHeight="1">
      <c r="A9" s="139" t="s">
        <v>37</v>
      </c>
      <c r="B9" s="5"/>
      <c r="C9" s="135"/>
      <c r="D9" s="114"/>
      <c r="E9" s="5" t="s">
        <v>610</v>
      </c>
      <c r="F9" s="5" t="s">
        <v>611</v>
      </c>
      <c r="G9" s="5" t="s">
        <v>241</v>
      </c>
      <c r="H9" s="5" t="s">
        <v>680</v>
      </c>
      <c r="I9" s="5" t="s">
        <v>567</v>
      </c>
      <c r="J9" s="5" t="s">
        <v>241</v>
      </c>
      <c r="K9" s="5" t="s">
        <v>740</v>
      </c>
      <c r="L9" s="5" t="s">
        <v>567</v>
      </c>
      <c r="M9" s="5" t="s">
        <v>238</v>
      </c>
    </row>
    <row r="10" spans="1:17" ht="53.25" customHeight="1">
      <c r="A10" s="139" t="s">
        <v>68</v>
      </c>
      <c r="B10" s="5"/>
      <c r="C10" s="135"/>
      <c r="D10" s="85"/>
      <c r="E10" s="163" t="s">
        <v>608</v>
      </c>
      <c r="F10" s="5" t="s">
        <v>609</v>
      </c>
      <c r="G10" s="5" t="s">
        <v>241</v>
      </c>
      <c r="H10" s="163" t="s">
        <v>678</v>
      </c>
      <c r="I10" s="5" t="s">
        <v>679</v>
      </c>
      <c r="J10" s="5" t="s">
        <v>241</v>
      </c>
      <c r="K10" s="5" t="s">
        <v>738</v>
      </c>
      <c r="L10" s="5" t="s">
        <v>739</v>
      </c>
      <c r="M10" s="5" t="s">
        <v>542</v>
      </c>
    </row>
    <row r="11" spans="1:17" ht="53.25" customHeight="1">
      <c r="A11" s="139" t="s">
        <v>122</v>
      </c>
      <c r="B11" s="5"/>
      <c r="C11" s="135"/>
      <c r="D11" s="192"/>
      <c r="E11" s="5" t="s">
        <v>601</v>
      </c>
      <c r="F11" s="5" t="s">
        <v>602</v>
      </c>
      <c r="G11" s="5" t="s">
        <v>238</v>
      </c>
      <c r="H11" s="5" t="s">
        <v>671</v>
      </c>
      <c r="I11" s="5" t="s">
        <v>672</v>
      </c>
      <c r="J11" s="5" t="s">
        <v>241</v>
      </c>
      <c r="K11" s="5" t="s">
        <v>731</v>
      </c>
      <c r="L11" s="163" t="s">
        <v>732</v>
      </c>
      <c r="M11" s="5" t="s">
        <v>241</v>
      </c>
    </row>
    <row r="12" spans="1:17" ht="53.25" customHeight="1">
      <c r="A12" s="139" t="s">
        <v>689</v>
      </c>
      <c r="B12" s="5"/>
      <c r="C12" s="135"/>
      <c r="D12" s="192"/>
      <c r="E12" s="5"/>
      <c r="F12" s="5"/>
      <c r="G12" s="5"/>
      <c r="H12" s="5" t="s">
        <v>690</v>
      </c>
      <c r="I12" s="5" t="s">
        <v>691</v>
      </c>
      <c r="J12" s="5" t="s">
        <v>241</v>
      </c>
      <c r="K12" s="5" t="s">
        <v>750</v>
      </c>
      <c r="L12" s="163" t="s">
        <v>751</v>
      </c>
      <c r="M12" s="5" t="s">
        <v>241</v>
      </c>
    </row>
    <row r="13" spans="1:17" ht="53.25" customHeight="1">
      <c r="A13" s="139" t="s">
        <v>431</v>
      </c>
      <c r="B13" s="109"/>
      <c r="C13" s="136"/>
      <c r="D13" s="192"/>
      <c r="E13" s="5" t="s">
        <v>620</v>
      </c>
      <c r="F13" s="5" t="s">
        <v>621</v>
      </c>
      <c r="G13" s="5" t="s">
        <v>241</v>
      </c>
      <c r="H13" s="5" t="s">
        <v>692</v>
      </c>
      <c r="I13" s="5" t="s">
        <v>693</v>
      </c>
      <c r="J13" s="5" t="s">
        <v>241</v>
      </c>
      <c r="K13" s="5" t="s">
        <v>752</v>
      </c>
      <c r="L13" s="5" t="s">
        <v>753</v>
      </c>
      <c r="M13" s="5" t="s">
        <v>241</v>
      </c>
    </row>
    <row r="14" spans="1:17" ht="53.25" customHeight="1">
      <c r="A14" s="139" t="s">
        <v>168</v>
      </c>
      <c r="B14" s="5"/>
      <c r="C14" s="135"/>
      <c r="D14" s="192"/>
      <c r="E14" s="5" t="s">
        <v>591</v>
      </c>
      <c r="F14" s="5" t="s">
        <v>567</v>
      </c>
      <c r="G14" s="5" t="s">
        <v>184</v>
      </c>
      <c r="H14" s="5"/>
      <c r="I14" s="5"/>
      <c r="J14" s="5"/>
      <c r="K14" s="5" t="s">
        <v>566</v>
      </c>
      <c r="L14" s="5" t="s">
        <v>567</v>
      </c>
      <c r="M14" s="5" t="s">
        <v>241</v>
      </c>
    </row>
    <row r="15" spans="1:17" ht="53.25" customHeight="1">
      <c r="A15" s="139" t="s">
        <v>115</v>
      </c>
      <c r="B15" s="5"/>
      <c r="C15" s="135"/>
      <c r="D15" s="192"/>
      <c r="E15" s="5" t="s">
        <v>566</v>
      </c>
      <c r="F15" s="5" t="s">
        <v>619</v>
      </c>
      <c r="G15" s="5" t="s">
        <v>241</v>
      </c>
      <c r="H15" s="5" t="s">
        <v>625</v>
      </c>
      <c r="I15" s="5" t="s">
        <v>626</v>
      </c>
      <c r="J15" s="5" t="s">
        <v>241</v>
      </c>
      <c r="K15" s="5" t="s">
        <v>749</v>
      </c>
      <c r="L15" s="5" t="s">
        <v>567</v>
      </c>
      <c r="M15" s="5" t="s">
        <v>241</v>
      </c>
    </row>
    <row r="16" spans="1:17" ht="53.25" customHeight="1">
      <c r="A16" s="139" t="s">
        <v>123</v>
      </c>
      <c r="B16" s="5"/>
      <c r="C16" s="135"/>
      <c r="D16" s="192"/>
      <c r="E16" s="5" t="s">
        <v>578</v>
      </c>
      <c r="F16" s="5" t="s">
        <v>579</v>
      </c>
      <c r="G16" s="5" t="s">
        <v>241</v>
      </c>
      <c r="H16" s="5" t="s">
        <v>641</v>
      </c>
      <c r="I16" s="5" t="s">
        <v>642</v>
      </c>
      <c r="J16" s="5" t="s">
        <v>241</v>
      </c>
      <c r="K16" s="163" t="s">
        <v>706</v>
      </c>
      <c r="L16" s="5" t="s">
        <v>707</v>
      </c>
      <c r="M16" s="5" t="s">
        <v>241</v>
      </c>
    </row>
    <row r="17" spans="1:13" ht="53.25" customHeight="1">
      <c r="A17" s="139" t="s">
        <v>78</v>
      </c>
      <c r="B17" s="5"/>
      <c r="C17" s="135"/>
      <c r="D17" s="192"/>
      <c r="E17" s="5" t="s">
        <v>607</v>
      </c>
      <c r="F17" s="5" t="s">
        <v>567</v>
      </c>
      <c r="G17" s="5" t="s">
        <v>241</v>
      </c>
      <c r="H17" s="5" t="s">
        <v>677</v>
      </c>
      <c r="I17" s="5" t="s">
        <v>640</v>
      </c>
      <c r="J17" s="5" t="s">
        <v>241</v>
      </c>
      <c r="K17" s="5" t="s">
        <v>736</v>
      </c>
      <c r="L17" s="5" t="s">
        <v>737</v>
      </c>
      <c r="M17" s="5" t="s">
        <v>241</v>
      </c>
    </row>
    <row r="18" spans="1:13" ht="53.25" customHeight="1">
      <c r="A18" s="139" t="s">
        <v>93</v>
      </c>
      <c r="B18" s="5"/>
      <c r="C18" s="135"/>
      <c r="D18" s="192"/>
      <c r="E18" s="5" t="s">
        <v>595</v>
      </c>
      <c r="F18" s="5" t="s">
        <v>596</v>
      </c>
      <c r="G18" s="5" t="s">
        <v>241</v>
      </c>
      <c r="H18" s="5" t="s">
        <v>665</v>
      </c>
      <c r="I18" s="5" t="s">
        <v>666</v>
      </c>
      <c r="J18" s="5" t="s">
        <v>241</v>
      </c>
      <c r="K18" s="5" t="s">
        <v>725</v>
      </c>
      <c r="L18" s="5" t="s">
        <v>726</v>
      </c>
      <c r="M18" s="5" t="s">
        <v>241</v>
      </c>
    </row>
    <row r="19" spans="1:13" ht="53.25" customHeight="1">
      <c r="A19" s="64" t="s">
        <v>24</v>
      </c>
      <c r="B19" s="5"/>
      <c r="C19" s="135"/>
      <c r="D19" s="192"/>
      <c r="E19" s="5" t="s">
        <v>566</v>
      </c>
      <c r="F19" s="5" t="s">
        <v>570</v>
      </c>
      <c r="G19" s="5" t="s">
        <v>238</v>
      </c>
      <c r="H19" s="5" t="s">
        <v>629</v>
      </c>
      <c r="I19" s="5" t="s">
        <v>630</v>
      </c>
      <c r="J19" s="5" t="s">
        <v>241</v>
      </c>
      <c r="K19" s="5" t="s">
        <v>697</v>
      </c>
      <c r="L19" s="5" t="s">
        <v>698</v>
      </c>
      <c r="M19" s="5" t="s">
        <v>241</v>
      </c>
    </row>
    <row r="20" spans="1:13" ht="53.25" customHeight="1">
      <c r="A20" s="64" t="s">
        <v>25</v>
      </c>
      <c r="B20" s="109"/>
      <c r="C20" s="136"/>
      <c r="D20" s="192"/>
      <c r="E20" s="5" t="s">
        <v>571</v>
      </c>
      <c r="F20" s="5" t="s">
        <v>572</v>
      </c>
      <c r="G20" s="5" t="s">
        <v>241</v>
      </c>
      <c r="H20" s="163" t="s">
        <v>633</v>
      </c>
      <c r="I20" s="163" t="s">
        <v>634</v>
      </c>
      <c r="J20" s="5" t="s">
        <v>241</v>
      </c>
      <c r="K20" s="5" t="s">
        <v>699</v>
      </c>
      <c r="L20" s="5" t="s">
        <v>700</v>
      </c>
      <c r="M20" s="5" t="s">
        <v>241</v>
      </c>
    </row>
    <row r="21" spans="1:13" ht="53.25" customHeight="1">
      <c r="A21" s="64" t="s">
        <v>169</v>
      </c>
      <c r="B21" s="109"/>
      <c r="C21" s="136"/>
      <c r="D21" s="192"/>
      <c r="E21" s="5" t="s">
        <v>566</v>
      </c>
      <c r="F21" s="5" t="s">
        <v>567</v>
      </c>
      <c r="G21" s="5" t="s">
        <v>241</v>
      </c>
      <c r="H21" s="5" t="s">
        <v>631</v>
      </c>
      <c r="I21" s="5" t="s">
        <v>632</v>
      </c>
      <c r="J21" s="5" t="s">
        <v>241</v>
      </c>
      <c r="K21" s="5" t="s">
        <v>566</v>
      </c>
      <c r="L21" s="5" t="s">
        <v>567</v>
      </c>
      <c r="M21" s="5" t="s">
        <v>241</v>
      </c>
    </row>
    <row r="22" spans="1:13" ht="53.25" customHeight="1">
      <c r="A22" s="64" t="s">
        <v>59</v>
      </c>
      <c r="B22" s="5"/>
      <c r="C22" s="135"/>
      <c r="D22" s="192"/>
      <c r="E22" s="5" t="s">
        <v>575</v>
      </c>
      <c r="F22" s="5" t="s">
        <v>576</v>
      </c>
      <c r="G22" s="5" t="s">
        <v>241</v>
      </c>
      <c r="H22" s="5" t="s">
        <v>637</v>
      </c>
      <c r="I22" s="5" t="s">
        <v>638</v>
      </c>
      <c r="J22" s="5" t="s">
        <v>241</v>
      </c>
      <c r="K22" s="5" t="s">
        <v>703</v>
      </c>
      <c r="L22" s="5" t="s">
        <v>567</v>
      </c>
      <c r="M22" s="5" t="s">
        <v>241</v>
      </c>
    </row>
    <row r="23" spans="1:13" ht="53.25" customHeight="1">
      <c r="A23" s="64" t="s">
        <v>105</v>
      </c>
      <c r="B23" s="109"/>
      <c r="C23" s="136"/>
      <c r="D23" s="192"/>
      <c r="E23" s="5" t="s">
        <v>566</v>
      </c>
      <c r="F23" s="5" t="s">
        <v>567</v>
      </c>
      <c r="G23" s="5" t="s">
        <v>241</v>
      </c>
      <c r="H23" s="5" t="s">
        <v>653</v>
      </c>
      <c r="I23" s="5" t="s">
        <v>654</v>
      </c>
      <c r="J23" s="5" t="s">
        <v>241</v>
      </c>
      <c r="K23" s="5" t="s">
        <v>716</v>
      </c>
      <c r="L23" s="5" t="s">
        <v>567</v>
      </c>
      <c r="M23" s="5" t="s">
        <v>241</v>
      </c>
    </row>
    <row r="24" spans="1:13" ht="53.25" customHeight="1">
      <c r="A24" s="64" t="s">
        <v>32</v>
      </c>
      <c r="B24" s="109"/>
      <c r="C24" s="136"/>
      <c r="D24" s="192"/>
      <c r="E24" s="5" t="s">
        <v>592</v>
      </c>
      <c r="F24" s="5" t="s">
        <v>567</v>
      </c>
      <c r="G24" s="5" t="s">
        <v>241</v>
      </c>
      <c r="H24" s="5" t="s">
        <v>661</v>
      </c>
      <c r="I24" s="5" t="s">
        <v>662</v>
      </c>
      <c r="J24" s="5" t="s">
        <v>241</v>
      </c>
      <c r="K24" s="5" t="s">
        <v>722</v>
      </c>
      <c r="L24" s="5" t="s">
        <v>723</v>
      </c>
      <c r="M24" s="5" t="s">
        <v>241</v>
      </c>
    </row>
    <row r="25" spans="1:13" ht="53.25" customHeight="1">
      <c r="A25" s="139" t="s">
        <v>33</v>
      </c>
      <c r="B25" s="109"/>
      <c r="C25" s="136"/>
      <c r="D25" s="192"/>
      <c r="E25" s="5" t="s">
        <v>593</v>
      </c>
      <c r="F25" s="5" t="s">
        <v>594</v>
      </c>
      <c r="G25" s="5" t="s">
        <v>241</v>
      </c>
      <c r="H25" s="5" t="s">
        <v>663</v>
      </c>
      <c r="I25" s="5" t="s">
        <v>664</v>
      </c>
      <c r="J25" s="5" t="s">
        <v>241</v>
      </c>
      <c r="K25" s="5" t="s">
        <v>724</v>
      </c>
      <c r="L25" s="5" t="s">
        <v>567</v>
      </c>
      <c r="M25" s="5" t="s">
        <v>241</v>
      </c>
    </row>
    <row r="26" spans="1:13" ht="53.25" customHeight="1">
      <c r="A26" s="139" t="s">
        <v>287</v>
      </c>
      <c r="B26" s="109"/>
      <c r="C26" s="136"/>
      <c r="D26" s="192"/>
      <c r="E26" s="5" t="s">
        <v>613</v>
      </c>
      <c r="F26" s="5" t="s">
        <v>614</v>
      </c>
      <c r="G26" s="5" t="s">
        <v>241</v>
      </c>
      <c r="H26" s="5" t="s">
        <v>683</v>
      </c>
      <c r="I26" s="5" t="s">
        <v>684</v>
      </c>
      <c r="J26" s="5" t="s">
        <v>241</v>
      </c>
      <c r="K26" s="5" t="s">
        <v>743</v>
      </c>
      <c r="L26" s="5" t="s">
        <v>744</v>
      </c>
      <c r="M26" s="5" t="s">
        <v>241</v>
      </c>
    </row>
    <row r="27" spans="1:13" ht="53.25" customHeight="1">
      <c r="A27" s="139" t="s">
        <v>658</v>
      </c>
      <c r="B27" s="109"/>
      <c r="C27" s="136"/>
      <c r="D27" s="192"/>
      <c r="E27" s="5"/>
      <c r="F27" s="5"/>
      <c r="G27" s="5"/>
      <c r="H27" s="5" t="s">
        <v>659</v>
      </c>
      <c r="I27" s="5" t="s">
        <v>660</v>
      </c>
      <c r="J27" s="5" t="s">
        <v>241</v>
      </c>
      <c r="K27" s="5" t="s">
        <v>566</v>
      </c>
      <c r="L27" s="5" t="s">
        <v>721</v>
      </c>
      <c r="M27" s="5" t="s">
        <v>241</v>
      </c>
    </row>
    <row r="28" spans="1:13" ht="53.25" customHeight="1">
      <c r="A28" s="139" t="s">
        <v>31</v>
      </c>
      <c r="B28" s="5"/>
      <c r="C28" s="135"/>
      <c r="D28" s="192"/>
      <c r="E28" s="5" t="s">
        <v>589</v>
      </c>
      <c r="F28" s="5" t="s">
        <v>567</v>
      </c>
      <c r="G28" s="5" t="s">
        <v>241</v>
      </c>
      <c r="H28" s="5" t="s">
        <v>655</v>
      </c>
      <c r="I28" s="5" t="s">
        <v>640</v>
      </c>
      <c r="J28" s="5" t="s">
        <v>241</v>
      </c>
      <c r="K28" s="5" t="s">
        <v>717</v>
      </c>
      <c r="L28" s="5" t="s">
        <v>718</v>
      </c>
      <c r="M28" s="5" t="s">
        <v>241</v>
      </c>
    </row>
    <row r="29" spans="1:13" ht="53.25" customHeight="1">
      <c r="A29" s="139" t="s">
        <v>69</v>
      </c>
      <c r="B29" s="109"/>
      <c r="C29" s="136"/>
      <c r="D29" s="192"/>
      <c r="E29" s="5" t="s">
        <v>587</v>
      </c>
      <c r="F29" s="5" t="s">
        <v>588</v>
      </c>
      <c r="G29" s="5" t="s">
        <v>241</v>
      </c>
      <c r="H29" s="5" t="s">
        <v>652</v>
      </c>
      <c r="I29" s="5" t="s">
        <v>572</v>
      </c>
      <c r="J29" s="5" t="s">
        <v>241</v>
      </c>
      <c r="K29" s="5" t="s">
        <v>714</v>
      </c>
      <c r="L29" s="5" t="s">
        <v>715</v>
      </c>
      <c r="M29" s="5" t="s">
        <v>241</v>
      </c>
    </row>
    <row r="30" spans="1:13" ht="53.25" customHeight="1">
      <c r="A30" s="140" t="s">
        <v>117</v>
      </c>
      <c r="B30" s="109"/>
      <c r="C30" s="136"/>
      <c r="D30" s="192"/>
      <c r="E30" s="5" t="s">
        <v>617</v>
      </c>
      <c r="F30" s="5" t="s">
        <v>618</v>
      </c>
      <c r="G30" s="5" t="s">
        <v>241</v>
      </c>
      <c r="H30" s="5" t="s">
        <v>687</v>
      </c>
      <c r="I30" s="5" t="s">
        <v>688</v>
      </c>
      <c r="J30" s="5" t="s">
        <v>241</v>
      </c>
      <c r="K30" s="5" t="s">
        <v>747</v>
      </c>
      <c r="L30" s="5" t="s">
        <v>748</v>
      </c>
      <c r="M30" s="5" t="s">
        <v>241</v>
      </c>
    </row>
    <row r="31" spans="1:13" ht="53.25" customHeight="1">
      <c r="A31" s="160" t="s">
        <v>34</v>
      </c>
      <c r="B31" s="109"/>
      <c r="C31" s="136"/>
      <c r="D31" s="192"/>
      <c r="E31" s="5" t="s">
        <v>597</v>
      </c>
      <c r="F31" s="5" t="s">
        <v>598</v>
      </c>
      <c r="G31" s="5" t="s">
        <v>184</v>
      </c>
      <c r="H31" s="5" t="s">
        <v>667</v>
      </c>
      <c r="I31" s="5" t="s">
        <v>668</v>
      </c>
      <c r="J31" s="5" t="s">
        <v>241</v>
      </c>
      <c r="K31" s="5" t="s">
        <v>727</v>
      </c>
      <c r="L31" s="5" t="s">
        <v>728</v>
      </c>
      <c r="M31" s="5" t="s">
        <v>241</v>
      </c>
    </row>
    <row r="32" spans="1:13" ht="53.25" customHeight="1">
      <c r="A32" s="138" t="s">
        <v>23</v>
      </c>
      <c r="B32" s="109"/>
      <c r="C32" s="136"/>
      <c r="D32" s="192"/>
      <c r="E32" s="5" t="s">
        <v>568</v>
      </c>
      <c r="F32" s="5" t="s">
        <v>569</v>
      </c>
      <c r="G32" s="5" t="s">
        <v>500</v>
      </c>
      <c r="H32" s="5" t="s">
        <v>627</v>
      </c>
      <c r="I32" s="5" t="s">
        <v>628</v>
      </c>
      <c r="J32" s="5" t="s">
        <v>241</v>
      </c>
      <c r="K32" s="5" t="s">
        <v>695</v>
      </c>
      <c r="L32" s="5" t="s">
        <v>696</v>
      </c>
      <c r="M32" s="5" t="s">
        <v>500</v>
      </c>
    </row>
    <row r="33" spans="1:13" ht="53.25" customHeight="1">
      <c r="A33" s="138" t="s">
        <v>35</v>
      </c>
      <c r="B33" s="109"/>
      <c r="C33" s="136"/>
      <c r="D33" s="192"/>
      <c r="E33" s="163" t="s">
        <v>599</v>
      </c>
      <c r="F33" s="163" t="s">
        <v>600</v>
      </c>
      <c r="G33" s="5" t="s">
        <v>241</v>
      </c>
      <c r="H33" s="163" t="s">
        <v>669</v>
      </c>
      <c r="I33" s="5" t="s">
        <v>670</v>
      </c>
      <c r="J33" s="5" t="s">
        <v>241</v>
      </c>
      <c r="K33" s="163" t="s">
        <v>729</v>
      </c>
      <c r="L33" s="163" t="s">
        <v>730</v>
      </c>
      <c r="M33" s="5" t="s">
        <v>241</v>
      </c>
    </row>
    <row r="34" spans="1:13" ht="53.25" customHeight="1">
      <c r="A34" s="138" t="s">
        <v>649</v>
      </c>
      <c r="B34" s="109"/>
      <c r="C34" s="136"/>
      <c r="D34" s="192"/>
      <c r="E34" s="163"/>
      <c r="F34" s="163"/>
      <c r="G34" s="5"/>
      <c r="H34" s="163" t="s">
        <v>650</v>
      </c>
      <c r="I34" s="5" t="s">
        <v>651</v>
      </c>
      <c r="J34" s="5" t="s">
        <v>241</v>
      </c>
      <c r="K34" s="5" t="s">
        <v>566</v>
      </c>
      <c r="L34" s="5" t="s">
        <v>567</v>
      </c>
      <c r="M34" s="5" t="s">
        <v>241</v>
      </c>
    </row>
    <row r="35" spans="1:13" ht="53.25" customHeight="1">
      <c r="A35" s="139" t="s">
        <v>38</v>
      </c>
      <c r="B35" s="109"/>
      <c r="C35" s="136"/>
      <c r="D35" s="192"/>
      <c r="E35" s="5" t="s">
        <v>612</v>
      </c>
      <c r="F35" s="5" t="s">
        <v>572</v>
      </c>
      <c r="G35" s="5" t="s">
        <v>241</v>
      </c>
      <c r="H35" s="163" t="s">
        <v>681</v>
      </c>
      <c r="I35" s="5" t="s">
        <v>682</v>
      </c>
      <c r="J35" s="5" t="s">
        <v>241</v>
      </c>
      <c r="K35" s="5" t="s">
        <v>741</v>
      </c>
      <c r="L35" s="5" t="s">
        <v>742</v>
      </c>
      <c r="M35" s="5" t="s">
        <v>184</v>
      </c>
    </row>
    <row r="36" spans="1:13" ht="53.25" customHeight="1">
      <c r="A36" s="139" t="s">
        <v>70</v>
      </c>
      <c r="B36" s="109"/>
      <c r="C36" s="136"/>
      <c r="D36" s="192"/>
      <c r="E36" s="5" t="s">
        <v>573</v>
      </c>
      <c r="F36" s="5" t="s">
        <v>574</v>
      </c>
      <c r="G36" s="5" t="s">
        <v>241</v>
      </c>
      <c r="H36" s="163" t="s">
        <v>635</v>
      </c>
      <c r="I36" s="5" t="s">
        <v>636</v>
      </c>
      <c r="J36" s="5" t="s">
        <v>241</v>
      </c>
      <c r="K36" s="163" t="s">
        <v>701</v>
      </c>
      <c r="L36" s="5" t="s">
        <v>702</v>
      </c>
      <c r="M36" s="5" t="s">
        <v>241</v>
      </c>
    </row>
    <row r="37" spans="1:13" ht="53.25" customHeight="1">
      <c r="A37" s="139" t="s">
        <v>491</v>
      </c>
      <c r="B37" s="109"/>
      <c r="C37" s="136"/>
      <c r="D37" s="192"/>
      <c r="E37" s="5" t="s">
        <v>584</v>
      </c>
      <c r="F37" s="5" t="s">
        <v>585</v>
      </c>
      <c r="G37" s="5" t="s">
        <v>586</v>
      </c>
      <c r="H37" s="5" t="s">
        <v>647</v>
      </c>
      <c r="I37" s="5" t="s">
        <v>648</v>
      </c>
      <c r="J37" s="5" t="s">
        <v>241</v>
      </c>
      <c r="K37" s="5" t="s">
        <v>712</v>
      </c>
      <c r="L37" s="5" t="s">
        <v>713</v>
      </c>
      <c r="M37" s="5" t="s">
        <v>241</v>
      </c>
    </row>
    <row r="38" spans="1:13">
      <c r="A38" s="4"/>
      <c r="B38" s="4"/>
      <c r="C38" s="4"/>
      <c r="D38" s="4"/>
      <c r="E38" s="4"/>
      <c r="F38" s="4"/>
      <c r="H38" s="150"/>
      <c r="I38" s="152"/>
      <c r="J38" s="150"/>
    </row>
    <row r="39" spans="1:13">
      <c r="B39"/>
      <c r="C39"/>
      <c r="D39"/>
      <c r="E39" s="194"/>
      <c r="F39" s="152"/>
      <c r="G39" s="150"/>
      <c r="H39" s="150"/>
      <c r="I39" s="152"/>
      <c r="J39" s="150"/>
      <c r="K39" s="150"/>
      <c r="L39" s="152"/>
      <c r="M39" s="150"/>
    </row>
    <row r="40" spans="1:13">
      <c r="E40" s="193"/>
      <c r="F40" s="150"/>
      <c r="G40" s="150"/>
      <c r="H40" s="154"/>
      <c r="I40" s="151"/>
      <c r="J40" s="150"/>
      <c r="K40" s="154"/>
      <c r="L40" s="150"/>
      <c r="M40" s="150"/>
    </row>
    <row r="41" spans="1:13">
      <c r="E41" s="193"/>
      <c r="F41" s="150"/>
      <c r="G41" s="150"/>
      <c r="H41" s="154"/>
      <c r="I41" s="150"/>
      <c r="J41" s="150"/>
      <c r="K41" s="154"/>
      <c r="L41" s="150"/>
      <c r="M41" s="150"/>
    </row>
    <row r="42" spans="1:13">
      <c r="E42" s="4"/>
      <c r="H42" s="154"/>
      <c r="I42" s="150"/>
      <c r="J42" s="152"/>
    </row>
    <row r="43" spans="1:13">
      <c r="H43" s="154"/>
      <c r="I43" s="150"/>
      <c r="J43" s="1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8"/>
  <sheetViews>
    <sheetView topLeftCell="A58" workbookViewId="0">
      <selection activeCell="G5" sqref="G5:G27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213.98</f>
        <v>213.98</v>
      </c>
      <c r="C2" s="38">
        <f>5.38</f>
        <v>5.38</v>
      </c>
      <c r="D2" s="108">
        <f>B2-C2</f>
        <v>208.6</v>
      </c>
      <c r="E2" s="63"/>
      <c r="F2" s="38"/>
      <c r="G2" s="10">
        <v>31.45</v>
      </c>
    </row>
    <row r="3" spans="1:12" s="14" customFormat="1" ht="13.5" thickBot="1">
      <c r="A3" s="11" t="s">
        <v>28</v>
      </c>
      <c r="B3" s="39">
        <f>282.08+3046.92+282.08</f>
        <v>3611.08</v>
      </c>
      <c r="C3" s="39">
        <f>282.08+2702.12+282.08</f>
        <v>3266.2799999999997</v>
      </c>
      <c r="D3" s="73">
        <f>B3-C3</f>
        <v>344.80000000000018</v>
      </c>
      <c r="E3" s="39"/>
      <c r="F3" s="39"/>
      <c r="G3" s="12">
        <v>69.34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s="14" customFormat="1">
      <c r="A5" s="18" t="s">
        <v>60</v>
      </c>
      <c r="B5" s="40">
        <f>279.5+23</f>
        <v>302.5</v>
      </c>
      <c r="C5" s="51">
        <f>256.1+23</f>
        <v>279.10000000000002</v>
      </c>
      <c r="D5" s="51">
        <f t="shared" ref="D5:D17" si="0">B5-C5</f>
        <v>23.399999999999977</v>
      </c>
      <c r="E5" s="51"/>
      <c r="F5" s="21"/>
      <c r="G5" s="88">
        <v>102.09</v>
      </c>
      <c r="H5" s="13"/>
      <c r="I5" s="13"/>
      <c r="J5" s="13"/>
      <c r="K5" s="13"/>
      <c r="L5" s="13"/>
    </row>
    <row r="6" spans="1:12" s="14" customFormat="1">
      <c r="A6" s="18" t="s">
        <v>100</v>
      </c>
      <c r="B6" s="40">
        <f>350.27+247.44+1491.78+53.3</f>
        <v>2142.79</v>
      </c>
      <c r="C6" s="51">
        <f>333.51+257.14+1499.23+26.3</f>
        <v>2116.1800000000003</v>
      </c>
      <c r="D6" s="51">
        <f>B6-C6</f>
        <v>26.609999999999673</v>
      </c>
      <c r="E6" s="51"/>
      <c r="F6" s="21"/>
      <c r="G6" s="88">
        <v>356.36</v>
      </c>
      <c r="H6" s="13"/>
      <c r="I6" s="13"/>
      <c r="J6" s="13"/>
      <c r="K6" s="13"/>
      <c r="L6" s="13"/>
    </row>
    <row r="7" spans="1:12" s="14" customFormat="1" ht="13.5" customHeight="1">
      <c r="A7" s="20" t="s">
        <v>29</v>
      </c>
      <c r="B7" s="41"/>
      <c r="C7" s="51"/>
      <c r="D7" s="51">
        <f t="shared" si="0"/>
        <v>0</v>
      </c>
      <c r="E7" s="51"/>
      <c r="F7" s="21"/>
      <c r="G7" s="27">
        <v>10.62</v>
      </c>
      <c r="H7" s="13"/>
      <c r="I7" s="13"/>
      <c r="J7" s="13"/>
      <c r="K7" s="13"/>
      <c r="L7" s="13"/>
    </row>
    <row r="8" spans="1:12" s="14" customFormat="1">
      <c r="A8" s="20" t="s">
        <v>92</v>
      </c>
      <c r="B8" s="41"/>
      <c r="C8" s="51"/>
      <c r="D8" s="51">
        <f t="shared" si="0"/>
        <v>0</v>
      </c>
      <c r="E8" s="51"/>
      <c r="F8" s="21"/>
      <c r="G8" s="27">
        <v>2.1800000000000002</v>
      </c>
      <c r="H8" s="13"/>
      <c r="I8" s="13"/>
      <c r="J8" s="13"/>
      <c r="K8" s="13"/>
      <c r="L8" s="13"/>
    </row>
    <row r="9" spans="1:12" s="14" customFormat="1">
      <c r="A9" s="20" t="s">
        <v>37</v>
      </c>
      <c r="B9" s="41"/>
      <c r="C9" s="51"/>
      <c r="D9" s="51">
        <f>B9-C9</f>
        <v>0</v>
      </c>
      <c r="E9" s="51"/>
      <c r="F9" s="21"/>
      <c r="G9" s="27">
        <v>1.93</v>
      </c>
      <c r="H9" s="13"/>
      <c r="I9" s="13"/>
      <c r="J9" s="13"/>
      <c r="K9" s="13"/>
      <c r="L9" s="13"/>
    </row>
    <row r="10" spans="1:12" s="14" customFormat="1">
      <c r="A10" s="20" t="s">
        <v>68</v>
      </c>
      <c r="B10" s="41">
        <f>48.37+193.83+1130.31</f>
        <v>1372.51</v>
      </c>
      <c r="C10" s="51">
        <f>48.37+132.55+1110.84</f>
        <v>1291.76</v>
      </c>
      <c r="D10" s="51">
        <f t="shared" si="0"/>
        <v>80.75</v>
      </c>
      <c r="E10" s="51"/>
      <c r="F10" s="21"/>
      <c r="G10" s="27">
        <v>510.36</v>
      </c>
      <c r="H10" s="13"/>
      <c r="I10" s="13"/>
      <c r="J10" s="13"/>
      <c r="K10" s="13"/>
      <c r="L10" s="13"/>
    </row>
    <row r="11" spans="1:12" s="14" customFormat="1">
      <c r="A11" s="20" t="s">
        <v>122</v>
      </c>
      <c r="B11" s="41"/>
      <c r="C11" s="51"/>
      <c r="D11" s="51">
        <f t="shared" si="0"/>
        <v>0</v>
      </c>
      <c r="E11" s="51"/>
      <c r="F11" s="21"/>
      <c r="G11" s="27">
        <v>2.0099999999999998</v>
      </c>
      <c r="H11" s="13"/>
      <c r="I11" s="13"/>
      <c r="J11" s="13"/>
      <c r="K11" s="13"/>
      <c r="L11" s="13"/>
    </row>
    <row r="12" spans="1:12" s="14" customFormat="1">
      <c r="A12" s="20" t="s">
        <v>30</v>
      </c>
      <c r="B12" s="41"/>
      <c r="C12" s="51"/>
      <c r="D12" s="51">
        <f t="shared" si="0"/>
        <v>0</v>
      </c>
      <c r="E12" s="51"/>
      <c r="F12" s="21"/>
      <c r="G12" s="27">
        <v>0</v>
      </c>
      <c r="H12" s="13"/>
      <c r="I12" s="13"/>
      <c r="J12" s="13"/>
      <c r="K12" s="13"/>
      <c r="L12" s="13"/>
    </row>
    <row r="13" spans="1:12" s="14" customFormat="1">
      <c r="A13" s="20" t="s">
        <v>115</v>
      </c>
      <c r="B13" s="41"/>
      <c r="C13" s="51"/>
      <c r="D13" s="51">
        <f t="shared" si="0"/>
        <v>0</v>
      </c>
      <c r="E13" s="51"/>
      <c r="F13" s="21"/>
      <c r="G13" s="27">
        <v>0</v>
      </c>
      <c r="H13" s="13"/>
      <c r="I13" s="13"/>
      <c r="J13" s="13"/>
      <c r="K13" s="13"/>
      <c r="L13" s="13"/>
    </row>
    <row r="14" spans="1:12" s="14" customFormat="1">
      <c r="A14" s="20" t="s">
        <v>123</v>
      </c>
      <c r="B14" s="41">
        <f>68.62+29.55</f>
        <v>98.17</v>
      </c>
      <c r="C14" s="51">
        <f>68.62</f>
        <v>68.62</v>
      </c>
      <c r="D14" s="51">
        <f t="shared" si="0"/>
        <v>29.549999999999997</v>
      </c>
      <c r="E14" s="51"/>
      <c r="F14" s="21"/>
      <c r="G14" s="27">
        <v>263.27</v>
      </c>
      <c r="H14" s="13"/>
      <c r="I14" s="13"/>
      <c r="J14" s="13"/>
      <c r="K14" s="13"/>
      <c r="L14" s="13"/>
    </row>
    <row r="15" spans="1:12" s="14" customFormat="1">
      <c r="A15" s="20" t="s">
        <v>78</v>
      </c>
      <c r="B15" s="41"/>
      <c r="C15" s="51"/>
      <c r="D15" s="51">
        <f t="shared" si="0"/>
        <v>0</v>
      </c>
      <c r="E15" s="51"/>
      <c r="F15" s="21"/>
      <c r="G15" s="27">
        <v>0.86</v>
      </c>
      <c r="H15" s="13"/>
      <c r="I15" s="13"/>
      <c r="J15" s="13"/>
      <c r="K15" s="13"/>
      <c r="L15" s="13"/>
    </row>
    <row r="16" spans="1:12" s="14" customFormat="1">
      <c r="A16" s="20" t="s">
        <v>93</v>
      </c>
      <c r="B16" s="41"/>
      <c r="C16" s="51"/>
      <c r="D16" s="51">
        <f t="shared" si="0"/>
        <v>0</v>
      </c>
      <c r="E16" s="51"/>
      <c r="F16" s="22"/>
      <c r="G16" s="27">
        <v>11.22</v>
      </c>
      <c r="H16" s="13"/>
      <c r="I16" s="13"/>
      <c r="J16" s="13"/>
      <c r="K16" s="13"/>
      <c r="L16" s="13"/>
    </row>
    <row r="17" spans="1:12" s="14" customFormat="1">
      <c r="A17" s="18" t="s">
        <v>24</v>
      </c>
      <c r="B17" s="40"/>
      <c r="C17" s="51"/>
      <c r="D17" s="51">
        <f t="shared" si="0"/>
        <v>0</v>
      </c>
      <c r="E17" s="51"/>
      <c r="F17" s="22"/>
      <c r="G17" s="89">
        <v>5.82</v>
      </c>
      <c r="H17" s="13"/>
      <c r="I17" s="13"/>
      <c r="J17" s="13"/>
      <c r="K17" s="13"/>
      <c r="L17" s="13"/>
    </row>
    <row r="18" spans="1:12" s="14" customFormat="1">
      <c r="A18" s="18" t="s">
        <v>25</v>
      </c>
      <c r="B18" s="40">
        <f>400</f>
        <v>400</v>
      </c>
      <c r="C18" s="51">
        <f>400</f>
        <v>400</v>
      </c>
      <c r="D18" s="51">
        <f>B18-C18</f>
        <v>0</v>
      </c>
      <c r="E18" s="51"/>
      <c r="F18" s="22"/>
      <c r="G18" s="89">
        <v>103.52</v>
      </c>
      <c r="H18" s="13"/>
      <c r="I18" s="13"/>
      <c r="J18" s="13"/>
      <c r="K18" s="13"/>
      <c r="L18" s="13"/>
    </row>
    <row r="19" spans="1:12" s="14" customFormat="1">
      <c r="A19" s="18" t="s">
        <v>59</v>
      </c>
      <c r="B19" s="40"/>
      <c r="C19" s="51"/>
      <c r="D19" s="51">
        <f t="shared" ref="D19:D28" si="1">B19-C19</f>
        <v>0</v>
      </c>
      <c r="E19" s="51"/>
      <c r="F19" s="19"/>
      <c r="G19" s="89">
        <v>6.56</v>
      </c>
      <c r="H19" s="13"/>
      <c r="I19" s="13"/>
      <c r="J19" s="13"/>
      <c r="K19" s="13"/>
      <c r="L19" s="13"/>
    </row>
    <row r="20" spans="1:12" s="14" customFormat="1">
      <c r="A20" s="18" t="s">
        <v>105</v>
      </c>
      <c r="B20" s="40"/>
      <c r="C20" s="51"/>
      <c r="D20" s="51">
        <f t="shared" si="1"/>
        <v>0</v>
      </c>
      <c r="E20" s="51"/>
      <c r="F20" s="19"/>
      <c r="G20" s="89">
        <v>0</v>
      </c>
      <c r="H20" s="13"/>
      <c r="I20" s="13"/>
      <c r="J20" s="13"/>
      <c r="K20" s="13"/>
      <c r="L20" s="13"/>
    </row>
    <row r="21" spans="1:12" s="14" customFormat="1">
      <c r="A21" s="18" t="s">
        <v>32</v>
      </c>
      <c r="B21" s="40"/>
      <c r="C21" s="51"/>
      <c r="D21" s="51">
        <f t="shared" si="1"/>
        <v>0</v>
      </c>
      <c r="E21" s="51"/>
      <c r="F21" s="21"/>
      <c r="G21" s="88">
        <v>2.6</v>
      </c>
      <c r="H21" s="13"/>
      <c r="I21" s="13"/>
      <c r="J21" s="13"/>
      <c r="K21" s="13"/>
      <c r="L21" s="13"/>
    </row>
    <row r="22" spans="1:12" s="14" customFormat="1">
      <c r="A22" s="20" t="s">
        <v>33</v>
      </c>
      <c r="B22" s="41">
        <f>358.15</f>
        <v>358.15</v>
      </c>
      <c r="C22" s="51">
        <f>358.15</f>
        <v>358.15</v>
      </c>
      <c r="D22" s="51">
        <f t="shared" si="1"/>
        <v>0</v>
      </c>
      <c r="E22" s="51"/>
      <c r="F22" s="21"/>
      <c r="G22" s="27">
        <v>420.57</v>
      </c>
      <c r="H22" s="13"/>
      <c r="I22" s="13"/>
      <c r="J22" s="13"/>
      <c r="K22" s="13"/>
      <c r="L22" s="13"/>
    </row>
    <row r="23" spans="1:12" s="14" customFormat="1">
      <c r="A23" s="20" t="s">
        <v>118</v>
      </c>
      <c r="B23" s="41"/>
      <c r="C23" s="51"/>
      <c r="D23" s="51">
        <f t="shared" si="1"/>
        <v>0</v>
      </c>
      <c r="E23" s="51"/>
      <c r="F23" s="21"/>
      <c r="G23" s="27">
        <v>0</v>
      </c>
      <c r="H23" s="13"/>
      <c r="I23" s="13"/>
      <c r="J23" s="13"/>
      <c r="K23" s="13"/>
      <c r="L23" s="13"/>
    </row>
    <row r="24" spans="1:12" s="14" customFormat="1">
      <c r="A24" s="20" t="s">
        <v>31</v>
      </c>
      <c r="B24" s="41">
        <f>516.26</f>
        <v>516.26</v>
      </c>
      <c r="C24" s="51">
        <f>97.76</f>
        <v>97.76</v>
      </c>
      <c r="D24" s="51">
        <f>B24-C24</f>
        <v>418.5</v>
      </c>
      <c r="E24" s="51"/>
      <c r="F24" s="21"/>
      <c r="G24" s="27">
        <v>8.5299999999999994</v>
      </c>
      <c r="H24" s="13"/>
      <c r="I24" s="13"/>
      <c r="J24" s="13"/>
      <c r="K24" s="13"/>
      <c r="L24" s="13"/>
    </row>
    <row r="25" spans="1:12" s="14" customFormat="1" ht="12.75" customHeight="1">
      <c r="A25" s="20" t="s">
        <v>69</v>
      </c>
      <c r="B25" s="54">
        <f>569.47+7.23+145.48</f>
        <v>722.18000000000006</v>
      </c>
      <c r="C25" s="22">
        <v>0</v>
      </c>
      <c r="D25" s="52">
        <f>B25-C25</f>
        <v>722.18000000000006</v>
      </c>
      <c r="E25" s="51"/>
      <c r="F25" s="21"/>
      <c r="G25" s="27">
        <v>1032.1300000000001</v>
      </c>
      <c r="H25" s="23"/>
      <c r="I25" s="13"/>
      <c r="J25" s="13"/>
      <c r="K25" s="13"/>
      <c r="L25" s="13"/>
    </row>
    <row r="26" spans="1:12" s="14" customFormat="1" ht="12.75" customHeight="1">
      <c r="A26" s="81" t="s">
        <v>117</v>
      </c>
      <c r="B26" s="54"/>
      <c r="C26" s="22"/>
      <c r="D26" s="51">
        <f>B26-C26</f>
        <v>0</v>
      </c>
      <c r="E26" s="51"/>
      <c r="F26" s="21"/>
      <c r="G26" s="90">
        <v>0.98</v>
      </c>
      <c r="H26" s="23"/>
      <c r="I26" s="13"/>
      <c r="J26" s="13"/>
      <c r="K26" s="13"/>
      <c r="L26" s="13"/>
    </row>
    <row r="27" spans="1:12" s="14" customFormat="1" ht="12.75" customHeight="1">
      <c r="A27" s="81" t="s">
        <v>34</v>
      </c>
      <c r="B27" s="54"/>
      <c r="C27" s="22"/>
      <c r="D27" s="51">
        <f>B27-C27</f>
        <v>0</v>
      </c>
      <c r="E27" s="51"/>
      <c r="F27" s="21"/>
      <c r="G27" s="90">
        <v>25.63</v>
      </c>
      <c r="H27" s="23"/>
      <c r="I27" s="13"/>
      <c r="J27" s="13"/>
      <c r="K27" s="13"/>
      <c r="L27" s="13"/>
    </row>
    <row r="28" spans="1:12" s="14" customFormat="1" ht="13.5" thickBot="1">
      <c r="A28" s="24" t="s">
        <v>120</v>
      </c>
      <c r="B28" s="132">
        <f>309.28+123+270.65+611.14+35.94</f>
        <v>1350.01</v>
      </c>
      <c r="C28" s="132">
        <f>180.93+123+270.65+500.02+35.94</f>
        <v>1110.54</v>
      </c>
      <c r="D28" s="133">
        <f t="shared" si="1"/>
        <v>239.47000000000003</v>
      </c>
      <c r="E28" s="42"/>
      <c r="F28" s="42"/>
      <c r="G28" s="91"/>
      <c r="H28" s="13"/>
      <c r="I28" s="13"/>
      <c r="J28" s="13"/>
      <c r="K28" s="13"/>
      <c r="L28" s="13"/>
    </row>
    <row r="29" spans="1:12" s="14" customFormat="1" ht="30.75" thickBot="1">
      <c r="A29" s="25" t="s">
        <v>10</v>
      </c>
      <c r="B29" s="37" t="s">
        <v>19</v>
      </c>
      <c r="C29" s="48" t="s">
        <v>12</v>
      </c>
      <c r="D29" s="44" t="s">
        <v>11</v>
      </c>
      <c r="E29" s="37" t="s">
        <v>21</v>
      </c>
      <c r="F29" s="37" t="s">
        <v>20</v>
      </c>
      <c r="G29" s="70" t="s">
        <v>58</v>
      </c>
      <c r="H29" s="65"/>
    </row>
    <row r="30" spans="1:12" s="14" customFormat="1" ht="15.75" thickBot="1">
      <c r="A30" s="9" t="s">
        <v>23</v>
      </c>
      <c r="B30" s="38">
        <f>33</f>
        <v>33</v>
      </c>
      <c r="C30" s="47">
        <v>0</v>
      </c>
      <c r="D30" s="46">
        <f>B30-C30</f>
        <v>33</v>
      </c>
      <c r="E30" s="61"/>
      <c r="F30" s="62"/>
      <c r="G30" s="26">
        <v>41.6</v>
      </c>
      <c r="H30" s="13"/>
      <c r="I30" s="13"/>
      <c r="J30" s="13"/>
      <c r="K30" s="13"/>
      <c r="L30" s="13"/>
    </row>
    <row r="31" spans="1:12" s="14" customFormat="1" ht="30.75" thickBot="1">
      <c r="A31" s="25" t="s">
        <v>22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">
      <c r="A32" s="9" t="s">
        <v>35</v>
      </c>
      <c r="B32" s="38">
        <f>1798.03+513.05</f>
        <v>2311.08</v>
      </c>
      <c r="C32" s="50">
        <f>41.86+1750.49+474</f>
        <v>2266.35</v>
      </c>
      <c r="D32" s="49">
        <f>B32-C32</f>
        <v>44.730000000000018</v>
      </c>
      <c r="E32" s="82"/>
      <c r="F32" s="60"/>
      <c r="G32" s="76">
        <v>373.95</v>
      </c>
      <c r="H32" s="13"/>
      <c r="I32" s="13"/>
      <c r="J32" s="13"/>
      <c r="K32" s="13"/>
      <c r="L32" s="13"/>
    </row>
    <row r="33" spans="1:12" s="14" customFormat="1" ht="17.25" customHeight="1">
      <c r="A33" s="20" t="s">
        <v>38</v>
      </c>
      <c r="B33" s="41">
        <f>645.09+202.34+263.64+9.68</f>
        <v>1120.7500000000002</v>
      </c>
      <c r="C33" s="53">
        <f>650.93+89.4+263.64+9.68</f>
        <v>1013.6499999999999</v>
      </c>
      <c r="D33" s="22">
        <f>B33-C33</f>
        <v>107.10000000000036</v>
      </c>
      <c r="E33" s="54"/>
      <c r="F33" s="41"/>
      <c r="G33" s="27">
        <v>389.99</v>
      </c>
      <c r="H33" s="13"/>
      <c r="I33" s="13"/>
      <c r="J33" s="13"/>
      <c r="K33" s="13"/>
      <c r="L33" s="13"/>
    </row>
    <row r="34" spans="1:12" s="14" customFormat="1" ht="12.75" customHeight="1">
      <c r="A34" s="124" t="s">
        <v>70</v>
      </c>
      <c r="B34" s="41">
        <f>700.74+561.31+855.3+261.38</f>
        <v>2378.73</v>
      </c>
      <c r="C34" s="51">
        <f>763.82+561.31+623.3+271.02</f>
        <v>2219.4499999999998</v>
      </c>
      <c r="D34" s="22">
        <f>B34-C34</f>
        <v>159.2800000000002</v>
      </c>
      <c r="E34" s="54"/>
      <c r="F34" s="41"/>
      <c r="G34" s="27">
        <v>526.64</v>
      </c>
      <c r="H34" s="13"/>
      <c r="I34" s="13"/>
      <c r="J34" s="13"/>
      <c r="K34" s="13"/>
      <c r="L34" s="13"/>
    </row>
    <row r="35" spans="1:12" s="14" customFormat="1">
      <c r="A35" s="81" t="s">
        <v>119</v>
      </c>
      <c r="B35" s="132">
        <f>826.46+868.72+293.48+76.04+169.77</f>
        <v>2234.4700000000003</v>
      </c>
      <c r="C35" s="132">
        <f>448.67+596.83+293.48+76.04+169.77</f>
        <v>1584.79</v>
      </c>
      <c r="D35" s="133">
        <f>B35-C35</f>
        <v>649.68000000000029</v>
      </c>
      <c r="E35" s="111"/>
      <c r="F35" s="57"/>
      <c r="G35" s="112"/>
      <c r="K35" s="13"/>
      <c r="L35" s="13"/>
    </row>
    <row r="36" spans="1:12" s="14" customFormat="1" ht="13.5" thickBot="1">
      <c r="A36" s="24" t="s">
        <v>99</v>
      </c>
      <c r="B36" s="126">
        <f>9023.66+2669.58+753.52</f>
        <v>12446.76</v>
      </c>
      <c r="C36" s="113">
        <f>0</f>
        <v>0</v>
      </c>
      <c r="D36" s="126">
        <f>B36</f>
        <v>12446.76</v>
      </c>
      <c r="E36" s="71"/>
      <c r="F36" s="72"/>
      <c r="G36" s="74"/>
      <c r="K36" s="13"/>
      <c r="L36" s="13"/>
    </row>
    <row r="37" spans="1:12" ht="19.5" customHeight="1" thickBot="1">
      <c r="A37" s="25" t="s">
        <v>50</v>
      </c>
      <c r="B37" s="75" t="s">
        <v>65</v>
      </c>
      <c r="C37" s="68"/>
      <c r="D37" s="68"/>
      <c r="E37" s="68"/>
      <c r="F37" s="68"/>
      <c r="G37" s="68"/>
      <c r="H37" s="13"/>
      <c r="I37" s="13"/>
      <c r="J37" s="13"/>
      <c r="K37" s="13"/>
      <c r="L37" s="13"/>
    </row>
    <row r="38" spans="1:12" ht="30" customHeight="1">
      <c r="A38" s="101" t="s">
        <v>138</v>
      </c>
      <c r="B38" s="79">
        <v>0</v>
      </c>
      <c r="C38" s="68"/>
      <c r="D38" s="68"/>
      <c r="E38" s="68"/>
      <c r="F38" s="68"/>
      <c r="G38" s="68"/>
    </row>
    <row r="39" spans="1:12" ht="15">
      <c r="A39" s="29" t="s">
        <v>139</v>
      </c>
      <c r="B39" s="80">
        <v>0</v>
      </c>
      <c r="C39" s="68"/>
      <c r="D39" s="68"/>
      <c r="E39" s="68"/>
      <c r="F39" s="68"/>
      <c r="G39" s="68"/>
    </row>
    <row r="40" spans="1:12" ht="15">
      <c r="A40" s="29" t="s">
        <v>140</v>
      </c>
      <c r="B40" s="80">
        <v>0</v>
      </c>
      <c r="C40" s="68"/>
      <c r="D40" s="68"/>
      <c r="E40" s="68"/>
      <c r="F40" s="68"/>
      <c r="G40" s="68"/>
    </row>
    <row r="41" spans="1:12" ht="15">
      <c r="A41" s="29" t="s">
        <v>141</v>
      </c>
      <c r="B41" s="80">
        <v>0</v>
      </c>
      <c r="C41" s="68"/>
      <c r="D41" s="68"/>
      <c r="E41" s="68"/>
      <c r="F41" s="68"/>
      <c r="G41" s="68"/>
    </row>
    <row r="42" spans="1:12" ht="15">
      <c r="A42" s="20" t="s">
        <v>142</v>
      </c>
      <c r="B42" s="80">
        <v>0</v>
      </c>
      <c r="C42" s="68"/>
      <c r="D42" s="68"/>
      <c r="E42" s="68"/>
      <c r="F42" s="68"/>
      <c r="G42" s="68"/>
    </row>
    <row r="43" spans="1:12" ht="25.5">
      <c r="A43" s="64" t="s">
        <v>143</v>
      </c>
      <c r="B43" s="80">
        <v>0</v>
      </c>
      <c r="C43" s="68"/>
      <c r="D43" s="68"/>
      <c r="E43" s="68"/>
      <c r="F43" s="68"/>
      <c r="G43" s="68"/>
    </row>
    <row r="44" spans="1:12" ht="25.5">
      <c r="A44" s="64" t="s">
        <v>144</v>
      </c>
      <c r="B44" s="80">
        <v>0</v>
      </c>
      <c r="C44" s="68"/>
      <c r="D44" s="68"/>
      <c r="E44" s="68"/>
      <c r="F44" s="68"/>
      <c r="G44" s="68"/>
    </row>
    <row r="45" spans="1:12" ht="25.5">
      <c r="A45" s="64" t="s">
        <v>145</v>
      </c>
      <c r="B45" s="80">
        <v>0</v>
      </c>
      <c r="C45" s="68"/>
      <c r="D45" s="68"/>
      <c r="E45" s="68"/>
      <c r="F45" s="68"/>
      <c r="G45" s="68"/>
    </row>
    <row r="46" spans="1:12" ht="15">
      <c r="A46" s="18" t="s">
        <v>125</v>
      </c>
      <c r="B46" s="80">
        <v>0</v>
      </c>
      <c r="C46" s="68"/>
      <c r="D46" s="68"/>
      <c r="E46" s="68"/>
      <c r="F46" s="68"/>
      <c r="G46" s="68"/>
    </row>
    <row r="47" spans="1:12" ht="14.25" customHeight="1">
      <c r="A47" s="29" t="s">
        <v>126</v>
      </c>
      <c r="B47" s="80">
        <v>0</v>
      </c>
      <c r="C47" s="68"/>
      <c r="D47" s="68"/>
      <c r="E47" s="68"/>
      <c r="F47" s="68"/>
      <c r="G47" s="68"/>
    </row>
    <row r="48" spans="1:12" ht="26.25" customHeight="1">
      <c r="A48" s="29" t="s">
        <v>127</v>
      </c>
      <c r="B48" s="80">
        <v>0</v>
      </c>
      <c r="C48" s="68"/>
      <c r="D48" s="68"/>
      <c r="E48" s="68"/>
      <c r="F48" s="68"/>
      <c r="G48" s="68"/>
    </row>
    <row r="49" spans="1:12" ht="33" customHeight="1">
      <c r="A49" s="29" t="s">
        <v>128</v>
      </c>
      <c r="B49" s="80">
        <v>0</v>
      </c>
      <c r="C49" s="68"/>
      <c r="D49" s="68"/>
      <c r="E49" s="68"/>
      <c r="F49" s="68"/>
      <c r="G49" s="68"/>
      <c r="J49" s="13"/>
      <c r="K49" s="13"/>
      <c r="L49" s="13"/>
    </row>
    <row r="50" spans="1:12" ht="32.25" customHeight="1">
      <c r="A50" s="29" t="s">
        <v>129</v>
      </c>
      <c r="B50" s="80">
        <v>0</v>
      </c>
      <c r="C50" s="68"/>
      <c r="D50" s="68"/>
      <c r="E50" s="68"/>
      <c r="F50" s="68"/>
      <c r="G50" s="68"/>
    </row>
    <row r="51" spans="1:12" ht="31.5" customHeight="1">
      <c r="A51" s="29" t="s">
        <v>134</v>
      </c>
      <c r="B51" s="80">
        <v>0</v>
      </c>
      <c r="C51" s="68"/>
      <c r="D51" s="68"/>
      <c r="E51" s="68"/>
      <c r="F51" s="68"/>
      <c r="G51" s="68"/>
    </row>
    <row r="52" spans="1:12" s="14" customFormat="1" ht="15">
      <c r="A52" s="29" t="s">
        <v>135</v>
      </c>
      <c r="B52" s="80">
        <v>0</v>
      </c>
      <c r="C52" s="68"/>
      <c r="D52" s="68"/>
      <c r="E52" s="68"/>
      <c r="F52" s="68"/>
      <c r="G52" s="68"/>
      <c r="H52" s="3"/>
      <c r="I52" s="3"/>
      <c r="J52" s="13"/>
      <c r="K52" s="13"/>
      <c r="L52" s="13"/>
    </row>
    <row r="53" spans="1:12" s="14" customFormat="1" ht="15">
      <c r="A53" s="29" t="s">
        <v>136</v>
      </c>
      <c r="B53" s="80">
        <v>0</v>
      </c>
      <c r="C53" s="68"/>
      <c r="D53" s="68"/>
      <c r="E53" s="68"/>
      <c r="F53" s="68"/>
      <c r="G53" s="68"/>
      <c r="H53" s="3"/>
      <c r="I53" s="3"/>
      <c r="J53" s="13"/>
      <c r="K53" s="13"/>
      <c r="L53" s="13"/>
    </row>
    <row r="54" spans="1:12" s="14" customFormat="1" ht="15">
      <c r="A54" s="29" t="s">
        <v>130</v>
      </c>
      <c r="B54" s="80">
        <v>0</v>
      </c>
      <c r="C54" s="68"/>
      <c r="D54" s="68"/>
      <c r="E54" s="68"/>
      <c r="F54" s="68"/>
      <c r="G54" s="68"/>
      <c r="H54" s="3"/>
      <c r="I54" s="3"/>
      <c r="J54" s="13"/>
      <c r="K54" s="13"/>
      <c r="L54" s="13"/>
    </row>
    <row r="55" spans="1:12" s="14" customFormat="1" ht="15">
      <c r="A55" s="29" t="s">
        <v>131</v>
      </c>
      <c r="B55" s="80">
        <v>0</v>
      </c>
      <c r="C55" s="68"/>
      <c r="D55" s="68"/>
      <c r="E55" s="68"/>
      <c r="F55" s="68"/>
      <c r="G55" s="68"/>
      <c r="H55" s="3"/>
      <c r="I55" s="3"/>
      <c r="J55" s="13"/>
      <c r="K55" s="13"/>
      <c r="L55" s="13"/>
    </row>
    <row r="56" spans="1:12" s="14" customFormat="1" ht="15">
      <c r="A56" s="64" t="s">
        <v>132</v>
      </c>
      <c r="B56" s="80">
        <v>0</v>
      </c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25.5">
      <c r="A57" s="64" t="s">
        <v>133</v>
      </c>
      <c r="B57" s="80">
        <v>0</v>
      </c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ht="15">
      <c r="A58" s="66" t="s">
        <v>146</v>
      </c>
      <c r="B58" s="80">
        <v>0</v>
      </c>
      <c r="C58" s="68"/>
      <c r="D58" s="68"/>
      <c r="E58" s="68"/>
      <c r="F58" s="68"/>
      <c r="G58" s="68"/>
    </row>
    <row r="59" spans="1:12" ht="15">
      <c r="A59" s="81" t="s">
        <v>124</v>
      </c>
      <c r="B59" s="80">
        <v>0</v>
      </c>
      <c r="C59" s="68"/>
      <c r="D59" s="68"/>
      <c r="E59" s="68"/>
      <c r="F59" s="68"/>
      <c r="G59" s="68"/>
    </row>
    <row r="60" spans="1:12" ht="15">
      <c r="A60" s="64" t="s">
        <v>73</v>
      </c>
      <c r="B60" s="80">
        <v>0</v>
      </c>
      <c r="C60" s="68"/>
      <c r="D60" s="68"/>
      <c r="E60" s="68"/>
      <c r="F60" s="68"/>
      <c r="G60" s="68"/>
    </row>
    <row r="61" spans="1:12" ht="15">
      <c r="A61" s="64" t="s">
        <v>74</v>
      </c>
      <c r="B61" s="80">
        <v>0</v>
      </c>
      <c r="C61" s="68"/>
      <c r="D61" s="68"/>
      <c r="E61" s="68"/>
      <c r="F61" s="68"/>
      <c r="G61" s="68"/>
    </row>
    <row r="62" spans="1:12" s="14" customFormat="1" ht="15">
      <c r="A62" s="64" t="s">
        <v>76</v>
      </c>
      <c r="B62" s="80">
        <v>0</v>
      </c>
      <c r="C62" s="68"/>
      <c r="D62" s="68"/>
      <c r="E62" s="68"/>
      <c r="F62" s="68"/>
      <c r="G62" s="68"/>
      <c r="H62" s="13"/>
      <c r="I62" s="13"/>
      <c r="J62" s="3"/>
      <c r="K62" s="3"/>
      <c r="L62" s="3"/>
    </row>
    <row r="63" spans="1:12" ht="15">
      <c r="A63" s="64" t="s">
        <v>75</v>
      </c>
      <c r="B63" s="80">
        <v>0</v>
      </c>
      <c r="C63" s="68"/>
      <c r="D63" s="68"/>
      <c r="E63" s="68"/>
      <c r="F63" s="68"/>
      <c r="G63" s="68"/>
      <c r="H63" s="13"/>
      <c r="I63" s="13"/>
    </row>
    <row r="64" spans="1:12" ht="15">
      <c r="A64" s="64" t="s">
        <v>77</v>
      </c>
      <c r="B64" s="80">
        <v>13.22</v>
      </c>
      <c r="C64" s="68"/>
      <c r="D64" s="68"/>
      <c r="E64" s="68"/>
      <c r="F64" s="68"/>
      <c r="G64" s="68"/>
    </row>
    <row r="65" spans="1:7" ht="15">
      <c r="A65" s="64" t="s">
        <v>83</v>
      </c>
      <c r="B65" s="80">
        <v>17.75</v>
      </c>
      <c r="C65" s="68"/>
      <c r="D65" s="68"/>
      <c r="E65" s="68"/>
      <c r="F65" s="68"/>
      <c r="G65" s="68"/>
    </row>
    <row r="66" spans="1:7" ht="15">
      <c r="A66" s="64" t="s">
        <v>90</v>
      </c>
      <c r="B66" s="80">
        <v>0</v>
      </c>
      <c r="C66" s="68"/>
      <c r="D66" s="68"/>
      <c r="E66" s="68"/>
      <c r="F66" s="68"/>
      <c r="G66" s="68"/>
    </row>
    <row r="67" spans="1:7" ht="15">
      <c r="A67" s="64" t="s">
        <v>91</v>
      </c>
      <c r="B67" s="80">
        <v>0</v>
      </c>
      <c r="C67" s="36"/>
      <c r="D67" s="55"/>
      <c r="E67" s="59"/>
      <c r="F67" s="59"/>
    </row>
    <row r="68" spans="1:7" ht="15">
      <c r="A68" s="64" t="s">
        <v>96</v>
      </c>
      <c r="B68" s="80">
        <v>0</v>
      </c>
      <c r="C68" s="36"/>
      <c r="D68" s="55"/>
      <c r="E68" s="59"/>
      <c r="F68" s="59"/>
    </row>
    <row r="69" spans="1:7" ht="15">
      <c r="A69" s="64" t="s">
        <v>97</v>
      </c>
      <c r="B69" s="80">
        <v>0</v>
      </c>
      <c r="C69" s="36"/>
      <c r="D69" s="55"/>
      <c r="E69" s="59"/>
      <c r="F69" s="59"/>
    </row>
    <row r="70" spans="1:7" ht="15">
      <c r="A70" s="64" t="s">
        <v>98</v>
      </c>
      <c r="B70" s="80">
        <v>0</v>
      </c>
      <c r="C70" s="36"/>
      <c r="D70" s="55"/>
      <c r="E70" s="59"/>
      <c r="F70" s="59"/>
    </row>
    <row r="71" spans="1:7" ht="14.25" customHeight="1">
      <c r="A71" s="64" t="s">
        <v>137</v>
      </c>
      <c r="B71" s="80">
        <v>0</v>
      </c>
      <c r="C71" s="36"/>
      <c r="D71" s="55"/>
      <c r="E71" s="59"/>
      <c r="F71" s="59"/>
    </row>
    <row r="72" spans="1:7" ht="15">
      <c r="A72" s="64" t="s">
        <v>94</v>
      </c>
      <c r="B72" s="80">
        <v>0</v>
      </c>
      <c r="C72" s="36"/>
      <c r="D72" s="55"/>
      <c r="E72" s="59"/>
      <c r="F72" s="59"/>
    </row>
    <row r="73" spans="1:7" ht="15">
      <c r="A73" s="64" t="s">
        <v>95</v>
      </c>
      <c r="B73" s="80">
        <v>0</v>
      </c>
      <c r="C73" s="36"/>
      <c r="D73" s="55"/>
      <c r="E73" s="59"/>
      <c r="F73" s="59"/>
    </row>
    <row r="74" spans="1:7" ht="25.5">
      <c r="A74" s="64" t="s">
        <v>147</v>
      </c>
      <c r="B74" s="80">
        <v>0</v>
      </c>
      <c r="C74" s="36"/>
      <c r="D74" s="55"/>
      <c r="E74" s="59"/>
      <c r="F74" s="59"/>
    </row>
    <row r="75" spans="1:7" ht="25.5">
      <c r="A75" s="64" t="s">
        <v>148</v>
      </c>
      <c r="B75" s="80">
        <v>0</v>
      </c>
      <c r="C75" s="36"/>
      <c r="D75" s="55"/>
      <c r="E75" s="59"/>
      <c r="F75" s="59"/>
    </row>
    <row r="76" spans="1:7" ht="25.5">
      <c r="A76" s="64" t="s">
        <v>149</v>
      </c>
      <c r="B76" s="80">
        <v>0</v>
      </c>
      <c r="C76" s="36"/>
      <c r="D76" s="55"/>
      <c r="E76" s="59"/>
      <c r="F76" s="59"/>
    </row>
    <row r="77" spans="1:7" ht="15">
      <c r="A77" s="64" t="s">
        <v>150</v>
      </c>
      <c r="B77" s="80">
        <v>0</v>
      </c>
      <c r="C77" s="36"/>
      <c r="D77" s="55"/>
      <c r="E77" s="59"/>
      <c r="F77" s="59"/>
    </row>
    <row r="78" spans="1:7" ht="15">
      <c r="A78" s="64" t="s">
        <v>151</v>
      </c>
      <c r="B78" s="80">
        <v>0</v>
      </c>
      <c r="C78" s="36"/>
      <c r="D78" s="55"/>
      <c r="E78" s="59"/>
      <c r="F78" s="59"/>
    </row>
    <row r="79" spans="1:7" ht="15">
      <c r="A79" s="94" t="s">
        <v>82</v>
      </c>
      <c r="B79" s="80">
        <v>0</v>
      </c>
      <c r="C79" s="36"/>
      <c r="D79" s="55"/>
      <c r="E79" s="59"/>
      <c r="F79" s="59"/>
    </row>
    <row r="80" spans="1:7" ht="15">
      <c r="A80" s="94" t="s">
        <v>101</v>
      </c>
      <c r="B80" s="80">
        <v>221.04</v>
      </c>
      <c r="C80" s="36"/>
      <c r="D80" s="55"/>
      <c r="E80" s="59"/>
      <c r="F80" s="59"/>
    </row>
    <row r="81" spans="1:12" ht="15">
      <c r="A81" s="94" t="s">
        <v>102</v>
      </c>
      <c r="B81" s="80">
        <v>0</v>
      </c>
      <c r="C81" s="36"/>
      <c r="D81" s="55"/>
      <c r="E81" s="59"/>
      <c r="F81" s="59"/>
    </row>
    <row r="82" spans="1:12" ht="15">
      <c r="A82" s="94" t="s">
        <v>103</v>
      </c>
      <c r="B82" s="80">
        <v>18.87</v>
      </c>
      <c r="C82" s="36"/>
      <c r="D82" s="55"/>
      <c r="E82" s="59"/>
      <c r="F82" s="59"/>
    </row>
    <row r="83" spans="1:12" ht="15">
      <c r="A83" s="94" t="s">
        <v>104</v>
      </c>
      <c r="B83" s="80">
        <v>0</v>
      </c>
      <c r="C83" s="36"/>
      <c r="D83" s="55"/>
      <c r="E83" s="59"/>
      <c r="F83" s="59"/>
    </row>
    <row r="84" spans="1:12" ht="25.5">
      <c r="A84" s="115" t="s">
        <v>112</v>
      </c>
      <c r="B84" s="80">
        <v>0</v>
      </c>
      <c r="C84" s="36"/>
      <c r="D84" s="55"/>
      <c r="E84" s="59"/>
      <c r="F84" s="59"/>
    </row>
    <row r="85" spans="1:12" ht="26.25" thickBot="1">
      <c r="A85" s="95" t="s">
        <v>111</v>
      </c>
      <c r="B85" s="96">
        <v>8.75</v>
      </c>
      <c r="C85" s="36"/>
      <c r="D85" s="55"/>
      <c r="E85" s="59"/>
      <c r="F85" s="59"/>
    </row>
    <row r="86" spans="1:12" ht="15.75" thickBot="1">
      <c r="A86" s="92"/>
      <c r="B86" s="137"/>
      <c r="C86" s="36"/>
      <c r="D86" s="55"/>
      <c r="E86" s="59"/>
      <c r="F86" s="59"/>
    </row>
    <row r="87" spans="1:12" s="14" customFormat="1" ht="15.75" thickBot="1">
      <c r="A87" s="93" t="s">
        <v>64</v>
      </c>
      <c r="B87" s="78">
        <f>SUM(B2:B36)</f>
        <v>31612.420000000006</v>
      </c>
      <c r="C87" s="69"/>
      <c r="D87" s="58"/>
      <c r="E87" s="68"/>
      <c r="F87" s="68"/>
      <c r="G87" s="58"/>
      <c r="H87" s="13"/>
      <c r="I87" s="13"/>
      <c r="J87" s="13"/>
      <c r="K87" s="13"/>
      <c r="L87" s="13"/>
    </row>
    <row r="88" spans="1:12" s="14" customFormat="1" ht="15.75" thickBot="1">
      <c r="A88" s="67" t="s">
        <v>55</v>
      </c>
      <c r="B88" s="28">
        <f>SUM(G2:G36)</f>
        <v>4300.21</v>
      </c>
      <c r="C88" s="58"/>
      <c r="D88" s="58"/>
      <c r="E88" s="68"/>
      <c r="F88" s="68"/>
      <c r="G88" s="30"/>
      <c r="H88" s="13"/>
      <c r="I88" s="13"/>
      <c r="J88" s="13"/>
      <c r="K88" s="13"/>
      <c r="L88" s="13"/>
    </row>
    <row r="89" spans="1:12" ht="15.75" thickBot="1">
      <c r="A89" s="86" t="s">
        <v>56</v>
      </c>
      <c r="B89" s="78">
        <f>SUM(B38:B85)</f>
        <v>279.63</v>
      </c>
      <c r="C89" s="36"/>
      <c r="D89" s="55"/>
      <c r="E89" s="59"/>
      <c r="F89" s="59"/>
    </row>
    <row r="90" spans="1:12" ht="15.75" thickBot="1">
      <c r="A90" s="77" t="s">
        <v>67</v>
      </c>
      <c r="B90" s="78">
        <f>B87+B88+B89</f>
        <v>36192.26</v>
      </c>
      <c r="C90" s="36"/>
      <c r="D90" s="55"/>
    </row>
    <row r="91" spans="1:12">
      <c r="B91" s="36"/>
      <c r="C91" s="36"/>
      <c r="D91" s="55"/>
    </row>
    <row r="92" spans="1:12">
      <c r="B92" s="36"/>
      <c r="C92" s="36"/>
      <c r="D92" s="55"/>
    </row>
    <row r="93" spans="1:12">
      <c r="B93" s="36"/>
      <c r="C93" s="36"/>
      <c r="D93" s="36"/>
    </row>
    <row r="94" spans="1:12">
      <c r="B94" s="36"/>
      <c r="C94" s="36"/>
      <c r="D94" s="36"/>
    </row>
    <row r="95" spans="1:12">
      <c r="B95" s="36"/>
      <c r="C95" s="36"/>
      <c r="D95" s="36"/>
    </row>
    <row r="96" spans="1:12">
      <c r="B96" s="36"/>
      <c r="C96" s="36"/>
      <c r="D96" s="36"/>
    </row>
    <row r="97" spans="2:4">
      <c r="B97" s="36"/>
      <c r="C97" s="36"/>
      <c r="D97" s="36"/>
    </row>
    <row r="98" spans="2:4">
      <c r="B98" s="36"/>
      <c r="C98" s="36"/>
      <c r="D98" s="36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A40" sqref="A40:XFD40"/>
    </sheetView>
  </sheetViews>
  <sheetFormatPr defaultRowHeight="12.75"/>
  <cols>
    <col min="1" max="1" width="25.85546875" style="3" customWidth="1"/>
    <col min="2" max="2" width="24.5703125" style="36" customWidth="1"/>
    <col min="3" max="3" width="22.42578125" style="3" customWidth="1"/>
    <col min="4" max="4" width="16.140625" style="3" customWidth="1"/>
    <col min="5" max="6" width="9.140625" style="3"/>
    <col min="7" max="7" width="13.28515625" style="3" customWidth="1"/>
    <col min="8" max="16384" width="9.140625" style="3"/>
  </cols>
  <sheetData>
    <row r="1" spans="1:7" ht="30.75" thickBot="1">
      <c r="A1" s="7" t="s">
        <v>7</v>
      </c>
      <c r="B1" s="56" t="s">
        <v>19</v>
      </c>
      <c r="C1" s="35" t="s">
        <v>12</v>
      </c>
      <c r="D1" s="35" t="s">
        <v>11</v>
      </c>
    </row>
    <row r="2" spans="1:7">
      <c r="A2" s="9" t="s">
        <v>2</v>
      </c>
      <c r="B2" s="83">
        <f>Gennaio!B2+Febbraio!B2+Marzo!B2</f>
        <v>3433.73</v>
      </c>
      <c r="C2" s="116">
        <f>Gennaio!C2+Febbraio!C2+Marzo!D2</f>
        <v>2946.86</v>
      </c>
      <c r="D2" s="103">
        <f>Gennaio!D2+Febbraio!D2+Marzo!D2</f>
        <v>690.09</v>
      </c>
    </row>
    <row r="3" spans="1:7" s="14" customFormat="1" ht="13.5" thickBot="1">
      <c r="A3" s="11" t="s">
        <v>3</v>
      </c>
      <c r="B3" s="83">
        <f>Gennaio!B3+Febbraio!B3+Marzo!B3</f>
        <v>6100.55</v>
      </c>
      <c r="C3" s="117">
        <f>Gennaio!C3+Febbraio!C3+Marzo!D3</f>
        <v>2201.17</v>
      </c>
      <c r="D3" s="103">
        <f>Gennaio!D3+Febbraio!D3+Marzo!D3</f>
        <v>977.9000000000002</v>
      </c>
      <c r="E3" s="13"/>
      <c r="F3" s="13"/>
      <c r="G3" s="13"/>
    </row>
    <row r="4" spans="1:7" ht="30.75" thickBot="1">
      <c r="A4" s="15" t="s">
        <v>5</v>
      </c>
      <c r="B4" s="56" t="s">
        <v>19</v>
      </c>
      <c r="C4" s="8" t="s">
        <v>12</v>
      </c>
      <c r="D4" s="119" t="s">
        <v>11</v>
      </c>
    </row>
    <row r="5" spans="1:7" s="14" customFormat="1">
      <c r="A5" s="18" t="s">
        <v>153</v>
      </c>
      <c r="B5" s="142">
        <f>Gennaio!B5+Febbraio!B5+Marzo!B5</f>
        <v>617.1</v>
      </c>
      <c r="C5" s="142">
        <f>Gennaio!C5+Febbraio!C5+Marzo!D5</f>
        <v>348.49</v>
      </c>
      <c r="D5" s="143">
        <f>Gennaio!D5+Febbraio!D5+Marzo!D5</f>
        <v>12.909999999999968</v>
      </c>
      <c r="E5" s="13"/>
      <c r="F5" s="13"/>
      <c r="G5" s="13"/>
    </row>
    <row r="6" spans="1:7" s="14" customFormat="1">
      <c r="A6" s="18" t="s">
        <v>154</v>
      </c>
      <c r="B6" s="144">
        <f>Gennaio!B6+Febbraio!B6+Marzo!B6</f>
        <v>3626.08</v>
      </c>
      <c r="C6" s="144">
        <f>Gennaio!C6+Febbraio!C6+Marzo!D6</f>
        <v>1193.8099999999997</v>
      </c>
      <c r="D6" s="145">
        <f>Gennaio!D6+Febbraio!D6+Marzo!D6</f>
        <v>342.6999999999997</v>
      </c>
      <c r="E6" s="13"/>
      <c r="F6" s="13"/>
      <c r="G6" s="13"/>
    </row>
    <row r="7" spans="1:7" s="14" customFormat="1">
      <c r="A7" s="20" t="s">
        <v>4</v>
      </c>
      <c r="B7" s="118">
        <f>Gennaio!B7+Febbraio!B7+Marzo!B7</f>
        <v>0</v>
      </c>
      <c r="C7" s="118">
        <f>Gennaio!C7+Febbraio!C7+Marzo!D7</f>
        <v>0</v>
      </c>
      <c r="D7" s="103">
        <f>Gennaio!D7+Febbraio!D7+Marzo!D7</f>
        <v>0</v>
      </c>
      <c r="E7" s="13"/>
      <c r="F7" s="13"/>
      <c r="G7" s="13"/>
    </row>
    <row r="8" spans="1:7" s="14" customFormat="1">
      <c r="A8" s="20" t="s">
        <v>155</v>
      </c>
      <c r="B8" s="118">
        <f>Gennaio!B8+Febbraio!B8+Marzo!B8</f>
        <v>0</v>
      </c>
      <c r="C8" s="118">
        <f>Gennaio!C8+Febbraio!C8+Marzo!D8</f>
        <v>0</v>
      </c>
      <c r="D8" s="103">
        <f>Gennaio!D8+Febbraio!D8+Marzo!D8</f>
        <v>0</v>
      </c>
      <c r="E8" s="13"/>
      <c r="F8" s="13"/>
      <c r="G8" s="13"/>
    </row>
    <row r="9" spans="1:7" s="14" customFormat="1">
      <c r="A9" s="20" t="s">
        <v>156</v>
      </c>
      <c r="B9" s="118">
        <f>Gennaio!B9</f>
        <v>0</v>
      </c>
      <c r="C9" s="118">
        <f>Gennaio!C9</f>
        <v>0</v>
      </c>
      <c r="D9" s="103">
        <f>Gennaio!D9</f>
        <v>0</v>
      </c>
      <c r="E9" s="13"/>
      <c r="F9" s="13"/>
      <c r="G9" s="13"/>
    </row>
    <row r="10" spans="1:7" s="14" customFormat="1">
      <c r="A10" s="20" t="s">
        <v>14</v>
      </c>
      <c r="B10" s="118">
        <f>Gennaio!B10+Febbraio!B9+Marzo!B9</f>
        <v>399</v>
      </c>
      <c r="C10" s="118">
        <f>Gennaio!C10+Febbraio!C9+Marzo!C9</f>
        <v>0</v>
      </c>
      <c r="D10" s="146">
        <f>Gennaio!D10+Febbraio!D9+Marzo!D9</f>
        <v>399</v>
      </c>
      <c r="E10" s="13"/>
      <c r="F10" s="13"/>
      <c r="G10" s="13"/>
    </row>
    <row r="11" spans="1:7" s="14" customFormat="1">
      <c r="A11" s="20" t="s">
        <v>87</v>
      </c>
      <c r="B11" s="118">
        <f>Gennaio!B11+Febbraio!B10+Marzo!B10</f>
        <v>3086.76</v>
      </c>
      <c r="C11" s="118">
        <f>Gennaio!C11+Febbraio!C10+Marzo!C10</f>
        <v>2937.12</v>
      </c>
      <c r="D11" s="147">
        <f>Gennaio!D11+Febbraio!D10+Marzo!D10</f>
        <v>149.6400000000001</v>
      </c>
      <c r="E11" s="13"/>
      <c r="F11" s="13"/>
      <c r="G11" s="13"/>
    </row>
    <row r="12" spans="1:7" s="14" customFormat="1">
      <c r="A12" s="20" t="s">
        <v>157</v>
      </c>
      <c r="B12" s="118">
        <f>Gennaio!B12+Febbraio!B11+Marzo!B11</f>
        <v>1000</v>
      </c>
      <c r="C12" s="118">
        <f>Gennaio!C12+Febbraio!C11+Marzo!C11</f>
        <v>0</v>
      </c>
      <c r="D12" s="147">
        <f>Gennaio!D12+Febbraio!D11+Marzo!D11</f>
        <v>1000</v>
      </c>
      <c r="E12" s="13"/>
      <c r="F12" s="13"/>
      <c r="G12" s="13"/>
    </row>
    <row r="13" spans="1:7" s="14" customFormat="1">
      <c r="A13" s="20" t="s">
        <v>79</v>
      </c>
      <c r="B13" s="118">
        <f>Gennaio!B13+Febbraio!B12+Marzo!B12</f>
        <v>294.10000000000002</v>
      </c>
      <c r="C13" s="118">
        <f>Gennaio!C13+Febbraio!C12+Marzo!C12</f>
        <v>0</v>
      </c>
      <c r="D13" s="147">
        <f>Gennaio!D13+Febbraio!D12+Marzo!D12</f>
        <v>294.10000000000002</v>
      </c>
      <c r="E13" s="13"/>
      <c r="F13" s="13"/>
      <c r="G13" s="13"/>
    </row>
    <row r="14" spans="1:7" s="14" customFormat="1">
      <c r="A14" s="20" t="s">
        <v>158</v>
      </c>
      <c r="B14" s="118">
        <f>Gennaio!B14+Febbraio!B13+Marzo!B13</f>
        <v>0</v>
      </c>
      <c r="C14" s="118">
        <f>Gennaio!C14+Febbraio!C13+Marzo!C13</f>
        <v>0</v>
      </c>
      <c r="D14" s="147">
        <f>Gennaio!D14+Febbraio!D13+Marzo!D13</f>
        <v>0</v>
      </c>
      <c r="E14" s="13"/>
      <c r="F14" s="13"/>
      <c r="G14" s="13"/>
    </row>
    <row r="15" spans="1:7" s="14" customFormat="1">
      <c r="A15" s="20" t="s">
        <v>163</v>
      </c>
      <c r="B15" s="83">
        <f>Marzo!B14</f>
        <v>98.17</v>
      </c>
      <c r="C15" s="118">
        <f>Marzo!C14</f>
        <v>68.62</v>
      </c>
      <c r="D15" s="147">
        <f>Marzo!D14</f>
        <v>29.549999999999997</v>
      </c>
      <c r="E15" s="13"/>
      <c r="F15" s="13"/>
      <c r="G15" s="13"/>
    </row>
    <row r="16" spans="1:7" s="14" customFormat="1">
      <c r="A16" s="20" t="s">
        <v>88</v>
      </c>
      <c r="B16" s="83">
        <f>Gennaio!B15+Febbraio!B14+Marzo!B15</f>
        <v>0</v>
      </c>
      <c r="C16" s="118">
        <f>Gennaio!C15+Febbraio!C14+Marzo!C15</f>
        <v>0</v>
      </c>
      <c r="D16" s="103">
        <f>Gennaio!D15+Febbraio!D14+Marzo!D15</f>
        <v>0</v>
      </c>
      <c r="E16" s="13"/>
      <c r="F16" s="13"/>
      <c r="G16" s="13"/>
    </row>
    <row r="17" spans="1:7" s="14" customFormat="1">
      <c r="A17" s="20" t="s">
        <v>159</v>
      </c>
      <c r="B17" s="83">
        <f>Gennaio!B16+Febbraio!B15+Marzo!B16</f>
        <v>0</v>
      </c>
      <c r="C17" s="118">
        <f>Gennaio!C16+Febbraio!C15+Marzo!C16</f>
        <v>0</v>
      </c>
      <c r="D17" s="103">
        <f>Gennaio!D16+Febbraio!D15+Marzo!D16</f>
        <v>0</v>
      </c>
      <c r="E17" s="13"/>
      <c r="F17" s="13"/>
      <c r="G17" s="13"/>
    </row>
    <row r="18" spans="1:7" s="14" customFormat="1">
      <c r="A18" s="18" t="s">
        <v>89</v>
      </c>
      <c r="B18" s="83">
        <f>Gennaio!B17+Febbraio!B16+Marzo!B17</f>
        <v>0</v>
      </c>
      <c r="C18" s="118">
        <f>Gennaio!C17+Febbraio!C16+Marzo!C17</f>
        <v>0</v>
      </c>
      <c r="D18" s="103">
        <f>Gennaio!D17+Febbraio!D16+Marzo!D17</f>
        <v>0</v>
      </c>
      <c r="E18" s="13"/>
      <c r="F18" s="13"/>
      <c r="G18" s="13"/>
    </row>
    <row r="19" spans="1:7" s="14" customFormat="1">
      <c r="A19" s="18" t="s">
        <v>8</v>
      </c>
      <c r="B19" s="83">
        <f>Gennaio!B18+Febbraio!B17+Marzo!B18</f>
        <v>3032.35</v>
      </c>
      <c r="C19" s="118">
        <f>Gennaio!C18+Febbraio!C17+Marzo!C18</f>
        <v>2902.1099999999997</v>
      </c>
      <c r="D19" s="103">
        <f>Gennaio!D18+Febbraio!D17+Marzo!D18</f>
        <v>130.24</v>
      </c>
      <c r="E19" s="13"/>
      <c r="F19" s="13"/>
      <c r="G19" s="13"/>
    </row>
    <row r="20" spans="1:7" s="14" customFormat="1">
      <c r="A20" s="18" t="s">
        <v>61</v>
      </c>
      <c r="B20" s="83">
        <f>Gennaio!B19+Febbraio!B18+Marzo!B19</f>
        <v>0</v>
      </c>
      <c r="C20" s="118">
        <f>Gennaio!C19+Febbraio!C18+Marzo!C19</f>
        <v>0</v>
      </c>
      <c r="D20" s="103">
        <f>Gennaio!D19+Febbraio!D18+Marzo!D19</f>
        <v>0</v>
      </c>
      <c r="E20" s="13"/>
      <c r="F20" s="13"/>
      <c r="G20" s="13"/>
    </row>
    <row r="21" spans="1:7" s="14" customFormat="1">
      <c r="A21" s="18" t="s">
        <v>160</v>
      </c>
      <c r="B21" s="83">
        <f>Gennaio!B20+Febbraio!B19+Marzo!B20</f>
        <v>0</v>
      </c>
      <c r="C21" s="118">
        <f>Gennaio!C20+Febbraio!C19+Marzo!C20</f>
        <v>0</v>
      </c>
      <c r="D21" s="103">
        <f>Gennaio!D20+Febbraio!D19+Marzo!D20</f>
        <v>0</v>
      </c>
      <c r="E21" s="13"/>
      <c r="F21" s="13"/>
      <c r="G21" s="13"/>
    </row>
    <row r="22" spans="1:7" s="14" customFormat="1">
      <c r="A22" s="18" t="s">
        <v>62</v>
      </c>
      <c r="B22" s="83">
        <f>Gennaio!B21+Febbraio!B20+Marzo!B21</f>
        <v>27.39</v>
      </c>
      <c r="C22" s="118">
        <f>Gennaio!C21+Febbraio!C20+Marzo!C21</f>
        <v>0</v>
      </c>
      <c r="D22" s="103">
        <f>Gennaio!D21+Febbraio!D20+Marzo!D21</f>
        <v>27.39</v>
      </c>
      <c r="E22" s="13"/>
      <c r="F22" s="13"/>
      <c r="G22" s="13"/>
    </row>
    <row r="23" spans="1:7" s="14" customFormat="1">
      <c r="A23" s="20" t="s">
        <v>9</v>
      </c>
      <c r="B23" s="83">
        <f>Gennaio!B22+Febbraio!B21+Marzo!B22</f>
        <v>1325.59</v>
      </c>
      <c r="C23" s="118">
        <f>Gennaio!C22+Febbraio!C21+Marzo!C22</f>
        <v>1233.8</v>
      </c>
      <c r="D23" s="103">
        <f>Gennaio!D22+Febbraio!D21+Marzo!D22</f>
        <v>91.789999999999964</v>
      </c>
      <c r="E23" s="13"/>
      <c r="F23" s="13"/>
      <c r="G23" s="13"/>
    </row>
    <row r="24" spans="1:7" s="14" customFormat="1">
      <c r="A24" s="20" t="s">
        <v>161</v>
      </c>
      <c r="B24" s="83">
        <f>Gennaio!B23+Febbraio!B22+Marzo!B23</f>
        <v>0</v>
      </c>
      <c r="C24" s="118">
        <f>Gennaio!C23+Febbraio!C22+Marzo!C23</f>
        <v>0</v>
      </c>
      <c r="D24" s="103">
        <f>Gennaio!D23+Febbraio!D22+Marzo!D23</f>
        <v>0</v>
      </c>
      <c r="E24" s="13"/>
      <c r="F24" s="13"/>
      <c r="G24" s="13"/>
    </row>
    <row r="25" spans="1:7" s="14" customFormat="1">
      <c r="A25" s="20" t="s">
        <v>1</v>
      </c>
      <c r="B25" s="83">
        <f>Gennaio!B24+Febbraio!B23+Marzo!B24</f>
        <v>1568.8</v>
      </c>
      <c r="C25" s="118">
        <f>Gennaio!C24+Febbraio!C23+Marzo!C24</f>
        <v>406.65999999999997</v>
      </c>
      <c r="D25" s="103">
        <f>Gennaio!D24+Febbraio!D23+Marzo!D24</f>
        <v>1162.1399999999999</v>
      </c>
      <c r="E25" s="13"/>
      <c r="F25" s="13"/>
      <c r="G25" s="13"/>
    </row>
    <row r="26" spans="1:7" s="14" customFormat="1">
      <c r="A26" s="20" t="s">
        <v>63</v>
      </c>
      <c r="B26" s="83">
        <f>Gennaio!B25</f>
        <v>0</v>
      </c>
      <c r="C26" s="118">
        <f>Gennaio!C25</f>
        <v>0</v>
      </c>
      <c r="D26" s="103">
        <f>Gennaio!D25</f>
        <v>0</v>
      </c>
    </row>
    <row r="27" spans="1:7" s="14" customFormat="1">
      <c r="A27" s="81" t="s">
        <v>80</v>
      </c>
      <c r="B27" s="83">
        <f>Gennaio!B26+Febbraio!B24+Marzo!B25</f>
        <v>1127.8700000000001</v>
      </c>
      <c r="C27" s="118">
        <f>Gennaio!C26+Febbraio!C24+Marzo!C25</f>
        <v>0</v>
      </c>
      <c r="D27" s="103">
        <f>Gennaio!D26+Febbraio!D24+Marzo!D25</f>
        <v>1127.8700000000001</v>
      </c>
    </row>
    <row r="28" spans="1:7" s="14" customFormat="1">
      <c r="A28" s="81" t="s">
        <v>162</v>
      </c>
      <c r="B28" s="83">
        <f>Gennaio!B27+Febbraio!B25+Marzo!B26</f>
        <v>0</v>
      </c>
      <c r="C28" s="118">
        <f>Gennaio!C27+Febbraio!C25+Marzo!C26</f>
        <v>0</v>
      </c>
      <c r="D28" s="103">
        <f>Gennaio!D27+Febbraio!D25+Marzo!D26</f>
        <v>0</v>
      </c>
    </row>
    <row r="29" spans="1:7" s="14" customFormat="1">
      <c r="A29" s="81" t="s">
        <v>81</v>
      </c>
      <c r="B29" s="83">
        <f>Gennaio!B28+Febbraio!B26+Marzo!B27</f>
        <v>55.5</v>
      </c>
      <c r="C29" s="83">
        <f>Gennaio!C28+Febbraio!C26+Marzo!C27</f>
        <v>0</v>
      </c>
      <c r="D29" s="146">
        <f>Gennaio!D28+Febbraio!D26+Marzo!D27</f>
        <v>55.5</v>
      </c>
    </row>
    <row r="30" spans="1:7" s="14" customFormat="1" ht="13.5" thickBot="1">
      <c r="A30" s="24" t="s">
        <v>164</v>
      </c>
      <c r="B30" s="83">
        <f>Gennaio!B29+Febbraio!B27+Marzo!B28</f>
        <v>5558.17</v>
      </c>
      <c r="C30" s="118">
        <f>Gennaio!C29+Febbraio!C27+Marzo!C28</f>
        <v>4674.82</v>
      </c>
      <c r="D30" s="148">
        <f>Gennaio!D29+Febbraio!D27+Marzo!D28</f>
        <v>883.35000000000059</v>
      </c>
      <c r="E30" s="13"/>
      <c r="F30" s="13"/>
      <c r="G30" s="13"/>
    </row>
    <row r="31" spans="1:7" s="14" customFormat="1" ht="30.75" thickBot="1">
      <c r="A31" s="25" t="s">
        <v>10</v>
      </c>
      <c r="B31" s="56" t="s">
        <v>19</v>
      </c>
      <c r="C31" s="8" t="s">
        <v>12</v>
      </c>
      <c r="D31" s="119" t="s">
        <v>11</v>
      </c>
      <c r="E31" s="13"/>
      <c r="F31" s="13"/>
      <c r="G31" s="13"/>
    </row>
    <row r="32" spans="1:7" s="14" customFormat="1" ht="12.75" customHeight="1" thickBot="1">
      <c r="A32" s="17" t="s">
        <v>66</v>
      </c>
      <c r="B32" s="83">
        <f>Gennaio!B31+Febbraio!B29+Marzo!B30</f>
        <v>777.36</v>
      </c>
      <c r="C32" s="83">
        <f>Gennaio!C31+Febbraio!C29+Marzo!C30</f>
        <v>649.30999999999995</v>
      </c>
      <c r="D32" s="83">
        <f>Gennaio!D31+Febbraio!D29+Marzo!D30</f>
        <v>128.05000000000007</v>
      </c>
      <c r="E32" s="13"/>
      <c r="F32" s="13"/>
      <c r="G32" s="13"/>
    </row>
    <row r="33" spans="1:7" s="14" customFormat="1" ht="30.75" thickBot="1">
      <c r="A33" s="25" t="s">
        <v>6</v>
      </c>
      <c r="B33" s="56" t="s">
        <v>19</v>
      </c>
      <c r="C33" s="8" t="s">
        <v>12</v>
      </c>
      <c r="D33" s="119" t="s">
        <v>11</v>
      </c>
    </row>
    <row r="34" spans="1:7" s="14" customFormat="1">
      <c r="A34" s="17" t="s">
        <v>0</v>
      </c>
      <c r="B34" s="106">
        <f>Gennaio!B33+Febbraio!B31+Marzo!B32</f>
        <v>3246.43</v>
      </c>
      <c r="C34" s="142">
        <f>Gennaio!C33+Febbraio!C31+Marzo!C32</f>
        <v>3010.38</v>
      </c>
      <c r="D34" s="107">
        <f>Gennaio!D33+Febbraio!D31+Marzo!D32</f>
        <v>236.0500000000001</v>
      </c>
      <c r="E34" s="13"/>
      <c r="F34" s="13"/>
      <c r="G34" s="13"/>
    </row>
    <row r="35" spans="1:7" s="14" customFormat="1">
      <c r="A35" s="20" t="s">
        <v>13</v>
      </c>
      <c r="B35" s="83">
        <f>Gennaio!B34+Febbraio!B32+Marzo!B33</f>
        <v>1700.8100000000002</v>
      </c>
      <c r="C35" s="144">
        <f>Gennaio!C34+Febbraio!C32+Marzo!C33</f>
        <v>1474.2999999999997</v>
      </c>
      <c r="D35" s="103">
        <f>Gennaio!D34+Febbraio!D32+Marzo!D33</f>
        <v>226.51000000000033</v>
      </c>
      <c r="E35" s="13"/>
      <c r="F35" s="13"/>
      <c r="G35" s="13"/>
    </row>
    <row r="36" spans="1:7" s="14" customFormat="1">
      <c r="A36" s="20" t="s">
        <v>165</v>
      </c>
      <c r="B36" s="83">
        <f>Gennaio!B35+Febbraio!B33+Marzo!B34</f>
        <v>6998.91</v>
      </c>
      <c r="C36" s="144">
        <f>Gennaio!C35+Febbraio!C33+Marzo!C34</f>
        <v>5010.75</v>
      </c>
      <c r="D36" s="103">
        <f>Gennaio!D35+Febbraio!D33+Marzo!D34</f>
        <v>1988.1599999999999</v>
      </c>
      <c r="E36" s="13"/>
      <c r="F36" s="13"/>
      <c r="G36" s="13"/>
    </row>
    <row r="37" spans="1:7" s="14" customFormat="1">
      <c r="A37" s="20" t="s">
        <v>166</v>
      </c>
      <c r="B37" s="83">
        <f>Gennaio!B36+Febbraio!B34+Marzo!B35</f>
        <v>5744.88</v>
      </c>
      <c r="C37" s="144">
        <f>Gennaio!C36+Febbraio!C34+Marzo!C35</f>
        <v>5025.18</v>
      </c>
      <c r="D37" s="103">
        <f>Gennaio!D36+Febbraio!D34+Marzo!D35</f>
        <v>719.70000000000016</v>
      </c>
      <c r="E37" s="13"/>
      <c r="F37" s="13"/>
      <c r="G37" s="13"/>
    </row>
    <row r="38" spans="1:7" s="14" customFormat="1" ht="17.25" customHeight="1" thickBot="1">
      <c r="A38" s="24" t="s">
        <v>167</v>
      </c>
      <c r="B38" s="104">
        <f>Gennaio!B37+Febbraio!B35+Marzo!B36</f>
        <v>26736.190000000002</v>
      </c>
      <c r="C38" s="117">
        <f>Gennaio!C37+Febbraio!C35+Marzo!C36</f>
        <v>0</v>
      </c>
      <c r="D38" s="105">
        <f>Gennaio!D37+Febbraio!D35+Marzo!D36</f>
        <v>26736.190000000002</v>
      </c>
      <c r="F38" s="13"/>
      <c r="G38" s="13"/>
    </row>
    <row r="39" spans="1:7" s="14" customFormat="1" ht="17.25" customHeight="1" thickBot="1">
      <c r="A39" s="6"/>
      <c r="B39" s="102"/>
      <c r="C39" s="102"/>
      <c r="D39" s="102"/>
      <c r="F39" s="13"/>
      <c r="G39" s="13"/>
    </row>
    <row r="40" spans="1:7" s="14" customFormat="1" ht="15.75" thickBot="1">
      <c r="A40" s="149" t="s">
        <v>64</v>
      </c>
      <c r="B40" s="78">
        <f>SUM(B2:B38)</f>
        <v>76555.739999999991</v>
      </c>
      <c r="C40" s="78">
        <f>SUM(C2:C38)</f>
        <v>34083.380000000005</v>
      </c>
      <c r="D40" s="78">
        <f>SUM(D2:D38)</f>
        <v>37408.83</v>
      </c>
      <c r="E40" s="13"/>
      <c r="F40" s="13"/>
      <c r="G40" s="13"/>
    </row>
    <row r="41" spans="1:7">
      <c r="A41" s="4"/>
      <c r="B41" s="43"/>
      <c r="C41" s="4"/>
      <c r="D41" s="31"/>
    </row>
    <row r="42" spans="1:7">
      <c r="A42" s="4"/>
      <c r="B42" s="43"/>
      <c r="C42" s="4"/>
      <c r="D42" s="31"/>
    </row>
    <row r="43" spans="1:7">
      <c r="A43" s="4"/>
      <c r="B43" s="43"/>
      <c r="C43" s="4"/>
      <c r="D43" s="31"/>
    </row>
    <row r="44" spans="1:7">
      <c r="D44" s="32"/>
    </row>
    <row r="45" spans="1:7">
      <c r="D45" s="32"/>
    </row>
    <row r="46" spans="1:7">
      <c r="D46" s="32"/>
    </row>
    <row r="47" spans="1:7">
      <c r="D47" s="32"/>
    </row>
    <row r="48" spans="1:7">
      <c r="D48" s="32"/>
    </row>
    <row r="49" spans="4:4">
      <c r="D49" s="32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"/>
  <sheetViews>
    <sheetView workbookViewId="0">
      <pane xSplit="4" topLeftCell="E1" activePane="topRight" state="frozen"/>
      <selection pane="topRight" activeCell="E3" sqref="E3:G3"/>
    </sheetView>
  </sheetViews>
  <sheetFormatPr defaultRowHeight="12.75"/>
  <cols>
    <col min="1" max="1" width="47.140625" style="3" customWidth="1"/>
    <col min="2" max="2" width="29" style="3" hidden="1" customWidth="1"/>
    <col min="3" max="3" width="24.42578125" style="3" hidden="1" customWidth="1"/>
    <col min="4" max="4" width="24.5703125" style="3" hidden="1" customWidth="1"/>
    <col min="5" max="5" width="29" style="3" customWidth="1"/>
    <col min="6" max="6" width="24.42578125" style="3" customWidth="1"/>
    <col min="7" max="7" width="24.5703125" style="3" customWidth="1"/>
    <col min="8" max="8" width="29" style="3" customWidth="1"/>
    <col min="9" max="9" width="24.42578125" style="3" customWidth="1"/>
    <col min="10" max="10" width="24.5703125" style="3" customWidth="1"/>
    <col min="11" max="16384" width="9.140625" style="3"/>
  </cols>
  <sheetData>
    <row r="1" spans="1:17" ht="46.5" customHeight="1" thickBot="1">
      <c r="A1" s="1" t="s">
        <v>15</v>
      </c>
      <c r="B1" s="1" t="s">
        <v>16</v>
      </c>
      <c r="C1" s="1" t="s">
        <v>17</v>
      </c>
      <c r="D1" s="2" t="s">
        <v>18</v>
      </c>
      <c r="E1" s="1" t="s">
        <v>171</v>
      </c>
      <c r="F1" s="1" t="s">
        <v>172</v>
      </c>
      <c r="G1" s="2" t="s">
        <v>173</v>
      </c>
      <c r="H1" s="1" t="s">
        <v>197</v>
      </c>
      <c r="I1" s="1" t="s">
        <v>198</v>
      </c>
      <c r="J1" s="2" t="s">
        <v>199</v>
      </c>
    </row>
    <row r="2" spans="1:17" ht="53.25" customHeight="1">
      <c r="A2" s="138" t="s">
        <v>36</v>
      </c>
      <c r="B2" s="84" t="s">
        <v>121</v>
      </c>
      <c r="C2" s="84" t="s">
        <v>174</v>
      </c>
      <c r="D2" s="5" t="s">
        <v>175</v>
      </c>
      <c r="E2" s="84"/>
      <c r="F2" s="84"/>
      <c r="G2" s="84"/>
      <c r="H2" s="84"/>
      <c r="I2" s="84"/>
      <c r="J2" s="84"/>
    </row>
    <row r="3" spans="1:17" ht="53.25" customHeight="1">
      <c r="A3" s="138" t="s">
        <v>28</v>
      </c>
      <c r="B3" s="5"/>
      <c r="C3" s="5"/>
      <c r="D3" s="5"/>
      <c r="E3" s="5" t="s">
        <v>182</v>
      </c>
      <c r="F3" s="5" t="s">
        <v>183</v>
      </c>
      <c r="G3" s="5" t="s">
        <v>184</v>
      </c>
      <c r="H3" s="5" t="s">
        <v>215</v>
      </c>
      <c r="I3" s="5" t="s">
        <v>214</v>
      </c>
      <c r="J3" s="5" t="s">
        <v>184</v>
      </c>
      <c r="M3" s="150"/>
      <c r="N3" s="152"/>
      <c r="O3" s="150"/>
      <c r="P3" s="153"/>
      <c r="Q3"/>
    </row>
    <row r="4" spans="1:17" ht="53.25" customHeight="1">
      <c r="A4" s="64" t="s">
        <v>60</v>
      </c>
      <c r="B4" s="5"/>
      <c r="C4" s="5"/>
      <c r="D4" s="5"/>
      <c r="E4" s="5" t="s">
        <v>180</v>
      </c>
      <c r="F4" s="5" t="s">
        <v>181</v>
      </c>
      <c r="G4" s="5"/>
      <c r="H4" s="5" t="s">
        <v>218</v>
      </c>
      <c r="I4" s="5" t="s">
        <v>219</v>
      </c>
      <c r="J4" s="5"/>
      <c r="M4" s="154"/>
      <c r="N4" s="150"/>
      <c r="O4" s="150"/>
      <c r="P4" s="150"/>
      <c r="Q4" s="153"/>
    </row>
    <row r="5" spans="1:17" ht="53.25" customHeight="1">
      <c r="A5" s="64" t="s">
        <v>100</v>
      </c>
      <c r="B5" s="5"/>
      <c r="C5" s="5"/>
      <c r="D5" s="5"/>
      <c r="E5" s="5" t="s">
        <v>191</v>
      </c>
      <c r="F5" s="5" t="s">
        <v>192</v>
      </c>
      <c r="G5" s="5"/>
      <c r="H5" s="5" t="s">
        <v>206</v>
      </c>
      <c r="I5" s="5" t="s">
        <v>207</v>
      </c>
      <c r="J5" s="5"/>
    </row>
    <row r="6" spans="1:17" ht="53.25" customHeight="1">
      <c r="A6" s="139" t="s">
        <v>29</v>
      </c>
      <c r="B6" s="5"/>
      <c r="C6" s="135"/>
      <c r="D6" s="5"/>
      <c r="E6" s="5"/>
      <c r="F6" s="5"/>
      <c r="G6" s="5"/>
      <c r="H6" s="156"/>
      <c r="I6" s="157"/>
      <c r="J6" s="156"/>
      <c r="K6" s="153"/>
      <c r="L6"/>
    </row>
    <row r="7" spans="1:17" ht="53.25" customHeight="1">
      <c r="A7" s="139" t="s">
        <v>92</v>
      </c>
      <c r="B7" s="5"/>
      <c r="C7" s="135"/>
      <c r="D7" s="5"/>
      <c r="E7" s="5"/>
      <c r="F7" s="5"/>
      <c r="G7" s="5"/>
      <c r="H7" s="158"/>
      <c r="I7" s="156"/>
      <c r="J7" s="156"/>
      <c r="K7" s="151"/>
      <c r="L7" s="153"/>
    </row>
    <row r="8" spans="1:17" ht="53.25" customHeight="1">
      <c r="A8" s="139" t="s">
        <v>37</v>
      </c>
      <c r="B8" s="5"/>
      <c r="C8" s="135"/>
      <c r="D8" s="114"/>
      <c r="E8" s="5"/>
      <c r="F8" s="5"/>
      <c r="G8" s="5"/>
      <c r="H8" s="5"/>
      <c r="I8" s="5"/>
      <c r="J8" s="5"/>
    </row>
    <row r="9" spans="1:17" ht="53.25" customHeight="1">
      <c r="A9" s="139" t="s">
        <v>68</v>
      </c>
      <c r="B9" s="5"/>
      <c r="C9" s="135"/>
      <c r="D9" s="85"/>
      <c r="E9" s="5" t="s">
        <v>193</v>
      </c>
      <c r="F9" s="5" t="s">
        <v>194</v>
      </c>
      <c r="G9" s="5"/>
      <c r="H9" s="5" t="s">
        <v>203</v>
      </c>
      <c r="I9" s="5" t="s">
        <v>204</v>
      </c>
      <c r="J9" s="5" t="s">
        <v>205</v>
      </c>
    </row>
    <row r="10" spans="1:17" ht="53.25" customHeight="1">
      <c r="A10" s="139" t="s">
        <v>122</v>
      </c>
      <c r="B10" s="5"/>
      <c r="C10" s="135"/>
      <c r="D10" s="5"/>
      <c r="E10" s="5"/>
      <c r="F10" s="135"/>
      <c r="G10" s="5"/>
      <c r="H10" s="156"/>
      <c r="I10" s="157"/>
      <c r="J10" s="156"/>
      <c r="K10" s="153"/>
      <c r="L10"/>
    </row>
    <row r="11" spans="1:17" ht="53.25" customHeight="1">
      <c r="A11" s="139" t="s">
        <v>115</v>
      </c>
      <c r="B11" s="5"/>
      <c r="C11" s="135"/>
      <c r="D11" s="5"/>
      <c r="E11" s="5"/>
      <c r="F11" s="135"/>
      <c r="G11" s="5"/>
      <c r="H11" s="158"/>
      <c r="I11" s="159"/>
      <c r="J11" s="156"/>
      <c r="K11" s="151"/>
      <c r="L11" s="153"/>
    </row>
    <row r="12" spans="1:17" ht="53.25" customHeight="1">
      <c r="A12" s="139" t="s">
        <v>123</v>
      </c>
      <c r="B12" s="5"/>
      <c r="C12" s="135"/>
      <c r="D12" s="5"/>
      <c r="E12" s="5"/>
      <c r="F12" s="135"/>
      <c r="G12" s="5"/>
      <c r="H12" s="5" t="s">
        <v>216</v>
      </c>
      <c r="I12" s="5" t="s">
        <v>217</v>
      </c>
      <c r="J12" s="157"/>
      <c r="K12" s="150"/>
      <c r="L12" s="153"/>
    </row>
    <row r="13" spans="1:17" ht="53.25" customHeight="1">
      <c r="A13" s="139" t="s">
        <v>78</v>
      </c>
      <c r="B13" s="5"/>
      <c r="C13" s="135"/>
      <c r="D13" s="5"/>
      <c r="E13" s="5"/>
      <c r="F13" s="135"/>
      <c r="G13" s="5"/>
      <c r="H13" s="156"/>
      <c r="I13" s="157"/>
      <c r="J13" s="156"/>
      <c r="K13" s="153"/>
      <c r="L13"/>
    </row>
    <row r="14" spans="1:17" ht="53.25" customHeight="1">
      <c r="A14" s="139" t="s">
        <v>93</v>
      </c>
      <c r="B14" s="5"/>
      <c r="C14" s="135"/>
      <c r="D14" s="5"/>
      <c r="E14" s="5"/>
      <c r="F14" s="135"/>
      <c r="G14" s="5"/>
      <c r="H14" s="158"/>
      <c r="I14" s="156"/>
      <c r="J14" s="156"/>
      <c r="K14" s="150"/>
      <c r="L14" s="153"/>
    </row>
    <row r="15" spans="1:17" ht="53.25" customHeight="1">
      <c r="A15" s="64" t="s">
        <v>24</v>
      </c>
      <c r="B15" s="5"/>
      <c r="C15" s="135"/>
      <c r="D15" s="5"/>
      <c r="E15" s="5"/>
      <c r="F15" s="135"/>
      <c r="G15" s="5"/>
      <c r="H15" s="5"/>
      <c r="I15" s="135"/>
      <c r="J15" s="5"/>
    </row>
    <row r="16" spans="1:17" ht="53.25" customHeight="1">
      <c r="A16" s="64" t="s">
        <v>25</v>
      </c>
      <c r="B16" s="109"/>
      <c r="C16" s="136"/>
      <c r="D16" s="5"/>
      <c r="E16" s="5" t="s">
        <v>176</v>
      </c>
      <c r="F16" s="5" t="s">
        <v>177</v>
      </c>
      <c r="G16" s="5"/>
      <c r="H16" s="5" t="s">
        <v>220</v>
      </c>
      <c r="I16" s="5" t="s">
        <v>221</v>
      </c>
      <c r="J16" s="5"/>
    </row>
    <row r="17" spans="1:12" ht="53.25" customHeight="1">
      <c r="A17" s="64" t="s">
        <v>59</v>
      </c>
      <c r="B17" s="5"/>
      <c r="C17" s="135"/>
      <c r="D17" s="5"/>
      <c r="E17" s="5"/>
      <c r="F17" s="135"/>
      <c r="G17" s="5"/>
      <c r="H17" s="156"/>
      <c r="I17" s="157"/>
      <c r="J17" s="156"/>
      <c r="K17" s="153"/>
      <c r="L17"/>
    </row>
    <row r="18" spans="1:12" ht="53.25" customHeight="1">
      <c r="A18" s="64" t="s">
        <v>105</v>
      </c>
      <c r="B18" s="109"/>
      <c r="C18" s="136"/>
      <c r="D18" s="5"/>
      <c r="E18" s="109"/>
      <c r="F18" s="136"/>
      <c r="G18" s="5"/>
      <c r="H18" s="158"/>
      <c r="I18" s="156"/>
      <c r="J18" s="156"/>
      <c r="K18" s="150"/>
      <c r="L18" s="153"/>
    </row>
    <row r="19" spans="1:12" ht="53.25" customHeight="1">
      <c r="A19" s="64" t="s">
        <v>32</v>
      </c>
      <c r="B19" s="109"/>
      <c r="C19" s="136"/>
      <c r="D19" s="5"/>
      <c r="E19" s="109"/>
      <c r="F19" s="136"/>
      <c r="G19" s="5"/>
      <c r="H19" s="109"/>
      <c r="I19" s="136"/>
      <c r="J19" s="5"/>
    </row>
    <row r="20" spans="1:12" ht="53.25" customHeight="1">
      <c r="A20" s="139" t="s">
        <v>33</v>
      </c>
      <c r="B20" s="109"/>
      <c r="C20" s="136"/>
      <c r="D20" s="5"/>
      <c r="E20" s="5" t="s">
        <v>187</v>
      </c>
      <c r="F20" s="5" t="s">
        <v>188</v>
      </c>
      <c r="G20" s="5"/>
      <c r="H20" s="5" t="s">
        <v>210</v>
      </c>
      <c r="I20" s="5" t="s">
        <v>211</v>
      </c>
      <c r="J20" s="5"/>
    </row>
    <row r="21" spans="1:12" ht="53.25" customHeight="1">
      <c r="A21" s="139" t="s">
        <v>118</v>
      </c>
      <c r="B21" s="109"/>
      <c r="C21" s="136"/>
      <c r="D21" s="5"/>
      <c r="E21" s="109"/>
      <c r="F21" s="136"/>
      <c r="G21" s="5"/>
      <c r="H21" s="156"/>
      <c r="I21" s="157"/>
      <c r="J21" s="156"/>
      <c r="K21" s="153"/>
      <c r="L21"/>
    </row>
    <row r="22" spans="1:12" ht="53.25" customHeight="1">
      <c r="A22" s="139" t="s">
        <v>31</v>
      </c>
      <c r="B22" s="5"/>
      <c r="C22" s="135"/>
      <c r="D22" s="5"/>
      <c r="E22" s="109"/>
      <c r="F22" s="136"/>
      <c r="G22" s="5"/>
      <c r="H22" s="158"/>
      <c r="I22" s="156"/>
      <c r="J22" s="156"/>
      <c r="K22" s="151"/>
      <c r="L22" s="153"/>
    </row>
    <row r="23" spans="1:12" ht="53.25" customHeight="1">
      <c r="A23" s="139" t="s">
        <v>69</v>
      </c>
      <c r="B23" s="109"/>
      <c r="C23" s="136"/>
      <c r="D23" s="5"/>
      <c r="E23" s="5" t="s">
        <v>185</v>
      </c>
      <c r="F23" s="5" t="s">
        <v>186</v>
      </c>
      <c r="G23" s="5"/>
      <c r="H23" s="5" t="s">
        <v>212</v>
      </c>
      <c r="I23" s="5" t="s">
        <v>213</v>
      </c>
      <c r="J23" s="5"/>
    </row>
    <row r="24" spans="1:12" ht="53.25" customHeight="1">
      <c r="A24" s="140" t="s">
        <v>117</v>
      </c>
      <c r="B24" s="109"/>
      <c r="C24" s="136"/>
      <c r="D24" s="5"/>
      <c r="E24" s="109"/>
      <c r="F24" s="136"/>
      <c r="G24" s="5"/>
      <c r="H24" s="156"/>
      <c r="I24" s="157"/>
      <c r="J24" s="156"/>
      <c r="K24" s="153"/>
      <c r="L24"/>
    </row>
    <row r="25" spans="1:12" ht="53.25" customHeight="1">
      <c r="A25" s="160" t="s">
        <v>34</v>
      </c>
      <c r="B25" s="109"/>
      <c r="C25" s="136"/>
      <c r="D25" s="5"/>
      <c r="E25" s="109"/>
      <c r="F25" s="136"/>
      <c r="G25" s="5"/>
      <c r="H25" s="158"/>
      <c r="I25" s="159"/>
      <c r="J25" s="156"/>
      <c r="K25" s="151"/>
      <c r="L25" s="153"/>
    </row>
    <row r="26" spans="1:12" ht="53.25" customHeight="1">
      <c r="A26" s="138" t="s">
        <v>23</v>
      </c>
      <c r="B26" s="109"/>
      <c r="C26" s="136"/>
      <c r="D26" s="5"/>
      <c r="E26" s="109"/>
      <c r="F26" s="136"/>
      <c r="G26" s="5"/>
      <c r="H26" s="109"/>
      <c r="I26" s="136"/>
      <c r="J26" s="5"/>
    </row>
    <row r="27" spans="1:12" ht="53.25" customHeight="1">
      <c r="A27" s="138" t="s">
        <v>35</v>
      </c>
      <c r="B27" s="109"/>
      <c r="C27" s="136"/>
      <c r="D27" s="5"/>
      <c r="E27" s="5" t="s">
        <v>189</v>
      </c>
      <c r="F27" s="5" t="s">
        <v>190</v>
      </c>
      <c r="G27" s="5"/>
      <c r="H27" s="5" t="s">
        <v>208</v>
      </c>
      <c r="I27" s="5" t="s">
        <v>209</v>
      </c>
      <c r="J27" s="5" t="s">
        <v>202</v>
      </c>
    </row>
    <row r="28" spans="1:12" ht="53.25" customHeight="1">
      <c r="A28" s="139" t="s">
        <v>38</v>
      </c>
      <c r="B28" s="109"/>
      <c r="C28" s="136"/>
      <c r="D28" s="5"/>
      <c r="E28" s="5" t="s">
        <v>195</v>
      </c>
      <c r="F28" s="5" t="s">
        <v>196</v>
      </c>
      <c r="G28" s="5"/>
      <c r="H28" s="5" t="s">
        <v>200</v>
      </c>
      <c r="I28" s="5" t="s">
        <v>201</v>
      </c>
      <c r="J28" s="5" t="s">
        <v>202</v>
      </c>
    </row>
    <row r="29" spans="1:12" ht="53.25" customHeight="1" thickBot="1">
      <c r="A29" s="141" t="s">
        <v>70</v>
      </c>
      <c r="B29" s="109"/>
      <c r="C29" s="136"/>
      <c r="D29" s="5"/>
      <c r="E29" s="155" t="s">
        <v>178</v>
      </c>
      <c r="F29" s="155" t="s">
        <v>179</v>
      </c>
      <c r="G29" s="155"/>
      <c r="H29" s="155" t="s">
        <v>222</v>
      </c>
      <c r="I29" s="155" t="s">
        <v>223</v>
      </c>
      <c r="J29" s="155"/>
    </row>
    <row r="30" spans="1:12">
      <c r="A30" s="4"/>
    </row>
    <row r="31" spans="1:12">
      <c r="H31" s="150"/>
      <c r="I31" s="152"/>
      <c r="J31" s="150"/>
      <c r="K31" s="153"/>
      <c r="L31"/>
    </row>
    <row r="32" spans="1:12">
      <c r="B32"/>
      <c r="C32"/>
      <c r="D32"/>
      <c r="E32" s="150"/>
      <c r="F32" s="152"/>
      <c r="G32" s="150"/>
      <c r="H32" s="150"/>
      <c r="I32" s="152"/>
      <c r="J32" s="150"/>
      <c r="K32" s="153"/>
      <c r="L32"/>
    </row>
    <row r="33" spans="5:12">
      <c r="E33" s="154"/>
      <c r="F33" s="150"/>
      <c r="G33" s="150"/>
      <c r="H33" s="154"/>
      <c r="I33" s="151"/>
      <c r="J33" s="150"/>
      <c r="K33" s="151"/>
      <c r="L33" s="153"/>
    </row>
    <row r="34" spans="5:12">
      <c r="E34" s="154"/>
      <c r="F34" s="150"/>
      <c r="G34" s="150"/>
      <c r="H34" s="154"/>
      <c r="I34" s="150"/>
      <c r="J34" s="150"/>
      <c r="K34" s="151"/>
      <c r="L34" s="153"/>
    </row>
    <row r="35" spans="5:12">
      <c r="H35" s="154"/>
      <c r="I35" s="150"/>
      <c r="J35" s="152"/>
      <c r="K35" s="150"/>
      <c r="L35" s="153"/>
    </row>
    <row r="36" spans="5:12">
      <c r="H36" s="154"/>
      <c r="I36" s="150"/>
      <c r="J36" s="150"/>
      <c r="K36" s="150"/>
      <c r="L36" s="153"/>
    </row>
  </sheetData>
  <autoFilter ref="A1:A30"/>
  <pageMargins left="0.70866141732283472" right="0.70866141732283472" top="0.74803149606299213" bottom="0.74803149606299213" header="0.31496062992125984" footer="0.31496062992125984"/>
  <pageSetup paperSize="9" scale="2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2"/>
  <sheetViews>
    <sheetView workbookViewId="0">
      <selection activeCell="D15" sqref="D15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263.28+25.13</f>
        <v>288.40999999999997</v>
      </c>
      <c r="C2" s="38">
        <f>97.18+25.13</f>
        <v>122.31</v>
      </c>
      <c r="D2" s="108">
        <f>B2-C2</f>
        <v>166.09999999999997</v>
      </c>
      <c r="E2" s="63"/>
      <c r="F2" s="38"/>
      <c r="G2" s="10"/>
    </row>
    <row r="3" spans="1:12" s="14" customFormat="1" ht="13.5" thickBot="1">
      <c r="A3" s="29" t="s">
        <v>28</v>
      </c>
      <c r="B3" s="169">
        <v>341.1</v>
      </c>
      <c r="C3" s="169">
        <v>0</v>
      </c>
      <c r="D3" s="170">
        <f>B3-C3</f>
        <v>341.1</v>
      </c>
      <c r="E3" s="169"/>
      <c r="F3" s="169"/>
      <c r="G3" s="171"/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ht="15">
      <c r="A5" s="18" t="s">
        <v>170</v>
      </c>
      <c r="B5" s="165"/>
      <c r="C5" s="166"/>
      <c r="D5" s="166"/>
      <c r="E5" s="167"/>
      <c r="F5" s="165"/>
      <c r="G5" s="168"/>
      <c r="H5" s="16"/>
    </row>
    <row r="6" spans="1:12" s="14" customFormat="1">
      <c r="A6" s="18" t="s">
        <v>60</v>
      </c>
      <c r="B6" s="40"/>
      <c r="C6" s="51"/>
      <c r="D6" s="51">
        <f t="shared" ref="D6:D18" si="0">B6-C6</f>
        <v>0</v>
      </c>
      <c r="E6" s="51"/>
      <c r="F6" s="21"/>
      <c r="G6" s="88"/>
      <c r="H6" s="13"/>
      <c r="I6" s="13"/>
      <c r="J6" s="13"/>
      <c r="K6" s="13"/>
      <c r="L6" s="13"/>
    </row>
    <row r="7" spans="1:12" s="14" customFormat="1">
      <c r="A7" s="18" t="s">
        <v>100</v>
      </c>
      <c r="B7" s="40">
        <f>87.72+249.1+157.5+1074.35</f>
        <v>1568.6699999999998</v>
      </c>
      <c r="C7" s="51">
        <f>1069.97+137.2+231.85+87.72</f>
        <v>1526.74</v>
      </c>
      <c r="D7" s="51">
        <f>B7-C7</f>
        <v>41.929999999999836</v>
      </c>
      <c r="E7" s="51"/>
      <c r="F7" s="21"/>
      <c r="G7" s="88"/>
      <c r="H7" s="13"/>
      <c r="I7" s="13"/>
      <c r="J7" s="13"/>
      <c r="K7" s="13"/>
      <c r="L7" s="13"/>
    </row>
    <row r="8" spans="1:12" s="14" customFormat="1" ht="13.5" customHeight="1">
      <c r="A8" s="20" t="s">
        <v>29</v>
      </c>
      <c r="B8" s="41"/>
      <c r="C8" s="51"/>
      <c r="D8" s="51">
        <f t="shared" si="0"/>
        <v>0</v>
      </c>
      <c r="E8" s="51"/>
      <c r="F8" s="21"/>
      <c r="G8" s="27"/>
      <c r="H8" s="13"/>
      <c r="I8" s="13"/>
      <c r="J8" s="13"/>
      <c r="K8" s="13"/>
      <c r="L8" s="13"/>
    </row>
    <row r="9" spans="1:12" s="14" customFormat="1">
      <c r="A9" s="20" t="s">
        <v>92</v>
      </c>
      <c r="B9" s="41"/>
      <c r="C9" s="51"/>
      <c r="D9" s="51">
        <f t="shared" si="0"/>
        <v>0</v>
      </c>
      <c r="E9" s="51"/>
      <c r="F9" s="21"/>
      <c r="G9" s="27"/>
      <c r="H9" s="13"/>
      <c r="I9" s="13"/>
      <c r="J9" s="13"/>
      <c r="K9" s="13"/>
      <c r="L9" s="13"/>
    </row>
    <row r="10" spans="1:12" s="14" customFormat="1">
      <c r="A10" s="20" t="s">
        <v>37</v>
      </c>
      <c r="B10" s="41">
        <f>13.3</f>
        <v>13.3</v>
      </c>
      <c r="C10" s="51">
        <v>0</v>
      </c>
      <c r="D10" s="51">
        <f>B10-C10</f>
        <v>13.3</v>
      </c>
      <c r="E10" s="51"/>
      <c r="F10" s="21"/>
      <c r="G10" s="27"/>
      <c r="H10" s="13"/>
      <c r="I10" s="13"/>
      <c r="J10" s="13"/>
      <c r="K10" s="13"/>
      <c r="L10" s="13"/>
    </row>
    <row r="11" spans="1:12" s="14" customFormat="1">
      <c r="A11" s="20" t="s">
        <v>68</v>
      </c>
      <c r="B11" s="41">
        <f>61.36+105.07+488.71</f>
        <v>655.14</v>
      </c>
      <c r="C11" s="51">
        <f>61.36+105.07+448.4</f>
        <v>614.82999999999993</v>
      </c>
      <c r="D11" s="51">
        <f t="shared" si="0"/>
        <v>40.310000000000059</v>
      </c>
      <c r="E11" s="51"/>
      <c r="F11" s="21"/>
      <c r="G11" s="27"/>
      <c r="H11" s="13"/>
      <c r="I11" s="13"/>
      <c r="J11" s="13"/>
      <c r="K11" s="13"/>
      <c r="L11" s="13"/>
    </row>
    <row r="12" spans="1:12" s="14" customFormat="1">
      <c r="A12" s="20" t="s">
        <v>122</v>
      </c>
      <c r="B12" s="41"/>
      <c r="C12" s="51"/>
      <c r="D12" s="51">
        <f t="shared" si="0"/>
        <v>0</v>
      </c>
      <c r="E12" s="51"/>
      <c r="F12" s="21"/>
      <c r="G12" s="27"/>
      <c r="H12" s="13"/>
      <c r="I12" s="13"/>
      <c r="J12" s="13"/>
      <c r="K12" s="13"/>
      <c r="L12" s="13"/>
    </row>
    <row r="13" spans="1:12" s="14" customFormat="1">
      <c r="A13" s="20" t="s">
        <v>168</v>
      </c>
      <c r="B13" s="41">
        <f>454</f>
        <v>454</v>
      </c>
      <c r="C13" s="51">
        <f>0</f>
        <v>0</v>
      </c>
      <c r="D13" s="51">
        <f>B13-C13</f>
        <v>454</v>
      </c>
      <c r="E13" s="51"/>
      <c r="F13" s="21"/>
      <c r="G13" s="27"/>
      <c r="H13" s="13"/>
      <c r="I13" s="13"/>
      <c r="J13" s="13"/>
      <c r="K13" s="13"/>
      <c r="L13" s="13"/>
    </row>
    <row r="14" spans="1:12" s="14" customFormat="1">
      <c r="A14" s="20" t="s">
        <v>115</v>
      </c>
      <c r="B14" s="41"/>
      <c r="C14" s="51"/>
      <c r="D14" s="51">
        <f t="shared" si="0"/>
        <v>0</v>
      </c>
      <c r="E14" s="51"/>
      <c r="F14" s="21"/>
      <c r="G14" s="27"/>
      <c r="H14" s="13"/>
      <c r="I14" s="13"/>
      <c r="J14" s="13"/>
      <c r="K14" s="13"/>
      <c r="L14" s="13"/>
    </row>
    <row r="15" spans="1:12" s="14" customFormat="1">
      <c r="A15" s="20" t="s">
        <v>123</v>
      </c>
      <c r="B15" s="41">
        <f>313.93+607.96+11.85+2.35</f>
        <v>936.09000000000015</v>
      </c>
      <c r="C15" s="51">
        <f>2.35+11.85+608.22+280.9</f>
        <v>903.32</v>
      </c>
      <c r="D15" s="51">
        <f t="shared" si="0"/>
        <v>32.770000000000095</v>
      </c>
      <c r="E15" s="51"/>
      <c r="F15" s="21"/>
      <c r="G15" s="27"/>
      <c r="H15" s="13"/>
      <c r="I15" s="13"/>
      <c r="J15" s="13"/>
      <c r="K15" s="13"/>
      <c r="L15" s="13"/>
    </row>
    <row r="16" spans="1:12" s="14" customFormat="1">
      <c r="A16" s="20" t="s">
        <v>78</v>
      </c>
      <c r="B16" s="41"/>
      <c r="C16" s="51"/>
      <c r="D16" s="51">
        <f t="shared" si="0"/>
        <v>0</v>
      </c>
      <c r="E16" s="51"/>
      <c r="F16" s="21"/>
      <c r="G16" s="27"/>
      <c r="H16" s="13"/>
      <c r="I16" s="13"/>
      <c r="J16" s="13"/>
      <c r="K16" s="13"/>
      <c r="L16" s="13"/>
    </row>
    <row r="17" spans="1:12" s="14" customFormat="1">
      <c r="A17" s="20" t="s">
        <v>93</v>
      </c>
      <c r="B17" s="41"/>
      <c r="C17" s="51"/>
      <c r="D17" s="51">
        <f t="shared" si="0"/>
        <v>0</v>
      </c>
      <c r="E17" s="51"/>
      <c r="F17" s="22"/>
      <c r="G17" s="27"/>
      <c r="H17" s="13"/>
      <c r="I17" s="13"/>
      <c r="J17" s="13"/>
      <c r="K17" s="13"/>
      <c r="L17" s="13"/>
    </row>
    <row r="18" spans="1:12" s="14" customFormat="1">
      <c r="A18" s="18" t="s">
        <v>24</v>
      </c>
      <c r="B18" s="40"/>
      <c r="C18" s="51"/>
      <c r="D18" s="51">
        <f t="shared" si="0"/>
        <v>0</v>
      </c>
      <c r="E18" s="51"/>
      <c r="F18" s="22"/>
      <c r="G18" s="89"/>
      <c r="H18" s="13"/>
      <c r="I18" s="13"/>
      <c r="J18" s="13"/>
      <c r="K18" s="13"/>
      <c r="L18" s="13"/>
    </row>
    <row r="19" spans="1:12" s="14" customFormat="1">
      <c r="A19" s="18" t="s">
        <v>25</v>
      </c>
      <c r="B19" s="40"/>
      <c r="C19" s="51"/>
      <c r="D19" s="51">
        <f>B19-C19</f>
        <v>0</v>
      </c>
      <c r="E19" s="51"/>
      <c r="F19" s="22"/>
      <c r="G19" s="89"/>
      <c r="H19" s="13"/>
      <c r="I19" s="13"/>
      <c r="J19" s="13"/>
      <c r="K19" s="13"/>
      <c r="L19" s="13"/>
    </row>
    <row r="20" spans="1:12" s="14" customFormat="1">
      <c r="A20" s="18" t="s">
        <v>169</v>
      </c>
      <c r="B20" s="40"/>
      <c r="C20" s="51"/>
      <c r="D20" s="51">
        <f>B20-C20</f>
        <v>0</v>
      </c>
      <c r="E20" s="51"/>
      <c r="F20" s="22"/>
      <c r="G20" s="89"/>
      <c r="H20" s="13"/>
      <c r="I20" s="13"/>
      <c r="J20" s="13"/>
      <c r="K20" s="13"/>
      <c r="L20" s="13"/>
    </row>
    <row r="21" spans="1:12" s="14" customFormat="1">
      <c r="A21" s="18" t="s">
        <v>59</v>
      </c>
      <c r="B21" s="40"/>
      <c r="C21" s="51"/>
      <c r="D21" s="51">
        <f t="shared" ref="D21:D30" si="1">B21-C21</f>
        <v>0</v>
      </c>
      <c r="E21" s="51"/>
      <c r="F21" s="19"/>
      <c r="G21" s="89"/>
      <c r="H21" s="13"/>
      <c r="I21" s="13"/>
      <c r="J21" s="13"/>
      <c r="K21" s="13"/>
      <c r="L21" s="13"/>
    </row>
    <row r="22" spans="1:12" s="14" customFormat="1">
      <c r="A22" s="18" t="s">
        <v>105</v>
      </c>
      <c r="B22" s="40"/>
      <c r="C22" s="51"/>
      <c r="D22" s="51">
        <f t="shared" si="1"/>
        <v>0</v>
      </c>
      <c r="E22" s="51"/>
      <c r="F22" s="19"/>
      <c r="G22" s="89"/>
      <c r="H22" s="13"/>
      <c r="I22" s="13"/>
      <c r="J22" s="13"/>
      <c r="K22" s="13"/>
      <c r="L22" s="13"/>
    </row>
    <row r="23" spans="1:12" s="14" customFormat="1">
      <c r="A23" s="18" t="s">
        <v>32</v>
      </c>
      <c r="B23" s="40"/>
      <c r="C23" s="51"/>
      <c r="D23" s="51">
        <f t="shared" si="1"/>
        <v>0</v>
      </c>
      <c r="E23" s="51"/>
      <c r="F23" s="21"/>
      <c r="G23" s="88"/>
      <c r="H23" s="13"/>
      <c r="I23" s="13"/>
      <c r="J23" s="13"/>
      <c r="K23" s="13"/>
      <c r="L23" s="13"/>
    </row>
    <row r="24" spans="1:12" s="14" customFormat="1">
      <c r="A24" s="20" t="s">
        <v>33</v>
      </c>
      <c r="B24" s="41">
        <f>1161.84+557.51+46.5</f>
        <v>1765.85</v>
      </c>
      <c r="C24" s="51">
        <f>26.5+557.51+1166.71</f>
        <v>1750.72</v>
      </c>
      <c r="D24" s="51">
        <f t="shared" si="1"/>
        <v>15.129999999999882</v>
      </c>
      <c r="E24" s="51"/>
      <c r="F24" s="21"/>
      <c r="G24" s="27"/>
      <c r="H24" s="13"/>
      <c r="I24" s="13"/>
      <c r="J24" s="13"/>
      <c r="K24" s="13"/>
      <c r="L24" s="13"/>
    </row>
    <row r="25" spans="1:12" s="14" customFormat="1">
      <c r="A25" s="20" t="s">
        <v>118</v>
      </c>
      <c r="B25" s="41"/>
      <c r="C25" s="51"/>
      <c r="D25" s="51">
        <f t="shared" si="1"/>
        <v>0</v>
      </c>
      <c r="E25" s="51"/>
      <c r="F25" s="21"/>
      <c r="G25" s="27"/>
      <c r="H25" s="13"/>
      <c r="I25" s="13"/>
      <c r="J25" s="13"/>
      <c r="K25" s="13"/>
      <c r="L25" s="13"/>
    </row>
    <row r="26" spans="1:12" s="14" customFormat="1">
      <c r="A26" s="20" t="s">
        <v>31</v>
      </c>
      <c r="B26" s="41"/>
      <c r="C26" s="51"/>
      <c r="D26" s="51">
        <f>B26-C26</f>
        <v>0</v>
      </c>
      <c r="E26" s="51"/>
      <c r="F26" s="21"/>
      <c r="G26" s="27"/>
      <c r="H26" s="13"/>
      <c r="I26" s="13"/>
      <c r="J26" s="13"/>
      <c r="K26" s="13"/>
      <c r="L26" s="13"/>
    </row>
    <row r="27" spans="1:12" s="14" customFormat="1" ht="12.75" customHeight="1">
      <c r="A27" s="20" t="s">
        <v>69</v>
      </c>
      <c r="B27" s="54">
        <f>614.35+301.13+34.61</f>
        <v>950.09</v>
      </c>
      <c r="C27" s="22"/>
      <c r="D27" s="52">
        <f>B27-C27</f>
        <v>950.09</v>
      </c>
      <c r="E27" s="51"/>
      <c r="F27" s="21"/>
      <c r="G27" s="27"/>
      <c r="H27" s="23"/>
      <c r="I27" s="13"/>
      <c r="J27" s="13"/>
      <c r="K27" s="13"/>
      <c r="L27" s="13"/>
    </row>
    <row r="28" spans="1:12" s="14" customFormat="1" ht="12.75" customHeight="1">
      <c r="A28" s="81" t="s">
        <v>117</v>
      </c>
      <c r="B28" s="54"/>
      <c r="C28" s="22"/>
      <c r="D28" s="51">
        <f>B28-C28</f>
        <v>0</v>
      </c>
      <c r="E28" s="51"/>
      <c r="F28" s="21"/>
      <c r="G28" s="90"/>
      <c r="H28" s="23"/>
      <c r="I28" s="13"/>
      <c r="J28" s="13"/>
      <c r="K28" s="13"/>
      <c r="L28" s="13"/>
    </row>
    <row r="29" spans="1:12" s="14" customFormat="1" ht="12.75" customHeight="1">
      <c r="A29" s="81" t="s">
        <v>34</v>
      </c>
      <c r="B29" s="54"/>
      <c r="C29" s="22"/>
      <c r="D29" s="51">
        <f>B29-C29</f>
        <v>0</v>
      </c>
      <c r="E29" s="51"/>
      <c r="F29" s="21"/>
      <c r="G29" s="90"/>
      <c r="H29" s="23"/>
      <c r="I29" s="13"/>
      <c r="J29" s="13"/>
      <c r="K29" s="13"/>
      <c r="L29" s="13"/>
    </row>
    <row r="30" spans="1:12" s="14" customFormat="1" ht="13.5" thickBot="1">
      <c r="A30" s="24" t="s">
        <v>120</v>
      </c>
      <c r="B30" s="132">
        <f>445.47+188.44+208.41+53</f>
        <v>895.32</v>
      </c>
      <c r="C30" s="132">
        <f>53+53.52+106.01</f>
        <v>212.53000000000003</v>
      </c>
      <c r="D30" s="133">
        <f t="shared" si="1"/>
        <v>682.79</v>
      </c>
      <c r="E30" s="42"/>
      <c r="F30" s="42"/>
      <c r="G30" s="91"/>
      <c r="H30" s="13"/>
      <c r="I30" s="13"/>
      <c r="J30" s="13"/>
      <c r="K30" s="13"/>
      <c r="L30" s="13"/>
    </row>
    <row r="31" spans="1:12" s="14" customFormat="1" ht="30.75" thickBot="1">
      <c r="A31" s="25" t="s">
        <v>10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.75" thickBot="1">
      <c r="A32" s="9" t="s">
        <v>23</v>
      </c>
      <c r="B32" s="38">
        <f>30</f>
        <v>30</v>
      </c>
      <c r="C32" s="47">
        <f>30</f>
        <v>30</v>
      </c>
      <c r="D32" s="46">
        <f>B32-C32</f>
        <v>0</v>
      </c>
      <c r="E32" s="61"/>
      <c r="F32" s="62"/>
      <c r="G32" s="26"/>
      <c r="H32" s="13"/>
      <c r="I32" s="13"/>
      <c r="J32" s="13"/>
      <c r="K32" s="13"/>
      <c r="L32" s="13"/>
    </row>
    <row r="33" spans="1:12" s="14" customFormat="1" ht="30.75" thickBot="1">
      <c r="A33" s="25" t="s">
        <v>22</v>
      </c>
      <c r="B33" s="37" t="s">
        <v>19</v>
      </c>
      <c r="C33" s="48" t="s">
        <v>12</v>
      </c>
      <c r="D33" s="44" t="s">
        <v>11</v>
      </c>
      <c r="E33" s="37" t="s">
        <v>21</v>
      </c>
      <c r="F33" s="37" t="s">
        <v>20</v>
      </c>
      <c r="G33" s="70" t="s">
        <v>58</v>
      </c>
      <c r="H33" s="65"/>
    </row>
    <row r="34" spans="1:12" s="14" customFormat="1" ht="15">
      <c r="A34" s="9" t="s">
        <v>35</v>
      </c>
      <c r="B34" s="38">
        <f>459.91+688.3+14.38</f>
        <v>1162.5900000000001</v>
      </c>
      <c r="C34" s="50">
        <f>273.07+189+511.87+14.38</f>
        <v>988.32</v>
      </c>
      <c r="D34" s="49">
        <f>B34-C34</f>
        <v>174.2700000000001</v>
      </c>
      <c r="E34" s="82"/>
      <c r="F34" s="60"/>
      <c r="G34" s="76"/>
      <c r="H34" s="13"/>
      <c r="I34" s="13"/>
      <c r="J34" s="13"/>
      <c r="K34" s="13"/>
      <c r="L34" s="13"/>
    </row>
    <row r="35" spans="1:12" s="14" customFormat="1" ht="17.25" customHeight="1">
      <c r="A35" s="20" t="s">
        <v>38</v>
      </c>
      <c r="B35" s="41">
        <f>378.51+1270.61+47.51</f>
        <v>1696.6299999999999</v>
      </c>
      <c r="C35" s="53">
        <f>47.51+1228.51+302.8</f>
        <v>1578.82</v>
      </c>
      <c r="D35" s="22">
        <f>B35-C35</f>
        <v>117.80999999999995</v>
      </c>
      <c r="E35" s="54"/>
      <c r="F35" s="41"/>
      <c r="G35" s="27"/>
      <c r="H35" s="13"/>
      <c r="I35" s="13"/>
      <c r="J35" s="13"/>
      <c r="K35" s="13"/>
      <c r="L35" s="13"/>
    </row>
    <row r="36" spans="1:12" s="14" customFormat="1" ht="12.75" customHeight="1">
      <c r="A36" s="124" t="s">
        <v>70</v>
      </c>
      <c r="B36" s="41">
        <f>213.59+1128.9+129.25+179.94+110.33</f>
        <v>1762.01</v>
      </c>
      <c r="C36" s="51">
        <f>223.33+766.3+143.5+194.27+61.14</f>
        <v>1388.5400000000002</v>
      </c>
      <c r="D36" s="22">
        <f>B36-C36</f>
        <v>373.4699999999998</v>
      </c>
      <c r="E36" s="54"/>
      <c r="F36" s="41"/>
      <c r="G36" s="27"/>
      <c r="H36" s="13"/>
      <c r="I36" s="13"/>
      <c r="J36" s="13"/>
      <c r="K36" s="13"/>
      <c r="L36" s="13"/>
    </row>
    <row r="37" spans="1:12" s="14" customFormat="1">
      <c r="A37" s="81" t="s">
        <v>119</v>
      </c>
      <c r="B37" s="132">
        <f>48.75+153.96</f>
        <v>202.71</v>
      </c>
      <c r="C37" s="132">
        <f>130.48</f>
        <v>130.47999999999999</v>
      </c>
      <c r="D37" s="133">
        <f>B37-C37</f>
        <v>72.230000000000018</v>
      </c>
      <c r="E37" s="111"/>
      <c r="F37" s="57"/>
      <c r="G37" s="112"/>
      <c r="K37" s="13"/>
      <c r="L37" s="13"/>
    </row>
    <row r="38" spans="1:12" s="14" customFormat="1" ht="13.5" thickBot="1">
      <c r="A38" s="24" t="s">
        <v>99</v>
      </c>
      <c r="B38" s="126">
        <f>1615.47+1257.21</f>
        <v>2872.6800000000003</v>
      </c>
      <c r="C38" s="113">
        <f>0</f>
        <v>0</v>
      </c>
      <c r="D38" s="126">
        <f>B38</f>
        <v>2872.6800000000003</v>
      </c>
      <c r="E38" s="71"/>
      <c r="F38" s="72"/>
      <c r="G38" s="74"/>
      <c r="K38" s="13"/>
      <c r="L38" s="13"/>
    </row>
    <row r="39" spans="1:12" ht="34.5" customHeight="1" thickBot="1">
      <c r="A39" s="25" t="s">
        <v>72</v>
      </c>
      <c r="B39" s="37" t="s">
        <v>19</v>
      </c>
      <c r="C39" s="48" t="s">
        <v>12</v>
      </c>
      <c r="D39" s="44" t="s">
        <v>11</v>
      </c>
      <c r="E39" s="37" t="s">
        <v>21</v>
      </c>
      <c r="F39" s="87" t="s">
        <v>84</v>
      </c>
      <c r="G39" s="68"/>
      <c r="H39" s="13"/>
      <c r="I39" s="13"/>
      <c r="J39" s="13"/>
      <c r="K39" s="13"/>
      <c r="L39" s="13"/>
    </row>
    <row r="40" spans="1:12" ht="19.5" customHeight="1" thickBot="1">
      <c r="A40" s="9" t="s">
        <v>71</v>
      </c>
      <c r="B40" s="120"/>
      <c r="C40" s="120"/>
      <c r="D40" s="121"/>
      <c r="E40" s="123"/>
      <c r="F40" s="122"/>
      <c r="G40" s="68"/>
    </row>
    <row r="41" spans="1:12" ht="19.5" customHeight="1" thickBot="1">
      <c r="A41" s="25" t="s">
        <v>50</v>
      </c>
      <c r="B41" s="75" t="s">
        <v>65</v>
      </c>
      <c r="C41" s="68"/>
      <c r="D41" s="68"/>
      <c r="E41" s="68"/>
      <c r="F41" s="68"/>
      <c r="G41" s="68"/>
      <c r="H41" s="13"/>
      <c r="I41" s="13"/>
      <c r="J41" s="13"/>
      <c r="K41" s="13"/>
      <c r="L41" s="13"/>
    </row>
    <row r="42" spans="1:12" ht="30" customHeight="1">
      <c r="A42" s="101" t="s">
        <v>138</v>
      </c>
      <c r="B42" s="79"/>
      <c r="C42" s="68"/>
      <c r="D42" s="68"/>
      <c r="E42" s="68"/>
      <c r="F42" s="68"/>
      <c r="G42" s="68"/>
    </row>
    <row r="43" spans="1:12" ht="15">
      <c r="A43" s="29" t="s">
        <v>139</v>
      </c>
      <c r="B43" s="80"/>
      <c r="C43" s="68"/>
      <c r="D43" s="68"/>
      <c r="E43" s="68"/>
      <c r="F43" s="68"/>
      <c r="G43" s="68"/>
    </row>
    <row r="44" spans="1:12" ht="15">
      <c r="A44" s="29" t="s">
        <v>140</v>
      </c>
      <c r="B44" s="80"/>
      <c r="C44" s="68"/>
      <c r="D44" s="68"/>
      <c r="E44" s="68"/>
      <c r="F44" s="68"/>
      <c r="G44" s="68"/>
    </row>
    <row r="45" spans="1:12" ht="15">
      <c r="A45" s="29" t="s">
        <v>141</v>
      </c>
      <c r="B45" s="80"/>
      <c r="C45" s="68"/>
      <c r="D45" s="68"/>
      <c r="E45" s="68"/>
      <c r="F45" s="68"/>
      <c r="G45" s="68"/>
    </row>
    <row r="46" spans="1:12" ht="15">
      <c r="A46" s="20" t="s">
        <v>142</v>
      </c>
      <c r="B46" s="80"/>
      <c r="C46" s="68"/>
      <c r="D46" s="68"/>
      <c r="E46" s="68"/>
      <c r="F46" s="68"/>
      <c r="G46" s="68"/>
    </row>
    <row r="47" spans="1:12" ht="25.5">
      <c r="A47" s="64" t="s">
        <v>143</v>
      </c>
      <c r="B47" s="80"/>
      <c r="C47" s="68"/>
      <c r="D47" s="68"/>
      <c r="E47" s="68"/>
      <c r="F47" s="68"/>
      <c r="G47" s="68"/>
    </row>
    <row r="48" spans="1:12" ht="25.5">
      <c r="A48" s="64" t="s">
        <v>144</v>
      </c>
      <c r="B48" s="80"/>
      <c r="C48" s="68"/>
      <c r="D48" s="68"/>
      <c r="E48" s="68"/>
      <c r="F48" s="68"/>
      <c r="G48" s="68"/>
    </row>
    <row r="49" spans="1:12" ht="25.5">
      <c r="A49" s="64" t="s">
        <v>145</v>
      </c>
      <c r="B49" s="80"/>
      <c r="C49" s="68"/>
      <c r="D49" s="68"/>
      <c r="E49" s="68"/>
      <c r="F49" s="68"/>
      <c r="G49" s="68"/>
    </row>
    <row r="50" spans="1:12" ht="15">
      <c r="A50" s="18" t="s">
        <v>125</v>
      </c>
      <c r="B50" s="80"/>
      <c r="C50" s="68"/>
      <c r="D50" s="68"/>
      <c r="E50" s="68"/>
      <c r="F50" s="68"/>
      <c r="G50" s="68"/>
    </row>
    <row r="51" spans="1:12" ht="14.25" customHeight="1">
      <c r="A51" s="29" t="s">
        <v>126</v>
      </c>
      <c r="B51" s="80"/>
      <c r="C51" s="68"/>
      <c r="D51" s="68"/>
      <c r="E51" s="68"/>
      <c r="F51" s="68"/>
      <c r="G51" s="68"/>
    </row>
    <row r="52" spans="1:12" ht="26.25" customHeight="1">
      <c r="A52" s="29" t="s">
        <v>127</v>
      </c>
      <c r="B52" s="80"/>
      <c r="C52" s="68"/>
      <c r="D52" s="68"/>
      <c r="E52" s="68"/>
      <c r="F52" s="68"/>
      <c r="G52" s="68"/>
    </row>
    <row r="53" spans="1:12" ht="33" customHeight="1">
      <c r="A53" s="29" t="s">
        <v>128</v>
      </c>
      <c r="B53" s="80"/>
      <c r="C53" s="68"/>
      <c r="D53" s="68"/>
      <c r="E53" s="68"/>
      <c r="F53" s="68"/>
      <c r="G53" s="68"/>
      <c r="J53" s="13"/>
      <c r="K53" s="13"/>
      <c r="L53" s="13"/>
    </row>
    <row r="54" spans="1:12" ht="32.25" customHeight="1">
      <c r="A54" s="29" t="s">
        <v>129</v>
      </c>
      <c r="B54" s="80"/>
      <c r="C54" s="68"/>
      <c r="D54" s="68"/>
      <c r="E54" s="68"/>
      <c r="F54" s="68"/>
      <c r="G54" s="68"/>
    </row>
    <row r="55" spans="1:12" ht="31.5" customHeight="1">
      <c r="A55" s="29" t="s">
        <v>134</v>
      </c>
      <c r="B55" s="80"/>
      <c r="C55" s="68"/>
      <c r="D55" s="68"/>
      <c r="E55" s="68"/>
      <c r="F55" s="68"/>
      <c r="G55" s="68"/>
    </row>
    <row r="56" spans="1:12" s="14" customFormat="1" ht="15">
      <c r="A56" s="29" t="s">
        <v>135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136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29" t="s">
        <v>130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29" t="s">
        <v>131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s="14" customFormat="1" ht="15">
      <c r="A60" s="64" t="s">
        <v>132</v>
      </c>
      <c r="B60" s="80"/>
      <c r="C60" s="68"/>
      <c r="D60" s="68"/>
      <c r="E60" s="68"/>
      <c r="F60" s="68"/>
      <c r="G60" s="68"/>
      <c r="H60" s="3"/>
      <c r="I60" s="3"/>
      <c r="J60" s="13"/>
      <c r="K60" s="13"/>
      <c r="L60" s="13"/>
    </row>
    <row r="61" spans="1:12" s="14" customFormat="1" ht="25.5">
      <c r="A61" s="64" t="s">
        <v>133</v>
      </c>
      <c r="B61" s="80"/>
      <c r="C61" s="68"/>
      <c r="D61" s="68"/>
      <c r="E61" s="68"/>
      <c r="F61" s="68"/>
      <c r="G61" s="68"/>
      <c r="H61" s="3"/>
      <c r="I61" s="3"/>
      <c r="J61" s="13"/>
      <c r="K61" s="13"/>
      <c r="L61" s="13"/>
    </row>
    <row r="62" spans="1:12" ht="15">
      <c r="A62" s="66" t="s">
        <v>146</v>
      </c>
      <c r="B62" s="80"/>
      <c r="C62" s="68"/>
      <c r="D62" s="68"/>
      <c r="E62" s="68"/>
      <c r="F62" s="68"/>
      <c r="G62" s="68"/>
    </row>
    <row r="63" spans="1:12" ht="15">
      <c r="A63" s="81" t="s">
        <v>124</v>
      </c>
      <c r="B63" s="80"/>
      <c r="C63" s="68"/>
      <c r="D63" s="68"/>
      <c r="E63" s="68"/>
      <c r="F63" s="68"/>
      <c r="G63" s="68"/>
    </row>
    <row r="64" spans="1:12" ht="15">
      <c r="A64" s="64" t="s">
        <v>73</v>
      </c>
      <c r="B64" s="80"/>
      <c r="C64" s="68"/>
      <c r="D64" s="68"/>
      <c r="E64" s="68"/>
      <c r="F64" s="68"/>
      <c r="G64" s="68"/>
    </row>
    <row r="65" spans="1:12" ht="15">
      <c r="A65" s="64" t="s">
        <v>74</v>
      </c>
      <c r="B65" s="80"/>
      <c r="C65" s="68"/>
      <c r="D65" s="68"/>
      <c r="E65" s="68"/>
      <c r="F65" s="68"/>
      <c r="G65" s="68"/>
    </row>
    <row r="66" spans="1:12" s="14" customFormat="1" ht="15">
      <c r="A66" s="64" t="s">
        <v>76</v>
      </c>
      <c r="B66" s="80"/>
      <c r="C66" s="68"/>
      <c r="D66" s="68"/>
      <c r="E66" s="68"/>
      <c r="F66" s="68"/>
      <c r="G66" s="68"/>
      <c r="H66" s="13"/>
      <c r="I66" s="13"/>
      <c r="J66" s="3"/>
      <c r="K66" s="3"/>
      <c r="L66" s="3"/>
    </row>
    <row r="67" spans="1:12" ht="15">
      <c r="A67" s="64" t="s">
        <v>75</v>
      </c>
      <c r="B67" s="80"/>
      <c r="C67" s="68"/>
      <c r="D67" s="68"/>
      <c r="E67" s="68"/>
      <c r="F67" s="68"/>
      <c r="G67" s="68"/>
      <c r="H67" s="13"/>
      <c r="I67" s="13"/>
    </row>
    <row r="68" spans="1:12" ht="15">
      <c r="A68" s="64" t="s">
        <v>77</v>
      </c>
      <c r="B68" s="80"/>
      <c r="C68" s="68"/>
      <c r="D68" s="68"/>
      <c r="E68" s="68"/>
      <c r="F68" s="68"/>
      <c r="G68" s="68"/>
    </row>
    <row r="69" spans="1:12" ht="15">
      <c r="A69" s="64" t="s">
        <v>83</v>
      </c>
      <c r="B69" s="80"/>
      <c r="C69" s="68"/>
      <c r="D69" s="68"/>
      <c r="E69" s="68"/>
      <c r="F69" s="68"/>
      <c r="G69" s="68"/>
    </row>
    <row r="70" spans="1:12" ht="15">
      <c r="A70" s="64" t="s">
        <v>90</v>
      </c>
      <c r="B70" s="80"/>
      <c r="C70" s="68"/>
      <c r="D70" s="68"/>
      <c r="E70" s="68"/>
      <c r="F70" s="68"/>
      <c r="G70" s="68"/>
    </row>
    <row r="71" spans="1:12" ht="15">
      <c r="A71" s="64" t="s">
        <v>91</v>
      </c>
      <c r="B71" s="80"/>
      <c r="C71" s="36"/>
      <c r="D71" s="55"/>
      <c r="E71" s="59"/>
      <c r="F71" s="59"/>
    </row>
    <row r="72" spans="1:12" ht="15">
      <c r="A72" s="64" t="s">
        <v>96</v>
      </c>
      <c r="B72" s="80"/>
      <c r="C72" s="36"/>
      <c r="D72" s="55"/>
      <c r="E72" s="59"/>
      <c r="F72" s="59"/>
    </row>
    <row r="73" spans="1:12" ht="15">
      <c r="A73" s="64" t="s">
        <v>97</v>
      </c>
      <c r="B73" s="80"/>
      <c r="C73" s="36"/>
      <c r="D73" s="55"/>
      <c r="E73" s="59"/>
      <c r="F73" s="59"/>
    </row>
    <row r="74" spans="1:12" ht="15">
      <c r="A74" s="64" t="s">
        <v>98</v>
      </c>
      <c r="B74" s="80"/>
      <c r="C74" s="36"/>
      <c r="D74" s="55"/>
      <c r="E74" s="59"/>
      <c r="F74" s="59"/>
    </row>
    <row r="75" spans="1:12" ht="14.25" customHeight="1">
      <c r="A75" s="64" t="s">
        <v>137</v>
      </c>
      <c r="B75" s="80"/>
      <c r="C75" s="36"/>
      <c r="D75" s="55"/>
      <c r="E75" s="59"/>
      <c r="F75" s="59"/>
    </row>
    <row r="76" spans="1:12" ht="15">
      <c r="A76" s="64" t="s">
        <v>94</v>
      </c>
      <c r="B76" s="80"/>
      <c r="C76" s="36"/>
      <c r="D76" s="55"/>
      <c r="E76" s="59"/>
      <c r="F76" s="59"/>
    </row>
    <row r="77" spans="1:12" ht="15">
      <c r="A77" s="64" t="s">
        <v>95</v>
      </c>
      <c r="B77" s="80"/>
      <c r="C77" s="36"/>
      <c r="D77" s="55"/>
      <c r="E77" s="59"/>
      <c r="F77" s="59"/>
    </row>
    <row r="78" spans="1:12" ht="25.5">
      <c r="A78" s="64" t="s">
        <v>147</v>
      </c>
      <c r="B78" s="80"/>
      <c r="C78" s="36"/>
      <c r="D78" s="55"/>
      <c r="E78" s="59"/>
      <c r="F78" s="59"/>
    </row>
    <row r="79" spans="1:12" ht="25.5">
      <c r="A79" s="64" t="s">
        <v>148</v>
      </c>
      <c r="B79" s="80"/>
      <c r="C79" s="36"/>
      <c r="D79" s="55"/>
      <c r="E79" s="59"/>
      <c r="F79" s="59"/>
    </row>
    <row r="80" spans="1:12" ht="25.5">
      <c r="A80" s="64" t="s">
        <v>149</v>
      </c>
      <c r="B80" s="80"/>
      <c r="C80" s="36"/>
      <c r="D80" s="55"/>
      <c r="E80" s="59"/>
      <c r="F80" s="59"/>
    </row>
    <row r="81" spans="1:12" ht="15">
      <c r="A81" s="64" t="s">
        <v>150</v>
      </c>
      <c r="B81" s="80"/>
      <c r="C81" s="36"/>
      <c r="D81" s="55"/>
      <c r="E81" s="59"/>
      <c r="F81" s="59"/>
    </row>
    <row r="82" spans="1:12" ht="15">
      <c r="A82" s="64" t="s">
        <v>151</v>
      </c>
      <c r="B82" s="80"/>
      <c r="C82" s="36"/>
      <c r="D82" s="55"/>
      <c r="E82" s="59"/>
      <c r="F82" s="59"/>
    </row>
    <row r="83" spans="1:12" ht="15">
      <c r="A83" s="94" t="s">
        <v>82</v>
      </c>
      <c r="B83" s="80"/>
      <c r="C83" s="36"/>
      <c r="D83" s="55"/>
      <c r="E83" s="59"/>
      <c r="F83" s="59"/>
    </row>
    <row r="84" spans="1:12" ht="15">
      <c r="A84" s="94" t="s">
        <v>101</v>
      </c>
      <c r="B84" s="80"/>
      <c r="C84" s="36"/>
      <c r="D84" s="55"/>
      <c r="E84" s="59"/>
      <c r="F84" s="59"/>
    </row>
    <row r="85" spans="1:12" ht="15">
      <c r="A85" s="94" t="s">
        <v>102</v>
      </c>
      <c r="B85" s="80"/>
      <c r="C85" s="36"/>
      <c r="D85" s="55"/>
      <c r="E85" s="59"/>
      <c r="F85" s="59"/>
    </row>
    <row r="86" spans="1:12" ht="15">
      <c r="A86" s="94" t="s">
        <v>103</v>
      </c>
      <c r="B86" s="80"/>
      <c r="C86" s="36"/>
      <c r="D86" s="55"/>
      <c r="E86" s="59"/>
      <c r="F86" s="59"/>
    </row>
    <row r="87" spans="1:12" ht="15">
      <c r="A87" s="94" t="s">
        <v>104</v>
      </c>
      <c r="B87" s="80"/>
      <c r="C87" s="36"/>
      <c r="D87" s="55"/>
      <c r="E87" s="59"/>
      <c r="F87" s="59"/>
    </row>
    <row r="88" spans="1:12" ht="25.5">
      <c r="A88" s="115" t="s">
        <v>112</v>
      </c>
      <c r="B88" s="80"/>
      <c r="C88" s="36"/>
      <c r="D88" s="55"/>
      <c r="E88" s="59"/>
      <c r="F88" s="59"/>
    </row>
    <row r="89" spans="1:12" ht="26.25" thickBot="1">
      <c r="A89" s="95" t="s">
        <v>111</v>
      </c>
      <c r="B89" s="96"/>
      <c r="C89" s="36"/>
      <c r="D89" s="55"/>
      <c r="E89" s="59"/>
      <c r="F89" s="59"/>
    </row>
    <row r="90" spans="1:12" ht="15.75" thickBot="1">
      <c r="A90" s="92"/>
      <c r="B90" s="137"/>
      <c r="C90" s="36"/>
      <c r="D90" s="55"/>
      <c r="E90" s="59"/>
      <c r="F90" s="59"/>
    </row>
    <row r="91" spans="1:12" s="14" customFormat="1" ht="15.75" thickBot="1">
      <c r="A91" s="93" t="s">
        <v>64</v>
      </c>
      <c r="B91" s="78">
        <f>SUM(B2:B38)</f>
        <v>15594.589999999998</v>
      </c>
      <c r="C91" s="69"/>
      <c r="D91" s="58"/>
      <c r="E91" s="68"/>
      <c r="F91" s="68"/>
      <c r="G91" s="58"/>
      <c r="H91" s="13"/>
      <c r="I91" s="13"/>
      <c r="J91" s="13"/>
      <c r="K91" s="13"/>
      <c r="L91" s="13"/>
    </row>
    <row r="92" spans="1:12" s="14" customFormat="1" ht="15.75" thickBot="1">
      <c r="A92" s="67" t="s">
        <v>55</v>
      </c>
      <c r="B92" s="28">
        <f>SUM(G2:G38)</f>
        <v>0</v>
      </c>
      <c r="C92" s="58"/>
      <c r="D92" s="58"/>
      <c r="E92" s="68"/>
      <c r="F92" s="68"/>
      <c r="G92" s="30"/>
      <c r="H92" s="13"/>
      <c r="I92" s="13"/>
      <c r="J92" s="13"/>
      <c r="K92" s="13"/>
      <c r="L92" s="13"/>
    </row>
    <row r="93" spans="1:12" ht="15.75" thickBot="1">
      <c r="A93" s="86" t="s">
        <v>56</v>
      </c>
      <c r="B93" s="78">
        <f>SUM(B42:B89)</f>
        <v>0</v>
      </c>
      <c r="C93" s="36"/>
      <c r="D93" s="55"/>
      <c r="E93" s="59"/>
      <c r="F93" s="59"/>
    </row>
    <row r="94" spans="1:12" ht="15.75" thickBot="1">
      <c r="A94" s="77" t="s">
        <v>67</v>
      </c>
      <c r="B94" s="78">
        <f>B91+B92+B93</f>
        <v>15594.589999999998</v>
      </c>
      <c r="C94" s="36"/>
      <c r="D94" s="55"/>
    </row>
    <row r="95" spans="1:12">
      <c r="B95" s="36"/>
      <c r="C95" s="36"/>
      <c r="D95" s="55"/>
    </row>
    <row r="96" spans="1:12">
      <c r="B96" s="36"/>
      <c r="C96" s="36"/>
      <c r="D96" s="55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>
      <c r="B99" s="36"/>
      <c r="C99" s="36"/>
      <c r="D99" s="36"/>
    </row>
    <row r="100" spans="1:12">
      <c r="B100" s="36"/>
      <c r="C100" s="36"/>
      <c r="D100" s="36"/>
    </row>
    <row r="101" spans="1:12" s="36" customFormat="1">
      <c r="A101" s="3"/>
      <c r="G101" s="33"/>
      <c r="H101" s="3"/>
      <c r="I101" s="3"/>
      <c r="J101" s="3"/>
      <c r="K101" s="3"/>
      <c r="L101" s="3"/>
    </row>
    <row r="102" spans="1:12" s="36" customFormat="1">
      <c r="A102" s="3"/>
      <c r="G102" s="33"/>
      <c r="H102" s="3"/>
      <c r="I102" s="3"/>
      <c r="J102" s="3"/>
      <c r="K102" s="3"/>
      <c r="L102" s="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02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39" sqref="A39:XFD40 B15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f>1905.2+38.26+68.22+36.85+74.35</f>
        <v>2122.88</v>
      </c>
      <c r="C2" s="38">
        <f>1490.1+38.26+68.22+36.85+74.35</f>
        <v>1707.7799999999997</v>
      </c>
      <c r="D2" s="108">
        <f>B2-C2</f>
        <v>415.10000000000036</v>
      </c>
      <c r="E2" s="63"/>
      <c r="F2" s="38"/>
      <c r="G2" s="10">
        <v>222.51</v>
      </c>
    </row>
    <row r="3" spans="1:12" s="14" customFormat="1" ht="13.5" thickBot="1">
      <c r="A3" s="11" t="s">
        <v>28</v>
      </c>
      <c r="B3" s="39">
        <v>469.7</v>
      </c>
      <c r="C3" s="39">
        <v>144.4</v>
      </c>
      <c r="D3" s="73">
        <f>B3-C3</f>
        <v>325.29999999999995</v>
      </c>
      <c r="E3" s="39"/>
      <c r="F3" s="39"/>
      <c r="G3" s="12">
        <v>182.86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>
      <c r="A5" s="18" t="s">
        <v>170</v>
      </c>
      <c r="B5" s="40">
        <f>10+452.81</f>
        <v>462.81</v>
      </c>
      <c r="C5" s="51">
        <f>326.32</f>
        <v>326.32</v>
      </c>
      <c r="D5" s="51">
        <f>B5-C5</f>
        <v>136.49</v>
      </c>
      <c r="E5" s="51"/>
      <c r="F5" s="21"/>
      <c r="G5" s="88">
        <v>533.04</v>
      </c>
      <c r="H5" s="16"/>
    </row>
    <row r="6" spans="1:12" s="14" customFormat="1">
      <c r="A6" s="18" t="s">
        <v>60</v>
      </c>
      <c r="B6" s="40"/>
      <c r="C6" s="51"/>
      <c r="D6" s="51">
        <f t="shared" ref="D6:D18" si="0">B6-C6</f>
        <v>0</v>
      </c>
      <c r="E6" s="51"/>
      <c r="F6" s="21"/>
      <c r="G6" s="88">
        <v>15.09</v>
      </c>
      <c r="H6" s="13"/>
      <c r="I6" s="13"/>
      <c r="J6" s="13"/>
      <c r="K6" s="13"/>
      <c r="L6" s="13"/>
    </row>
    <row r="7" spans="1:12" s="14" customFormat="1">
      <c r="A7" s="18" t="s">
        <v>100</v>
      </c>
      <c r="B7" s="40">
        <f>309.89+44.65+623.7</f>
        <v>978.24</v>
      </c>
      <c r="C7" s="51">
        <f>206.1+125.71+740.45</f>
        <v>1072.26</v>
      </c>
      <c r="D7" s="51">
        <f>B7-C7</f>
        <v>-94.019999999999982</v>
      </c>
      <c r="E7" s="51"/>
      <c r="F7" s="21"/>
      <c r="G7" s="88">
        <v>275.58999999999997</v>
      </c>
      <c r="H7" s="13"/>
      <c r="I7" s="13"/>
      <c r="J7" s="13"/>
      <c r="K7" s="13"/>
      <c r="L7" s="13"/>
    </row>
    <row r="8" spans="1:12" s="14" customFormat="1" ht="13.5" customHeight="1">
      <c r="A8" s="20" t="s">
        <v>29</v>
      </c>
      <c r="B8" s="41"/>
      <c r="C8" s="51"/>
      <c r="D8" s="51">
        <f t="shared" si="0"/>
        <v>0</v>
      </c>
      <c r="E8" s="51"/>
      <c r="F8" s="21"/>
      <c r="G8" s="27">
        <v>11.74</v>
      </c>
      <c r="H8" s="13"/>
      <c r="I8" s="13"/>
      <c r="J8" s="13"/>
      <c r="K8" s="13"/>
      <c r="L8" s="13"/>
    </row>
    <row r="9" spans="1:12" s="14" customFormat="1">
      <c r="A9" s="20" t="s">
        <v>92</v>
      </c>
      <c r="B9" s="41"/>
      <c r="C9" s="51"/>
      <c r="D9" s="51">
        <f t="shared" si="0"/>
        <v>0</v>
      </c>
      <c r="E9" s="51"/>
      <c r="F9" s="21"/>
      <c r="G9" s="27"/>
      <c r="H9" s="13"/>
      <c r="I9" s="13"/>
      <c r="J9" s="13"/>
      <c r="K9" s="13"/>
      <c r="L9" s="13"/>
    </row>
    <row r="10" spans="1:12" s="14" customFormat="1">
      <c r="A10" s="20" t="s">
        <v>37</v>
      </c>
      <c r="B10" s="41">
        <f>102.75+168.01+26.3</f>
        <v>297.06</v>
      </c>
      <c r="C10" s="51">
        <f>32.3+251.83+46.67+17.5</f>
        <v>348.3</v>
      </c>
      <c r="D10" s="51">
        <f>B10-C10</f>
        <v>-51.240000000000009</v>
      </c>
      <c r="E10" s="51"/>
      <c r="F10" s="21"/>
      <c r="G10" s="27">
        <v>566.25</v>
      </c>
      <c r="H10" s="13"/>
      <c r="I10" s="13"/>
      <c r="J10" s="13"/>
      <c r="K10" s="13"/>
      <c r="L10" s="13"/>
    </row>
    <row r="11" spans="1:12" s="14" customFormat="1">
      <c r="A11" s="20" t="s">
        <v>68</v>
      </c>
      <c r="B11" s="41">
        <f>236.4+865.08</f>
        <v>1101.48</v>
      </c>
      <c r="C11" s="51">
        <f>219.7+865.08</f>
        <v>1084.78</v>
      </c>
      <c r="D11" s="51">
        <f t="shared" si="0"/>
        <v>16.700000000000045</v>
      </c>
      <c r="E11" s="51"/>
      <c r="F11" s="21"/>
      <c r="G11" s="27">
        <v>1053.1400000000001</v>
      </c>
      <c r="H11" s="13"/>
      <c r="I11" s="13"/>
      <c r="J11" s="13"/>
      <c r="K11" s="13"/>
      <c r="L11" s="13"/>
    </row>
    <row r="12" spans="1:12" s="14" customFormat="1">
      <c r="A12" s="20" t="s">
        <v>122</v>
      </c>
      <c r="B12" s="41"/>
      <c r="C12" s="51"/>
      <c r="D12" s="51">
        <f t="shared" si="0"/>
        <v>0</v>
      </c>
      <c r="E12" s="51"/>
      <c r="F12" s="21"/>
      <c r="G12" s="27">
        <v>7.68</v>
      </c>
      <c r="H12" s="13"/>
      <c r="I12" s="13"/>
      <c r="J12" s="13"/>
      <c r="K12" s="13"/>
      <c r="L12" s="13"/>
    </row>
    <row r="13" spans="1:12" s="14" customFormat="1">
      <c r="A13" s="20" t="s">
        <v>168</v>
      </c>
      <c r="B13" s="41">
        <f>690</f>
        <v>690</v>
      </c>
      <c r="C13" s="51">
        <v>0</v>
      </c>
      <c r="D13" s="51">
        <f t="shared" si="0"/>
        <v>690</v>
      </c>
      <c r="E13" s="51"/>
      <c r="F13" s="21"/>
      <c r="G13" s="27">
        <v>124.17</v>
      </c>
      <c r="H13" s="13"/>
      <c r="I13" s="13"/>
      <c r="J13" s="13"/>
      <c r="K13" s="13"/>
      <c r="L13" s="13"/>
    </row>
    <row r="14" spans="1:12" s="14" customFormat="1">
      <c r="A14" s="20" t="s">
        <v>115</v>
      </c>
      <c r="B14" s="41"/>
      <c r="C14" s="51"/>
      <c r="D14" s="51">
        <f t="shared" si="0"/>
        <v>0</v>
      </c>
      <c r="E14" s="51"/>
      <c r="F14" s="21"/>
      <c r="G14" s="27"/>
      <c r="H14" s="13"/>
      <c r="I14" s="13"/>
      <c r="J14" s="13"/>
      <c r="K14" s="13"/>
      <c r="L14" s="13"/>
    </row>
    <row r="15" spans="1:12" s="14" customFormat="1">
      <c r="A15" s="20" t="s">
        <v>123</v>
      </c>
      <c r="B15" s="41">
        <f>332+356.31</f>
        <v>688.31</v>
      </c>
      <c r="C15" s="51">
        <f>312+374.61</f>
        <v>686.61</v>
      </c>
      <c r="D15" s="51">
        <f t="shared" si="0"/>
        <v>1.6999999999999318</v>
      </c>
      <c r="E15" s="51"/>
      <c r="F15" s="21"/>
      <c r="G15" s="27">
        <v>442</v>
      </c>
      <c r="H15" s="13"/>
      <c r="I15" s="13"/>
      <c r="J15" s="13"/>
      <c r="K15" s="13"/>
      <c r="L15" s="13"/>
    </row>
    <row r="16" spans="1:12" s="14" customFormat="1">
      <c r="A16" s="20" t="s">
        <v>78</v>
      </c>
      <c r="B16" s="41"/>
      <c r="C16" s="51"/>
      <c r="D16" s="51">
        <f t="shared" si="0"/>
        <v>0</v>
      </c>
      <c r="E16" s="51"/>
      <c r="F16" s="21"/>
      <c r="G16" s="27">
        <v>0.1</v>
      </c>
      <c r="H16" s="13"/>
      <c r="I16" s="13"/>
      <c r="J16" s="13"/>
      <c r="K16" s="13"/>
      <c r="L16" s="13"/>
    </row>
    <row r="17" spans="1:12" s="14" customFormat="1">
      <c r="A17" s="20" t="s">
        <v>93</v>
      </c>
      <c r="B17" s="41"/>
      <c r="C17" s="51"/>
      <c r="D17" s="51">
        <f t="shared" si="0"/>
        <v>0</v>
      </c>
      <c r="E17" s="51"/>
      <c r="F17" s="22"/>
      <c r="G17" s="27">
        <v>14.84</v>
      </c>
      <c r="H17" s="13"/>
      <c r="I17" s="13"/>
      <c r="J17" s="13"/>
      <c r="K17" s="13"/>
      <c r="L17" s="13"/>
    </row>
    <row r="18" spans="1:12" s="14" customFormat="1">
      <c r="A18" s="18" t="s">
        <v>24</v>
      </c>
      <c r="B18" s="40"/>
      <c r="C18" s="51"/>
      <c r="D18" s="51">
        <f t="shared" si="0"/>
        <v>0</v>
      </c>
      <c r="E18" s="51"/>
      <c r="F18" s="22"/>
      <c r="G18" s="89"/>
      <c r="H18" s="13"/>
      <c r="I18" s="13"/>
      <c r="J18" s="13"/>
      <c r="K18" s="13"/>
      <c r="L18" s="13"/>
    </row>
    <row r="19" spans="1:12" s="14" customFormat="1">
      <c r="A19" s="18" t="s">
        <v>25</v>
      </c>
      <c r="B19" s="40">
        <f>84.78+237.37</f>
        <v>322.14999999999998</v>
      </c>
      <c r="C19" s="51">
        <f>76.18+248.59</f>
        <v>324.77</v>
      </c>
      <c r="D19" s="51">
        <f>B19-C19</f>
        <v>-2.6200000000000045</v>
      </c>
      <c r="E19" s="51"/>
      <c r="F19" s="22"/>
      <c r="G19" s="89">
        <v>1204.43</v>
      </c>
      <c r="H19" s="13"/>
      <c r="I19" s="13"/>
      <c r="J19" s="13"/>
      <c r="K19" s="13"/>
      <c r="L19" s="13"/>
    </row>
    <row r="20" spans="1:12" s="14" customFormat="1">
      <c r="A20" s="18" t="s">
        <v>169</v>
      </c>
      <c r="B20" s="40"/>
      <c r="C20" s="51"/>
      <c r="D20" s="51">
        <f>B20-C20</f>
        <v>0</v>
      </c>
      <c r="E20" s="51"/>
      <c r="F20" s="22"/>
      <c r="G20" s="89"/>
      <c r="H20" s="13"/>
      <c r="I20" s="13"/>
      <c r="J20" s="13"/>
      <c r="K20" s="13"/>
      <c r="L20" s="13"/>
    </row>
    <row r="21" spans="1:12" s="14" customFormat="1">
      <c r="A21" s="18" t="s">
        <v>59</v>
      </c>
      <c r="B21" s="40"/>
      <c r="C21" s="51"/>
      <c r="D21" s="51">
        <f t="shared" ref="D21:D30" si="1">B21-C21</f>
        <v>0</v>
      </c>
      <c r="E21" s="51"/>
      <c r="F21" s="19"/>
      <c r="G21" s="89">
        <v>23.61</v>
      </c>
      <c r="H21" s="13"/>
      <c r="I21" s="13"/>
      <c r="J21" s="13"/>
      <c r="K21" s="13"/>
      <c r="L21" s="13"/>
    </row>
    <row r="22" spans="1:12" s="14" customFormat="1">
      <c r="A22" s="18" t="s">
        <v>105</v>
      </c>
      <c r="B22" s="40"/>
      <c r="C22" s="51"/>
      <c r="D22" s="51">
        <f t="shared" si="1"/>
        <v>0</v>
      </c>
      <c r="E22" s="51"/>
      <c r="F22" s="19"/>
      <c r="G22" s="89"/>
      <c r="H22" s="13"/>
      <c r="I22" s="13"/>
      <c r="J22" s="13"/>
      <c r="K22" s="13"/>
      <c r="L22" s="13"/>
    </row>
    <row r="23" spans="1:12" s="14" customFormat="1">
      <c r="A23" s="18" t="s">
        <v>32</v>
      </c>
      <c r="B23" s="40"/>
      <c r="C23" s="51"/>
      <c r="D23" s="51">
        <f t="shared" si="1"/>
        <v>0</v>
      </c>
      <c r="E23" s="51"/>
      <c r="F23" s="21"/>
      <c r="G23" s="88">
        <v>1.45</v>
      </c>
      <c r="H23" s="13"/>
      <c r="I23" s="13"/>
      <c r="J23" s="13"/>
      <c r="K23" s="13"/>
      <c r="L23" s="13"/>
    </row>
    <row r="24" spans="1:12" s="14" customFormat="1">
      <c r="A24" s="20" t="s">
        <v>33</v>
      </c>
      <c r="B24" s="41"/>
      <c r="C24" s="51"/>
      <c r="D24" s="51">
        <f t="shared" si="1"/>
        <v>0</v>
      </c>
      <c r="E24" s="51"/>
      <c r="F24" s="21"/>
      <c r="G24" s="27">
        <v>40.43</v>
      </c>
      <c r="H24" s="13"/>
      <c r="I24" s="13"/>
      <c r="J24" s="13"/>
      <c r="K24" s="13"/>
      <c r="L24" s="13"/>
    </row>
    <row r="25" spans="1:12" s="14" customFormat="1">
      <c r="A25" s="20" t="s">
        <v>118</v>
      </c>
      <c r="B25" s="41"/>
      <c r="C25" s="51"/>
      <c r="D25" s="51"/>
      <c r="E25" s="51"/>
      <c r="F25" s="21"/>
      <c r="G25" s="27"/>
      <c r="H25" s="13"/>
      <c r="I25" s="13"/>
      <c r="J25" s="13"/>
      <c r="K25" s="13"/>
      <c r="L25" s="13"/>
    </row>
    <row r="26" spans="1:12" s="14" customFormat="1">
      <c r="A26" s="20" t="s">
        <v>31</v>
      </c>
      <c r="B26" s="41"/>
      <c r="C26" s="51"/>
      <c r="D26" s="51">
        <f>B26-C26</f>
        <v>0</v>
      </c>
      <c r="E26" s="51"/>
      <c r="F26" s="21"/>
      <c r="G26" s="27">
        <v>21.98</v>
      </c>
      <c r="H26" s="13"/>
      <c r="I26" s="13"/>
      <c r="J26" s="13"/>
      <c r="K26" s="13"/>
      <c r="L26" s="13"/>
    </row>
    <row r="27" spans="1:12" s="14" customFormat="1" ht="12.75" customHeight="1">
      <c r="A27" s="20" t="s">
        <v>69</v>
      </c>
      <c r="B27" s="54">
        <f>199.73+536.53+17.25+658.69</f>
        <v>1412.2</v>
      </c>
      <c r="C27" s="22">
        <v>0</v>
      </c>
      <c r="D27" s="52">
        <f>B27-C27</f>
        <v>1412.2</v>
      </c>
      <c r="E27" s="51"/>
      <c r="F27" s="21"/>
      <c r="G27" s="27">
        <v>1307.44</v>
      </c>
      <c r="H27" s="23"/>
      <c r="I27" s="13"/>
      <c r="J27" s="13"/>
      <c r="K27" s="13"/>
      <c r="L27" s="13"/>
    </row>
    <row r="28" spans="1:12" s="14" customFormat="1" ht="12.75" customHeight="1">
      <c r="A28" s="81" t="s">
        <v>117</v>
      </c>
      <c r="B28" s="54"/>
      <c r="C28" s="22"/>
      <c r="D28" s="51">
        <f>B28-C28</f>
        <v>0</v>
      </c>
      <c r="E28" s="51"/>
      <c r="F28" s="21"/>
      <c r="G28" s="90">
        <v>2.13</v>
      </c>
      <c r="H28" s="23"/>
      <c r="I28" s="13"/>
      <c r="J28" s="13"/>
      <c r="K28" s="13"/>
      <c r="L28" s="13"/>
    </row>
    <row r="29" spans="1:12" s="14" customFormat="1" ht="12.75" customHeight="1">
      <c r="A29" s="81" t="s">
        <v>34</v>
      </c>
      <c r="B29" s="54"/>
      <c r="C29" s="22"/>
      <c r="D29" s="51">
        <f>B29-C29</f>
        <v>0</v>
      </c>
      <c r="E29" s="51"/>
      <c r="F29" s="21"/>
      <c r="G29" s="90">
        <v>36.04</v>
      </c>
      <c r="H29" s="23"/>
      <c r="I29" s="13"/>
      <c r="J29" s="13"/>
      <c r="K29" s="13"/>
      <c r="L29" s="13"/>
    </row>
    <row r="30" spans="1:12" s="14" customFormat="1" ht="13.5" thickBot="1">
      <c r="A30" s="24" t="s">
        <v>120</v>
      </c>
      <c r="B30" s="132">
        <f>830.3+279.99</f>
        <v>1110.29</v>
      </c>
      <c r="C30" s="132">
        <f>742.39+235.99</f>
        <v>978.38</v>
      </c>
      <c r="D30" s="133">
        <f t="shared" si="1"/>
        <v>131.90999999999997</v>
      </c>
      <c r="E30" s="42"/>
      <c r="F30" s="42"/>
      <c r="G30" s="91"/>
      <c r="H30" s="13"/>
      <c r="I30" s="13"/>
      <c r="J30" s="13"/>
      <c r="K30" s="13"/>
      <c r="L30" s="13"/>
    </row>
    <row r="31" spans="1:12" s="14" customFormat="1" ht="30.75" thickBot="1">
      <c r="A31" s="25" t="s">
        <v>10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.75" thickBot="1">
      <c r="A32" s="9" t="s">
        <v>23</v>
      </c>
      <c r="B32" s="38">
        <f>256.7+329.58</f>
        <v>586.28</v>
      </c>
      <c r="C32" s="47">
        <f>114.5+289.96</f>
        <v>404.46</v>
      </c>
      <c r="D32" s="46">
        <f>B32-C32</f>
        <v>181.82</v>
      </c>
      <c r="E32" s="61"/>
      <c r="F32" s="62"/>
      <c r="G32" s="26">
        <v>7.15</v>
      </c>
      <c r="H32" s="13"/>
      <c r="I32" s="13"/>
      <c r="J32" s="13"/>
      <c r="K32" s="13"/>
      <c r="L32" s="13"/>
    </row>
    <row r="33" spans="1:12" s="14" customFormat="1" ht="30.75" thickBot="1">
      <c r="A33" s="25" t="s">
        <v>22</v>
      </c>
      <c r="B33" s="37" t="s">
        <v>19</v>
      </c>
      <c r="C33" s="48" t="s">
        <v>12</v>
      </c>
      <c r="D33" s="44" t="s">
        <v>11</v>
      </c>
      <c r="E33" s="37" t="s">
        <v>21</v>
      </c>
      <c r="F33" s="37" t="s">
        <v>20</v>
      </c>
      <c r="G33" s="70" t="s">
        <v>58</v>
      </c>
      <c r="H33" s="65"/>
    </row>
    <row r="34" spans="1:12" s="14" customFormat="1" ht="15">
      <c r="A34" s="9" t="s">
        <v>35</v>
      </c>
      <c r="B34" s="38">
        <f>424.39+1739.59</f>
        <v>2163.98</v>
      </c>
      <c r="C34" s="50">
        <f>276.8+1812.54</f>
        <v>2089.34</v>
      </c>
      <c r="D34" s="49">
        <f>B34-C34</f>
        <v>74.639999999999873</v>
      </c>
      <c r="E34" s="82"/>
      <c r="F34" s="60"/>
      <c r="G34" s="76">
        <v>613.49</v>
      </c>
      <c r="H34" s="13"/>
      <c r="I34" s="13"/>
      <c r="J34" s="13"/>
      <c r="K34" s="13"/>
      <c r="L34" s="13"/>
    </row>
    <row r="35" spans="1:12" s="14" customFormat="1" ht="17.25" customHeight="1">
      <c r="A35" s="20" t="s">
        <v>38</v>
      </c>
      <c r="B35" s="41"/>
      <c r="C35" s="53"/>
      <c r="D35" s="22">
        <f>B35-C35</f>
        <v>0</v>
      </c>
      <c r="E35" s="54"/>
      <c r="F35" s="41"/>
      <c r="G35" s="27">
        <v>95.17</v>
      </c>
      <c r="H35" s="13"/>
      <c r="I35" s="13"/>
      <c r="J35" s="13"/>
      <c r="K35" s="13"/>
      <c r="L35" s="13"/>
    </row>
    <row r="36" spans="1:12" s="14" customFormat="1" ht="12.75" customHeight="1">
      <c r="A36" s="124" t="s">
        <v>70</v>
      </c>
      <c r="B36" s="41">
        <f>664.89+1369.6</f>
        <v>2034.4899999999998</v>
      </c>
      <c r="C36" s="51">
        <f>656.46+1193.4</f>
        <v>1849.8600000000001</v>
      </c>
      <c r="D36" s="22">
        <f>B36-C36</f>
        <v>184.62999999999965</v>
      </c>
      <c r="E36" s="54"/>
      <c r="F36" s="41"/>
      <c r="G36" s="27">
        <v>505.42</v>
      </c>
      <c r="H36" s="13"/>
      <c r="I36" s="13"/>
      <c r="J36" s="13"/>
      <c r="K36" s="13"/>
      <c r="L36" s="13"/>
    </row>
    <row r="37" spans="1:12" s="14" customFormat="1">
      <c r="A37" s="81" t="s">
        <v>119</v>
      </c>
      <c r="B37" s="132">
        <f>54.91+99.87</f>
        <v>154.78</v>
      </c>
      <c r="C37" s="132">
        <f>54.91+102.31</f>
        <v>157.22</v>
      </c>
      <c r="D37" s="133">
        <f>B37-C37</f>
        <v>-2.4399999999999977</v>
      </c>
      <c r="E37" s="111"/>
      <c r="F37" s="57"/>
      <c r="G37" s="112"/>
      <c r="K37" s="13"/>
      <c r="L37" s="13"/>
    </row>
    <row r="38" spans="1:12" s="14" customFormat="1" ht="13.5" thickBot="1">
      <c r="A38" s="24" t="s">
        <v>99</v>
      </c>
      <c r="B38" s="126">
        <v>2849.05</v>
      </c>
      <c r="C38" s="113">
        <v>0</v>
      </c>
      <c r="D38" s="126">
        <f>B38</f>
        <v>2849.05</v>
      </c>
      <c r="E38" s="71"/>
      <c r="F38" s="72"/>
      <c r="G38" s="74"/>
      <c r="K38" s="13"/>
      <c r="L38" s="13"/>
    </row>
    <row r="39" spans="1:12" ht="34.5" customHeight="1" thickBot="1">
      <c r="A39" s="25" t="s">
        <v>72</v>
      </c>
      <c r="B39" s="37" t="s">
        <v>19</v>
      </c>
      <c r="C39" s="48" t="s">
        <v>12</v>
      </c>
      <c r="D39" s="44" t="s">
        <v>11</v>
      </c>
      <c r="E39" s="37" t="s">
        <v>21</v>
      </c>
      <c r="F39" s="87" t="s">
        <v>84</v>
      </c>
      <c r="G39" s="68"/>
      <c r="H39" s="13"/>
      <c r="I39" s="13"/>
      <c r="J39" s="13"/>
      <c r="K39" s="13"/>
      <c r="L39" s="13"/>
    </row>
    <row r="40" spans="1:12" ht="19.5" customHeight="1" thickBot="1">
      <c r="A40" s="9" t="s">
        <v>71</v>
      </c>
      <c r="B40" s="120">
        <v>799.82</v>
      </c>
      <c r="C40" s="120">
        <v>0</v>
      </c>
      <c r="D40" s="121">
        <f>B40-C40</f>
        <v>799.82</v>
      </c>
      <c r="E40" s="123"/>
      <c r="F40" s="122"/>
      <c r="G40" s="68"/>
    </row>
    <row r="41" spans="1:12" ht="19.5" customHeight="1" thickBot="1">
      <c r="A41" s="25" t="s">
        <v>50</v>
      </c>
      <c r="B41" s="75" t="s">
        <v>65</v>
      </c>
      <c r="C41" s="68"/>
      <c r="D41" s="68"/>
      <c r="E41" s="68"/>
      <c r="F41" s="68"/>
      <c r="G41" s="68"/>
      <c r="H41" s="13"/>
      <c r="I41" s="13"/>
      <c r="J41" s="13"/>
      <c r="K41" s="13"/>
      <c r="L41" s="13"/>
    </row>
    <row r="42" spans="1:12" ht="30" customHeight="1">
      <c r="A42" s="101" t="s">
        <v>138</v>
      </c>
      <c r="B42" s="79"/>
      <c r="C42" s="68"/>
      <c r="D42" s="68"/>
      <c r="E42" s="68"/>
      <c r="F42" s="68"/>
      <c r="G42" s="68"/>
    </row>
    <row r="43" spans="1:12" ht="15">
      <c r="A43" s="29" t="s">
        <v>139</v>
      </c>
      <c r="B43" s="80"/>
      <c r="C43" s="68"/>
      <c r="D43" s="68"/>
      <c r="E43" s="68"/>
      <c r="F43" s="68"/>
      <c r="G43" s="68"/>
    </row>
    <row r="44" spans="1:12" ht="15">
      <c r="A44" s="29" t="s">
        <v>140</v>
      </c>
      <c r="B44" s="80">
        <v>45.44</v>
      </c>
      <c r="C44" s="68"/>
      <c r="D44" s="68"/>
      <c r="E44" s="68"/>
      <c r="F44" s="68"/>
      <c r="G44" s="68"/>
    </row>
    <row r="45" spans="1:12" ht="15">
      <c r="A45" s="29" t="s">
        <v>141</v>
      </c>
      <c r="B45" s="80"/>
      <c r="C45" s="68"/>
      <c r="D45" s="68"/>
      <c r="E45" s="68"/>
      <c r="F45" s="68"/>
      <c r="G45" s="68"/>
    </row>
    <row r="46" spans="1:12" ht="15">
      <c r="A46" s="20" t="s">
        <v>142</v>
      </c>
      <c r="B46" s="80"/>
      <c r="C46" s="68"/>
      <c r="D46" s="68"/>
      <c r="E46" s="68"/>
      <c r="F46" s="68"/>
      <c r="G46" s="68"/>
    </row>
    <row r="47" spans="1:12" ht="25.5">
      <c r="A47" s="64" t="s">
        <v>143</v>
      </c>
      <c r="B47" s="80"/>
      <c r="C47" s="68"/>
      <c r="D47" s="68"/>
      <c r="E47" s="68"/>
      <c r="F47" s="68"/>
      <c r="G47" s="68"/>
    </row>
    <row r="48" spans="1:12" ht="25.5">
      <c r="A48" s="64" t="s">
        <v>144</v>
      </c>
      <c r="B48" s="80"/>
      <c r="C48" s="68"/>
      <c r="D48" s="68"/>
      <c r="E48" s="68"/>
      <c r="F48" s="68"/>
      <c r="G48" s="68"/>
    </row>
    <row r="49" spans="1:12" ht="25.5">
      <c r="A49" s="64" t="s">
        <v>145</v>
      </c>
      <c r="B49" s="80"/>
      <c r="C49" s="68"/>
      <c r="D49" s="68"/>
      <c r="E49" s="68"/>
      <c r="F49" s="68"/>
      <c r="G49" s="68"/>
    </row>
    <row r="50" spans="1:12" ht="15">
      <c r="A50" s="18" t="s">
        <v>125</v>
      </c>
      <c r="B50" s="80"/>
      <c r="C50" s="68"/>
      <c r="D50" s="68"/>
      <c r="E50" s="68"/>
      <c r="F50" s="68"/>
      <c r="G50" s="68"/>
    </row>
    <row r="51" spans="1:12" ht="14.25" customHeight="1">
      <c r="A51" s="29" t="s">
        <v>126</v>
      </c>
      <c r="B51" s="80"/>
      <c r="C51" s="68"/>
      <c r="D51" s="68"/>
      <c r="E51" s="68"/>
      <c r="F51" s="68"/>
      <c r="G51" s="68"/>
    </row>
    <row r="52" spans="1:12" ht="26.25" customHeight="1">
      <c r="A52" s="29" t="s">
        <v>127</v>
      </c>
      <c r="B52" s="80"/>
      <c r="C52" s="68"/>
      <c r="D52" s="68"/>
      <c r="E52" s="68"/>
      <c r="F52" s="68"/>
      <c r="G52" s="68"/>
    </row>
    <row r="53" spans="1:12" ht="33" customHeight="1">
      <c r="A53" s="29" t="s">
        <v>128</v>
      </c>
      <c r="B53" s="80"/>
      <c r="C53" s="68"/>
      <c r="D53" s="68"/>
      <c r="E53" s="68"/>
      <c r="F53" s="68"/>
      <c r="G53" s="68"/>
      <c r="J53" s="13"/>
      <c r="K53" s="13"/>
      <c r="L53" s="13"/>
    </row>
    <row r="54" spans="1:12" ht="32.25" customHeight="1">
      <c r="A54" s="29" t="s">
        <v>129</v>
      </c>
      <c r="B54" s="80"/>
      <c r="C54" s="68"/>
      <c r="D54" s="68"/>
      <c r="E54" s="68"/>
      <c r="F54" s="68"/>
      <c r="G54" s="68"/>
    </row>
    <row r="55" spans="1:12" ht="31.5" customHeight="1">
      <c r="A55" s="29" t="s">
        <v>134</v>
      </c>
      <c r="B55" s="80"/>
      <c r="C55" s="68"/>
      <c r="D55" s="68"/>
      <c r="E55" s="68"/>
      <c r="F55" s="68"/>
      <c r="G55" s="68"/>
    </row>
    <row r="56" spans="1:12" s="14" customFormat="1" ht="15">
      <c r="A56" s="29" t="s">
        <v>135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136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29" t="s">
        <v>130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29" t="s">
        <v>131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s="14" customFormat="1" ht="15">
      <c r="A60" s="64" t="s">
        <v>132</v>
      </c>
      <c r="B60" s="80"/>
      <c r="C60" s="68"/>
      <c r="D60" s="68"/>
      <c r="E60" s="68"/>
      <c r="F60" s="68"/>
      <c r="G60" s="68"/>
      <c r="H60" s="3"/>
      <c r="I60" s="3"/>
      <c r="J60" s="13"/>
      <c r="K60" s="13"/>
      <c r="L60" s="13"/>
    </row>
    <row r="61" spans="1:12" s="14" customFormat="1" ht="25.5">
      <c r="A61" s="64" t="s">
        <v>133</v>
      </c>
      <c r="B61" s="80"/>
      <c r="C61" s="68"/>
      <c r="D61" s="68"/>
      <c r="E61" s="68"/>
      <c r="F61" s="68"/>
      <c r="G61" s="68"/>
      <c r="H61" s="3"/>
      <c r="I61" s="3"/>
      <c r="J61" s="13"/>
      <c r="K61" s="13"/>
      <c r="L61" s="13"/>
    </row>
    <row r="62" spans="1:12" ht="15">
      <c r="A62" s="66" t="s">
        <v>146</v>
      </c>
      <c r="B62" s="80"/>
      <c r="C62" s="68"/>
      <c r="D62" s="68"/>
      <c r="E62" s="68"/>
      <c r="F62" s="68"/>
      <c r="G62" s="68"/>
    </row>
    <row r="63" spans="1:12" ht="15">
      <c r="A63" s="81" t="s">
        <v>124</v>
      </c>
      <c r="B63" s="80"/>
      <c r="C63" s="68"/>
      <c r="D63" s="68"/>
      <c r="E63" s="68"/>
      <c r="F63" s="68"/>
      <c r="G63" s="68"/>
    </row>
    <row r="64" spans="1:12" ht="15">
      <c r="A64" s="64" t="s">
        <v>73</v>
      </c>
      <c r="B64" s="80"/>
      <c r="C64" s="68"/>
      <c r="D64" s="68"/>
      <c r="E64" s="68"/>
      <c r="F64" s="68"/>
      <c r="G64" s="68"/>
    </row>
    <row r="65" spans="1:12" ht="15">
      <c r="A65" s="64" t="s">
        <v>74</v>
      </c>
      <c r="B65" s="80"/>
      <c r="C65" s="68"/>
      <c r="D65" s="68"/>
      <c r="E65" s="68"/>
      <c r="F65" s="68"/>
      <c r="G65" s="68"/>
    </row>
    <row r="66" spans="1:12" s="14" customFormat="1" ht="15">
      <c r="A66" s="64" t="s">
        <v>76</v>
      </c>
      <c r="B66" s="80"/>
      <c r="C66" s="68"/>
      <c r="D66" s="68"/>
      <c r="E66" s="68"/>
      <c r="F66" s="68"/>
      <c r="G66" s="68"/>
      <c r="H66" s="13"/>
      <c r="I66" s="13"/>
      <c r="J66" s="3"/>
      <c r="K66" s="3"/>
      <c r="L66" s="3"/>
    </row>
    <row r="67" spans="1:12" ht="15">
      <c r="A67" s="64" t="s">
        <v>75</v>
      </c>
      <c r="B67" s="80"/>
      <c r="C67" s="68"/>
      <c r="D67" s="68"/>
      <c r="E67" s="68"/>
      <c r="F67" s="68"/>
      <c r="G67" s="68"/>
      <c r="H67" s="13"/>
      <c r="I67" s="13"/>
    </row>
    <row r="68" spans="1:12" ht="15">
      <c r="A68" s="64" t="s">
        <v>77</v>
      </c>
      <c r="B68" s="80"/>
      <c r="C68" s="68"/>
      <c r="D68" s="68"/>
      <c r="E68" s="68"/>
      <c r="F68" s="68"/>
      <c r="G68" s="68"/>
    </row>
    <row r="69" spans="1:12" ht="15">
      <c r="A69" s="64" t="s">
        <v>83</v>
      </c>
      <c r="B69" s="80"/>
      <c r="C69" s="68"/>
      <c r="D69" s="68"/>
      <c r="E69" s="68"/>
      <c r="F69" s="68"/>
      <c r="G69" s="68"/>
    </row>
    <row r="70" spans="1:12" ht="15">
      <c r="A70" s="64" t="s">
        <v>90</v>
      </c>
      <c r="B70" s="80"/>
      <c r="C70" s="68"/>
      <c r="D70" s="68"/>
      <c r="E70" s="68"/>
      <c r="F70" s="68"/>
      <c r="G70" s="68"/>
    </row>
    <row r="71" spans="1:12" ht="15">
      <c r="A71" s="64" t="s">
        <v>91</v>
      </c>
      <c r="B71" s="80"/>
      <c r="C71" s="36"/>
      <c r="D71" s="55"/>
      <c r="E71" s="59"/>
      <c r="F71" s="59"/>
    </row>
    <row r="72" spans="1:12" ht="15">
      <c r="A72" s="64" t="s">
        <v>96</v>
      </c>
      <c r="B72" s="80"/>
      <c r="C72" s="36"/>
      <c r="D72" s="55"/>
      <c r="E72" s="59"/>
      <c r="F72" s="59"/>
    </row>
    <row r="73" spans="1:12" ht="15">
      <c r="A73" s="64" t="s">
        <v>97</v>
      </c>
      <c r="B73" s="80"/>
      <c r="C73" s="36"/>
      <c r="D73" s="55"/>
      <c r="E73" s="59"/>
      <c r="F73" s="59"/>
    </row>
    <row r="74" spans="1:12" ht="15">
      <c r="A74" s="64" t="s">
        <v>98</v>
      </c>
      <c r="B74" s="80"/>
      <c r="C74" s="36"/>
      <c r="D74" s="55"/>
      <c r="E74" s="59"/>
      <c r="F74" s="59"/>
    </row>
    <row r="75" spans="1:12" ht="14.25" customHeight="1">
      <c r="A75" s="64" t="s">
        <v>137</v>
      </c>
      <c r="B75" s="80"/>
      <c r="C75" s="36"/>
      <c r="D75" s="55"/>
      <c r="E75" s="59"/>
      <c r="F75" s="59"/>
    </row>
    <row r="76" spans="1:12" ht="15">
      <c r="A76" s="64" t="s">
        <v>94</v>
      </c>
      <c r="B76" s="80"/>
      <c r="C76" s="36"/>
      <c r="D76" s="55"/>
      <c r="E76" s="59"/>
      <c r="F76" s="59"/>
    </row>
    <row r="77" spans="1:12" ht="15">
      <c r="A77" s="64" t="s">
        <v>95</v>
      </c>
      <c r="B77" s="80"/>
      <c r="C77" s="36"/>
      <c r="D77" s="55"/>
      <c r="E77" s="59"/>
      <c r="F77" s="59"/>
    </row>
    <row r="78" spans="1:12" ht="25.5">
      <c r="A78" s="64" t="s">
        <v>147</v>
      </c>
      <c r="B78" s="80"/>
      <c r="C78" s="36"/>
      <c r="D78" s="55"/>
      <c r="E78" s="59"/>
      <c r="F78" s="59"/>
    </row>
    <row r="79" spans="1:12" ht="25.5">
      <c r="A79" s="64" t="s">
        <v>148</v>
      </c>
      <c r="B79" s="80"/>
      <c r="C79" s="36"/>
      <c r="D79" s="55"/>
      <c r="E79" s="59"/>
      <c r="F79" s="59"/>
    </row>
    <row r="80" spans="1:12" ht="25.5">
      <c r="A80" s="64" t="s">
        <v>149</v>
      </c>
      <c r="B80" s="80"/>
      <c r="C80" s="36"/>
      <c r="D80" s="55"/>
      <c r="E80" s="59"/>
      <c r="F80" s="59"/>
    </row>
    <row r="81" spans="1:12" ht="15">
      <c r="A81" s="64" t="s">
        <v>150</v>
      </c>
      <c r="B81" s="80"/>
      <c r="C81" s="36"/>
      <c r="D81" s="55"/>
      <c r="E81" s="59"/>
      <c r="F81" s="59"/>
    </row>
    <row r="82" spans="1:12" ht="15">
      <c r="A82" s="64" t="s">
        <v>151</v>
      </c>
      <c r="B82" s="80"/>
      <c r="C82" s="36"/>
      <c r="D82" s="55"/>
      <c r="E82" s="59"/>
      <c r="F82" s="59"/>
    </row>
    <row r="83" spans="1:12" ht="15">
      <c r="A83" s="94" t="s">
        <v>82</v>
      </c>
      <c r="B83" s="80">
        <v>165</v>
      </c>
      <c r="C83" s="36"/>
      <c r="D83" s="55"/>
      <c r="E83" s="59"/>
      <c r="F83" s="59"/>
    </row>
    <row r="84" spans="1:12" ht="15">
      <c r="A84" s="94" t="s">
        <v>101</v>
      </c>
      <c r="B84" s="80">
        <v>107.68</v>
      </c>
      <c r="C84" s="36"/>
      <c r="D84" s="55"/>
      <c r="E84" s="59"/>
      <c r="F84" s="59"/>
    </row>
    <row r="85" spans="1:12" ht="15">
      <c r="A85" s="94" t="s">
        <v>102</v>
      </c>
      <c r="B85" s="80">
        <v>1.48</v>
      </c>
      <c r="C85" s="36"/>
      <c r="D85" s="55"/>
      <c r="E85" s="59"/>
      <c r="F85" s="59"/>
    </row>
    <row r="86" spans="1:12" ht="15">
      <c r="A86" s="94" t="s">
        <v>103</v>
      </c>
      <c r="B86" s="80">
        <v>0.75</v>
      </c>
      <c r="C86" s="36"/>
      <c r="D86" s="55"/>
      <c r="E86" s="59"/>
      <c r="F86" s="59"/>
    </row>
    <row r="87" spans="1:12" ht="15">
      <c r="A87" s="94" t="s">
        <v>104</v>
      </c>
      <c r="B87" s="80">
        <v>13.19</v>
      </c>
      <c r="C87" s="36"/>
      <c r="D87" s="55"/>
      <c r="E87" s="59"/>
      <c r="F87" s="59"/>
    </row>
    <row r="88" spans="1:12" ht="25.5">
      <c r="A88" s="115" t="s">
        <v>112</v>
      </c>
      <c r="B88" s="80"/>
      <c r="C88" s="36"/>
      <c r="D88" s="55"/>
      <c r="E88" s="59"/>
      <c r="F88" s="59"/>
    </row>
    <row r="89" spans="1:12" ht="26.25" thickBot="1">
      <c r="A89" s="95" t="s">
        <v>111</v>
      </c>
      <c r="B89" s="96"/>
      <c r="C89" s="36"/>
      <c r="D89" s="55"/>
      <c r="E89" s="59"/>
      <c r="F89" s="59"/>
    </row>
    <row r="90" spans="1:12" ht="15.75" thickBot="1">
      <c r="A90" s="92"/>
      <c r="B90" s="137"/>
      <c r="C90" s="36"/>
      <c r="D90" s="55"/>
      <c r="E90" s="59"/>
      <c r="F90" s="59"/>
    </row>
    <row r="91" spans="1:12" s="14" customFormat="1" ht="15.75" thickBot="1">
      <c r="A91" s="93" t="s">
        <v>64</v>
      </c>
      <c r="B91" s="78">
        <f>SUM(B2:B40)</f>
        <v>18243.52</v>
      </c>
      <c r="C91" s="69"/>
      <c r="D91" s="58"/>
      <c r="E91" s="68"/>
      <c r="F91" s="68"/>
      <c r="G91" s="58"/>
      <c r="H91" s="13"/>
      <c r="I91" s="13"/>
      <c r="J91" s="13"/>
      <c r="K91" s="13"/>
      <c r="L91" s="13"/>
    </row>
    <row r="92" spans="1:12" s="14" customFormat="1" ht="15.75" thickBot="1">
      <c r="A92" s="67" t="s">
        <v>55</v>
      </c>
      <c r="B92" s="28">
        <f>SUM(G2:G38)</f>
        <v>7307.75</v>
      </c>
      <c r="C92" s="58"/>
      <c r="D92" s="58"/>
      <c r="E92" s="68"/>
      <c r="F92" s="68"/>
      <c r="G92" s="30"/>
      <c r="H92" s="13"/>
      <c r="I92" s="13"/>
      <c r="J92" s="13"/>
      <c r="K92" s="13"/>
      <c r="L92" s="13"/>
    </row>
    <row r="93" spans="1:12" ht="15.75" thickBot="1">
      <c r="A93" s="86" t="s">
        <v>56</v>
      </c>
      <c r="B93" s="78">
        <f>SUM(B42:B89)</f>
        <v>333.54</v>
      </c>
      <c r="C93" s="36"/>
      <c r="D93" s="55"/>
      <c r="E93" s="59"/>
      <c r="F93" s="59"/>
    </row>
    <row r="94" spans="1:12" ht="15.75" thickBot="1">
      <c r="A94" s="77" t="s">
        <v>356</v>
      </c>
      <c r="B94" s="78">
        <f>B91+B92+B93</f>
        <v>25884.81</v>
      </c>
      <c r="C94" s="36"/>
      <c r="D94" s="55"/>
    </row>
    <row r="95" spans="1:12">
      <c r="B95" s="36"/>
      <c r="C95" s="36"/>
      <c r="D95" s="55"/>
    </row>
    <row r="96" spans="1:12">
      <c r="B96" s="36"/>
      <c r="C96" s="36"/>
      <c r="D96" s="55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>
      <c r="B99" s="36"/>
      <c r="C99" s="36"/>
      <c r="D99" s="36"/>
    </row>
    <row r="100" spans="1:12">
      <c r="B100" s="36"/>
      <c r="C100" s="36"/>
      <c r="D100" s="36"/>
    </row>
    <row r="101" spans="1:12" s="36" customFormat="1">
      <c r="A101" s="3"/>
      <c r="G101" s="33"/>
      <c r="H101" s="3"/>
      <c r="I101" s="3"/>
      <c r="J101" s="3"/>
      <c r="K101" s="3"/>
      <c r="L101" s="3"/>
    </row>
    <row r="102" spans="1:12" s="36" customFormat="1">
      <c r="A102" s="3"/>
      <c r="G102" s="33"/>
      <c r="H102" s="3"/>
      <c r="I102" s="3"/>
      <c r="J102" s="3"/>
      <c r="K102" s="3"/>
      <c r="L102" s="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2"/>
  <sheetViews>
    <sheetView workbookViewId="0">
      <selection activeCell="D49" sqref="D49"/>
    </sheetView>
  </sheetViews>
  <sheetFormatPr defaultColWidth="19.7109375" defaultRowHeight="12.75"/>
  <cols>
    <col min="1" max="1" width="31.5703125" style="3" customWidth="1"/>
    <col min="2" max="2" width="22.7109375" style="3" customWidth="1"/>
    <col min="3" max="3" width="22" style="3" customWidth="1"/>
    <col min="4" max="4" width="22.140625" style="3" customWidth="1"/>
    <col min="5" max="5" width="21.7109375" style="36" customWidth="1"/>
    <col min="6" max="6" width="24.85546875" style="36" customWidth="1"/>
    <col min="7" max="7" width="24.28515625" style="33" customWidth="1"/>
    <col min="8" max="16384" width="19.7109375" style="3"/>
  </cols>
  <sheetData>
    <row r="1" spans="1:12" ht="30.75" thickBot="1">
      <c r="A1" s="7" t="s">
        <v>7</v>
      </c>
      <c r="B1" s="37" t="s">
        <v>19</v>
      </c>
      <c r="C1" s="45" t="s">
        <v>85</v>
      </c>
      <c r="D1" s="44" t="s">
        <v>86</v>
      </c>
      <c r="E1" s="37" t="s">
        <v>21</v>
      </c>
      <c r="F1" s="87" t="s">
        <v>84</v>
      </c>
      <c r="G1" s="70" t="s">
        <v>57</v>
      </c>
      <c r="H1" s="34"/>
    </row>
    <row r="2" spans="1:12">
      <c r="A2" s="9" t="s">
        <v>36</v>
      </c>
      <c r="B2" s="38">
        <v>313.32</v>
      </c>
      <c r="C2" s="38">
        <v>292.12</v>
      </c>
      <c r="D2" s="108">
        <f>B2-C2</f>
        <v>21.199999999999989</v>
      </c>
      <c r="E2" s="63"/>
      <c r="F2" s="38"/>
      <c r="G2" s="10">
        <v>353.5</v>
      </c>
    </row>
    <row r="3" spans="1:12" s="14" customFormat="1" ht="13.5" thickBot="1">
      <c r="A3" s="11" t="s">
        <v>28</v>
      </c>
      <c r="B3" s="39">
        <v>333.6</v>
      </c>
      <c r="C3" s="39">
        <v>0</v>
      </c>
      <c r="D3" s="73">
        <f>B3-C3</f>
        <v>333.6</v>
      </c>
      <c r="E3" s="39"/>
      <c r="F3" s="39"/>
      <c r="G3" s="12">
        <v>105.55</v>
      </c>
      <c r="H3" s="13"/>
      <c r="I3" s="13"/>
      <c r="J3" s="13"/>
      <c r="K3" s="13"/>
      <c r="L3" s="13"/>
    </row>
    <row r="4" spans="1:12" ht="30">
      <c r="A4" s="15" t="s">
        <v>5</v>
      </c>
      <c r="B4" s="60" t="s">
        <v>19</v>
      </c>
      <c r="C4" s="98" t="s">
        <v>12</v>
      </c>
      <c r="D4" s="99" t="s">
        <v>11</v>
      </c>
      <c r="E4" s="60" t="s">
        <v>21</v>
      </c>
      <c r="F4" s="60" t="s">
        <v>20</v>
      </c>
      <c r="G4" s="100" t="s">
        <v>58</v>
      </c>
      <c r="H4" s="16"/>
    </row>
    <row r="5" spans="1:12" ht="15">
      <c r="A5" s="18" t="s">
        <v>170</v>
      </c>
      <c r="B5" s="165"/>
      <c r="C5" s="166"/>
      <c r="D5" s="166"/>
      <c r="E5" s="167"/>
      <c r="F5" s="165"/>
      <c r="G5" s="168"/>
      <c r="H5" s="16"/>
    </row>
    <row r="6" spans="1:12" s="14" customFormat="1">
      <c r="A6" s="18" t="s">
        <v>60</v>
      </c>
      <c r="B6" s="40"/>
      <c r="C6" s="51"/>
      <c r="D6" s="51">
        <f t="shared" ref="D6:D18" si="0">B6-C6</f>
        <v>0</v>
      </c>
      <c r="E6" s="51"/>
      <c r="F6" s="21"/>
      <c r="G6" s="88">
        <v>17.739999999999998</v>
      </c>
      <c r="H6" s="13"/>
      <c r="I6" s="13"/>
      <c r="J6" s="13"/>
      <c r="K6" s="13"/>
      <c r="L6" s="13"/>
    </row>
    <row r="7" spans="1:12" s="14" customFormat="1">
      <c r="A7" s="18" t="s">
        <v>100</v>
      </c>
      <c r="B7" s="40">
        <f>312.7+248.95+627.92+4.52</f>
        <v>1194.0899999999999</v>
      </c>
      <c r="C7" s="51">
        <f>312.7+248.95+541.04+4.52</f>
        <v>1107.21</v>
      </c>
      <c r="D7" s="51">
        <f>B7-C7</f>
        <v>86.879999999999882</v>
      </c>
      <c r="E7" s="51"/>
      <c r="F7" s="21"/>
      <c r="G7" s="88">
        <v>746.47</v>
      </c>
      <c r="H7" s="13"/>
      <c r="I7" s="13"/>
      <c r="J7" s="13"/>
      <c r="K7" s="13"/>
      <c r="L7" s="13"/>
    </row>
    <row r="8" spans="1:12" s="14" customFormat="1" ht="13.5" customHeight="1">
      <c r="A8" s="20" t="s">
        <v>29</v>
      </c>
      <c r="B8" s="41"/>
      <c r="C8" s="51"/>
      <c r="D8" s="51">
        <f t="shared" si="0"/>
        <v>0</v>
      </c>
      <c r="E8" s="51"/>
      <c r="F8" s="21"/>
      <c r="G8" s="27">
        <v>20.22</v>
      </c>
      <c r="H8" s="13"/>
      <c r="I8" s="13"/>
      <c r="J8" s="13"/>
      <c r="K8" s="13"/>
      <c r="L8" s="13"/>
    </row>
    <row r="9" spans="1:12" s="14" customFormat="1">
      <c r="A9" s="20" t="s">
        <v>92</v>
      </c>
      <c r="B9" s="41"/>
      <c r="C9" s="51"/>
      <c r="D9" s="51">
        <f t="shared" si="0"/>
        <v>0</v>
      </c>
      <c r="E9" s="51"/>
      <c r="F9" s="21"/>
      <c r="G9" s="27"/>
      <c r="H9" s="13"/>
      <c r="I9" s="13"/>
      <c r="J9" s="13"/>
      <c r="K9" s="13"/>
      <c r="L9" s="13"/>
    </row>
    <row r="10" spans="1:12" s="14" customFormat="1">
      <c r="A10" s="20" t="s">
        <v>37</v>
      </c>
      <c r="B10" s="41"/>
      <c r="C10" s="51"/>
      <c r="D10" s="51">
        <f>B10-C10</f>
        <v>0</v>
      </c>
      <c r="E10" s="51"/>
      <c r="F10" s="21"/>
      <c r="G10" s="27">
        <v>6.85</v>
      </c>
      <c r="H10" s="13"/>
      <c r="I10" s="13"/>
      <c r="J10" s="13"/>
      <c r="K10" s="13"/>
      <c r="L10" s="13"/>
    </row>
    <row r="11" spans="1:12" s="14" customFormat="1">
      <c r="A11" s="20" t="s">
        <v>68</v>
      </c>
      <c r="B11" s="41">
        <f>319.5+455.15</f>
        <v>774.65</v>
      </c>
      <c r="C11" s="51">
        <f>220.8+455.15</f>
        <v>675.95</v>
      </c>
      <c r="D11" s="51">
        <f t="shared" si="0"/>
        <v>98.699999999999932</v>
      </c>
      <c r="E11" s="51"/>
      <c r="F11" s="21"/>
      <c r="G11" s="27">
        <v>838.31</v>
      </c>
      <c r="H11" s="13"/>
      <c r="I11" s="13"/>
      <c r="J11" s="13"/>
      <c r="K11" s="13"/>
      <c r="L11" s="13"/>
    </row>
    <row r="12" spans="1:12" s="14" customFormat="1">
      <c r="A12" s="20" t="s">
        <v>122</v>
      </c>
      <c r="B12" s="41"/>
      <c r="C12" s="51"/>
      <c r="D12" s="51">
        <f t="shared" si="0"/>
        <v>0</v>
      </c>
      <c r="E12" s="51"/>
      <c r="F12" s="21"/>
      <c r="G12" s="27">
        <v>0.62</v>
      </c>
      <c r="H12" s="13"/>
      <c r="I12" s="13"/>
      <c r="J12" s="13"/>
      <c r="K12" s="13"/>
      <c r="L12" s="13"/>
    </row>
    <row r="13" spans="1:12" s="14" customFormat="1">
      <c r="A13" s="20" t="s">
        <v>168</v>
      </c>
      <c r="B13" s="41">
        <f>415</f>
        <v>415</v>
      </c>
      <c r="C13" s="51">
        <v>0</v>
      </c>
      <c r="D13" s="51">
        <f t="shared" si="0"/>
        <v>415</v>
      </c>
      <c r="E13" s="51"/>
      <c r="F13" s="21"/>
      <c r="G13" s="27">
        <v>77.13</v>
      </c>
      <c r="H13" s="13"/>
      <c r="I13" s="13"/>
      <c r="J13" s="13"/>
      <c r="K13" s="13"/>
      <c r="L13" s="13"/>
    </row>
    <row r="14" spans="1:12" s="14" customFormat="1">
      <c r="A14" s="20" t="s">
        <v>115</v>
      </c>
      <c r="B14" s="41"/>
      <c r="C14" s="51"/>
      <c r="D14" s="51">
        <f t="shared" si="0"/>
        <v>0</v>
      </c>
      <c r="E14" s="51"/>
      <c r="F14" s="21"/>
      <c r="G14" s="27">
        <v>0.03</v>
      </c>
      <c r="H14" s="13"/>
      <c r="I14" s="13"/>
      <c r="J14" s="13"/>
      <c r="K14" s="13"/>
      <c r="L14" s="13"/>
    </row>
    <row r="15" spans="1:12" s="14" customFormat="1">
      <c r="A15" s="20" t="s">
        <v>123</v>
      </c>
      <c r="B15" s="41">
        <f>225.97+258.14+25.36+4.21</f>
        <v>513.68000000000006</v>
      </c>
      <c r="C15" s="51">
        <f>179+254.87+25.36+4.21</f>
        <v>463.44</v>
      </c>
      <c r="D15" s="51">
        <f t="shared" si="0"/>
        <v>50.240000000000066</v>
      </c>
      <c r="E15" s="51"/>
      <c r="F15" s="21"/>
      <c r="G15" s="27">
        <v>80.48</v>
      </c>
      <c r="H15" s="13"/>
      <c r="I15" s="13"/>
      <c r="J15" s="13"/>
      <c r="K15" s="13"/>
      <c r="L15" s="13"/>
    </row>
    <row r="16" spans="1:12" s="14" customFormat="1">
      <c r="A16" s="20" t="s">
        <v>78</v>
      </c>
      <c r="B16" s="41"/>
      <c r="C16" s="51"/>
      <c r="D16" s="51">
        <f t="shared" si="0"/>
        <v>0</v>
      </c>
      <c r="E16" s="51"/>
      <c r="F16" s="21"/>
      <c r="G16" s="27"/>
      <c r="H16" s="13"/>
      <c r="I16" s="13"/>
      <c r="J16" s="13"/>
      <c r="K16" s="13"/>
      <c r="L16" s="13"/>
    </row>
    <row r="17" spans="1:12" s="14" customFormat="1">
      <c r="A17" s="20" t="s">
        <v>93</v>
      </c>
      <c r="B17" s="41"/>
      <c r="C17" s="51"/>
      <c r="D17" s="51">
        <f t="shared" si="0"/>
        <v>0</v>
      </c>
      <c r="E17" s="51"/>
      <c r="F17" s="22"/>
      <c r="G17" s="27">
        <v>56.82</v>
      </c>
      <c r="H17" s="13"/>
      <c r="I17" s="13"/>
      <c r="J17" s="13"/>
      <c r="K17" s="13"/>
      <c r="L17" s="13"/>
    </row>
    <row r="18" spans="1:12" s="14" customFormat="1">
      <c r="A18" s="18" t="s">
        <v>24</v>
      </c>
      <c r="B18" s="40"/>
      <c r="C18" s="51"/>
      <c r="D18" s="51">
        <f t="shared" si="0"/>
        <v>0</v>
      </c>
      <c r="E18" s="51"/>
      <c r="F18" s="22"/>
      <c r="G18" s="89"/>
      <c r="H18" s="13"/>
      <c r="I18" s="13"/>
      <c r="J18" s="13"/>
      <c r="K18" s="13"/>
      <c r="L18" s="13"/>
    </row>
    <row r="19" spans="1:12" s="14" customFormat="1">
      <c r="A19" s="18" t="s">
        <v>25</v>
      </c>
      <c r="B19" s="40">
        <f>555.07+156.43+171.67</f>
        <v>883.17</v>
      </c>
      <c r="C19" s="51">
        <f>555.07+102.07+142.95</f>
        <v>800.09000000000015</v>
      </c>
      <c r="D19" s="51">
        <f>B19-C19</f>
        <v>83.079999999999814</v>
      </c>
      <c r="E19" s="51"/>
      <c r="F19" s="22"/>
      <c r="G19" s="89">
        <v>173.86</v>
      </c>
      <c r="H19" s="13"/>
      <c r="I19" s="13"/>
      <c r="J19" s="13"/>
      <c r="K19" s="13"/>
      <c r="L19" s="13"/>
    </row>
    <row r="20" spans="1:12" s="14" customFormat="1">
      <c r="A20" s="18" t="s">
        <v>169</v>
      </c>
      <c r="B20" s="40"/>
      <c r="C20" s="51"/>
      <c r="D20" s="51">
        <f>B20-C20</f>
        <v>0</v>
      </c>
      <c r="E20" s="51"/>
      <c r="F20" s="22"/>
      <c r="G20" s="89">
        <v>0.38</v>
      </c>
      <c r="H20" s="13"/>
      <c r="I20" s="13"/>
      <c r="J20" s="13"/>
      <c r="K20" s="13"/>
      <c r="L20" s="13"/>
    </row>
    <row r="21" spans="1:12" s="14" customFormat="1">
      <c r="A21" s="18" t="s">
        <v>59</v>
      </c>
      <c r="B21" s="40"/>
      <c r="C21" s="51"/>
      <c r="D21" s="51">
        <f t="shared" ref="D21:D30" si="1">B21-C21</f>
        <v>0</v>
      </c>
      <c r="E21" s="51"/>
      <c r="F21" s="19"/>
      <c r="G21" s="89">
        <v>25.67</v>
      </c>
      <c r="H21" s="13"/>
      <c r="I21" s="13"/>
      <c r="J21" s="13"/>
      <c r="K21" s="13"/>
      <c r="L21" s="13"/>
    </row>
    <row r="22" spans="1:12" s="14" customFormat="1">
      <c r="A22" s="18" t="s">
        <v>105</v>
      </c>
      <c r="B22" s="40"/>
      <c r="C22" s="51"/>
      <c r="D22" s="51">
        <f t="shared" si="1"/>
        <v>0</v>
      </c>
      <c r="E22" s="51"/>
      <c r="F22" s="19"/>
      <c r="G22" s="89"/>
      <c r="H22" s="13"/>
      <c r="I22" s="13"/>
      <c r="J22" s="13"/>
      <c r="K22" s="13"/>
      <c r="L22" s="13"/>
    </row>
    <row r="23" spans="1:12" s="14" customFormat="1">
      <c r="A23" s="18" t="s">
        <v>32</v>
      </c>
      <c r="B23" s="40">
        <f>79.47</f>
        <v>79.47</v>
      </c>
      <c r="C23" s="51">
        <v>0</v>
      </c>
      <c r="D23" s="51">
        <f t="shared" si="1"/>
        <v>79.47</v>
      </c>
      <c r="E23" s="51"/>
      <c r="F23" s="21"/>
      <c r="G23" s="88">
        <v>27.75</v>
      </c>
      <c r="H23" s="13"/>
      <c r="I23" s="13"/>
      <c r="J23" s="13"/>
      <c r="K23" s="13"/>
      <c r="L23" s="13"/>
    </row>
    <row r="24" spans="1:12" s="14" customFormat="1">
      <c r="A24" s="20" t="s">
        <v>33</v>
      </c>
      <c r="B24" s="41">
        <f>72.77+41.35</f>
        <v>114.12</v>
      </c>
      <c r="C24" s="51">
        <f>50.77+41.35</f>
        <v>92.12</v>
      </c>
      <c r="D24" s="51">
        <f t="shared" si="1"/>
        <v>22</v>
      </c>
      <c r="E24" s="51"/>
      <c r="F24" s="21"/>
      <c r="G24" s="27">
        <v>55.89</v>
      </c>
      <c r="H24" s="13"/>
      <c r="I24" s="13"/>
      <c r="J24" s="13"/>
      <c r="K24" s="13"/>
      <c r="L24" s="13"/>
    </row>
    <row r="25" spans="1:12" s="14" customFormat="1">
      <c r="A25" s="20" t="s">
        <v>118</v>
      </c>
      <c r="B25" s="41"/>
      <c r="C25" s="51"/>
      <c r="D25" s="51"/>
      <c r="E25" s="51"/>
      <c r="F25" s="21"/>
      <c r="G25" s="27"/>
      <c r="H25" s="13"/>
      <c r="I25" s="13"/>
      <c r="J25" s="13"/>
      <c r="K25" s="13"/>
      <c r="L25" s="13"/>
    </row>
    <row r="26" spans="1:12" s="14" customFormat="1">
      <c r="A26" s="20" t="s">
        <v>31</v>
      </c>
      <c r="B26" s="41"/>
      <c r="C26" s="51"/>
      <c r="D26" s="51">
        <f>B26-C26</f>
        <v>0</v>
      </c>
      <c r="E26" s="51"/>
      <c r="F26" s="21"/>
      <c r="G26" s="27">
        <v>1.51</v>
      </c>
      <c r="H26" s="13"/>
      <c r="I26" s="13"/>
      <c r="J26" s="13"/>
      <c r="K26" s="13"/>
      <c r="L26" s="13"/>
    </row>
    <row r="27" spans="1:12" s="14" customFormat="1" ht="12.75" customHeight="1">
      <c r="A27" s="20" t="s">
        <v>69</v>
      </c>
      <c r="B27" s="54">
        <f>128.78+211</f>
        <v>339.78</v>
      </c>
      <c r="C27" s="22">
        <f>0</f>
        <v>0</v>
      </c>
      <c r="D27" s="52">
        <f>B27-C27</f>
        <v>339.78</v>
      </c>
      <c r="E27" s="51"/>
      <c r="F27" s="21"/>
      <c r="G27" s="27">
        <v>354.96</v>
      </c>
      <c r="H27" s="23"/>
      <c r="I27" s="13"/>
      <c r="J27" s="13"/>
      <c r="K27" s="13"/>
      <c r="L27" s="13"/>
    </row>
    <row r="28" spans="1:12" s="14" customFormat="1" ht="12.75" customHeight="1">
      <c r="A28" s="81" t="s">
        <v>117</v>
      </c>
      <c r="B28" s="54"/>
      <c r="C28" s="22"/>
      <c r="D28" s="51">
        <f>B28-C28</f>
        <v>0</v>
      </c>
      <c r="E28" s="51"/>
      <c r="F28" s="21"/>
      <c r="G28" s="90">
        <v>3.91</v>
      </c>
      <c r="H28" s="23"/>
      <c r="I28" s="13"/>
      <c r="J28" s="13"/>
      <c r="K28" s="13"/>
      <c r="L28" s="13"/>
    </row>
    <row r="29" spans="1:12" s="14" customFormat="1" ht="12.75" customHeight="1">
      <c r="A29" s="81" t="s">
        <v>34</v>
      </c>
      <c r="B29" s="54">
        <f>58.5+32.77</f>
        <v>91.27000000000001</v>
      </c>
      <c r="C29" s="22">
        <f>22+32.77</f>
        <v>54.77</v>
      </c>
      <c r="D29" s="51">
        <f>B29-C29</f>
        <v>36.500000000000007</v>
      </c>
      <c r="E29" s="51"/>
      <c r="F29" s="21"/>
      <c r="G29" s="90">
        <v>38.47</v>
      </c>
      <c r="H29" s="23"/>
      <c r="I29" s="13"/>
      <c r="J29" s="13"/>
      <c r="K29" s="13"/>
      <c r="L29" s="13"/>
    </row>
    <row r="30" spans="1:12" s="14" customFormat="1" ht="13.5" thickBot="1">
      <c r="A30" s="24" t="s">
        <v>120</v>
      </c>
      <c r="B30" s="132">
        <v>5248.7</v>
      </c>
      <c r="C30" s="132">
        <v>345.9</v>
      </c>
      <c r="D30" s="133">
        <f t="shared" si="1"/>
        <v>4902.8</v>
      </c>
      <c r="E30" s="42"/>
      <c r="F30" s="42"/>
      <c r="G30" s="91"/>
      <c r="H30" s="13"/>
      <c r="I30" s="13"/>
      <c r="J30" s="13"/>
      <c r="K30" s="13"/>
      <c r="L30" s="13"/>
    </row>
    <row r="31" spans="1:12" s="14" customFormat="1" ht="30.75" thickBot="1">
      <c r="A31" s="25" t="s">
        <v>10</v>
      </c>
      <c r="B31" s="37" t="s">
        <v>19</v>
      </c>
      <c r="C31" s="48" t="s">
        <v>12</v>
      </c>
      <c r="D31" s="44" t="s">
        <v>11</v>
      </c>
      <c r="E31" s="37" t="s">
        <v>21</v>
      </c>
      <c r="F31" s="37" t="s">
        <v>20</v>
      </c>
      <c r="G31" s="70" t="s">
        <v>58</v>
      </c>
      <c r="H31" s="65"/>
    </row>
    <row r="32" spans="1:12" s="14" customFormat="1" ht="15.75" thickBot="1">
      <c r="A32" s="9" t="s">
        <v>23</v>
      </c>
      <c r="B32" s="161">
        <f>345.59+1121.68</f>
        <v>1467.27</v>
      </c>
      <c r="C32" s="162">
        <f>1057.59+175.7</f>
        <v>1233.29</v>
      </c>
      <c r="D32" s="46">
        <f>B32-C32</f>
        <v>233.98000000000002</v>
      </c>
      <c r="E32" s="61"/>
      <c r="F32" s="62"/>
      <c r="G32" s="26">
        <v>409.02</v>
      </c>
      <c r="H32" s="13"/>
      <c r="I32" s="13"/>
      <c r="J32" s="13"/>
      <c r="K32" s="13"/>
      <c r="L32" s="13"/>
    </row>
    <row r="33" spans="1:12" s="14" customFormat="1" ht="30.75" thickBot="1">
      <c r="A33" s="25" t="s">
        <v>22</v>
      </c>
      <c r="B33" s="37" t="s">
        <v>19</v>
      </c>
      <c r="C33" s="48" t="s">
        <v>12</v>
      </c>
      <c r="D33" s="44" t="s">
        <v>11</v>
      </c>
      <c r="E33" s="37" t="s">
        <v>21</v>
      </c>
      <c r="F33" s="37" t="s">
        <v>20</v>
      </c>
      <c r="G33" s="70" t="s">
        <v>58</v>
      </c>
      <c r="H33" s="65"/>
    </row>
    <row r="34" spans="1:12" s="14" customFormat="1" ht="15">
      <c r="A34" s="9" t="s">
        <v>35</v>
      </c>
      <c r="B34" s="38">
        <f>471.68+948.16</f>
        <v>1419.84</v>
      </c>
      <c r="C34" s="50">
        <f>430.4+642.43</f>
        <v>1072.83</v>
      </c>
      <c r="D34" s="49">
        <f>B34-C34</f>
        <v>347.01</v>
      </c>
      <c r="E34" s="82"/>
      <c r="F34" s="60"/>
      <c r="G34" s="76">
        <v>87.21</v>
      </c>
      <c r="H34" s="13"/>
      <c r="I34" s="13"/>
      <c r="J34" s="13"/>
      <c r="K34" s="13"/>
      <c r="L34" s="13"/>
    </row>
    <row r="35" spans="1:12" s="14" customFormat="1" ht="17.25" customHeight="1">
      <c r="A35" s="20" t="s">
        <v>38</v>
      </c>
      <c r="B35" s="41">
        <f>63.04+303.5</f>
        <v>366.54</v>
      </c>
      <c r="C35" s="53">
        <f>63.04+259.5</f>
        <v>322.54000000000002</v>
      </c>
      <c r="D35" s="22">
        <f>B35-C35</f>
        <v>44</v>
      </c>
      <c r="E35" s="54"/>
      <c r="F35" s="41"/>
      <c r="G35" s="27">
        <v>146.59</v>
      </c>
      <c r="H35" s="13"/>
      <c r="I35" s="13"/>
      <c r="J35" s="13"/>
      <c r="K35" s="13"/>
      <c r="L35" s="13"/>
    </row>
    <row r="36" spans="1:12" s="14" customFormat="1" ht="12.75" customHeight="1">
      <c r="A36" s="124" t="s">
        <v>70</v>
      </c>
      <c r="B36" s="54">
        <f>629+578.02+1290.6</f>
        <v>2497.62</v>
      </c>
      <c r="C36" s="22">
        <f>396.6+577.64+1290.6</f>
        <v>2264.84</v>
      </c>
      <c r="D36" s="22">
        <f>B36-C36</f>
        <v>232.77999999999975</v>
      </c>
      <c r="E36" s="54"/>
      <c r="F36" s="41"/>
      <c r="G36" s="27">
        <v>343.43</v>
      </c>
      <c r="H36" s="13"/>
      <c r="I36" s="13"/>
      <c r="J36" s="13"/>
      <c r="K36" s="13"/>
      <c r="L36" s="13"/>
    </row>
    <row r="37" spans="1:12" s="14" customFormat="1">
      <c r="A37" s="81" t="s">
        <v>119</v>
      </c>
      <c r="B37" s="132">
        <f>47.81+96.14</f>
        <v>143.94999999999999</v>
      </c>
      <c r="C37" s="132">
        <f>47.81+96.14</f>
        <v>143.94999999999999</v>
      </c>
      <c r="D37" s="133">
        <f>B37-C37</f>
        <v>0</v>
      </c>
      <c r="E37" s="111"/>
      <c r="F37" s="57"/>
      <c r="G37" s="112"/>
      <c r="K37" s="13"/>
      <c r="L37" s="13"/>
    </row>
    <row r="38" spans="1:12" s="14" customFormat="1" ht="13.5" thickBot="1">
      <c r="A38" s="24" t="s">
        <v>99</v>
      </c>
      <c r="B38" s="126">
        <v>4742.6099999999997</v>
      </c>
      <c r="C38" s="113">
        <v>4742.6099999999997</v>
      </c>
      <c r="D38" s="126">
        <f>B38</f>
        <v>4742.6099999999997</v>
      </c>
      <c r="E38" s="71"/>
      <c r="F38" s="72"/>
      <c r="G38" s="74"/>
      <c r="K38" s="13"/>
      <c r="L38" s="13"/>
    </row>
    <row r="39" spans="1:12" ht="34.5" customHeight="1" thickBot="1">
      <c r="A39" s="25" t="s">
        <v>72</v>
      </c>
      <c r="B39" s="37" t="s">
        <v>19</v>
      </c>
      <c r="C39" s="48" t="s">
        <v>12</v>
      </c>
      <c r="D39" s="44" t="s">
        <v>11</v>
      </c>
      <c r="E39" s="37" t="s">
        <v>21</v>
      </c>
      <c r="F39" s="87" t="s">
        <v>84</v>
      </c>
      <c r="G39" s="68"/>
      <c r="H39" s="13"/>
      <c r="I39" s="13"/>
      <c r="J39" s="13"/>
      <c r="K39" s="13"/>
      <c r="L39" s="13"/>
    </row>
    <row r="40" spans="1:12" ht="19.5" customHeight="1" thickBot="1">
      <c r="A40" s="9" t="s">
        <v>71</v>
      </c>
      <c r="B40" s="120">
        <v>854.11</v>
      </c>
      <c r="C40" s="120">
        <v>0</v>
      </c>
      <c r="D40" s="121">
        <f>B40-C40</f>
        <v>854.11</v>
      </c>
      <c r="E40" s="123"/>
      <c r="F40" s="122"/>
      <c r="G40" s="68"/>
    </row>
    <row r="41" spans="1:12" ht="19.5" customHeight="1" thickBot="1">
      <c r="A41" s="25" t="s">
        <v>50</v>
      </c>
      <c r="B41" s="75" t="s">
        <v>65</v>
      </c>
      <c r="C41" s="68"/>
      <c r="D41" s="68"/>
      <c r="E41" s="68"/>
      <c r="F41" s="68"/>
      <c r="G41" s="68"/>
      <c r="H41" s="13"/>
      <c r="I41" s="13"/>
      <c r="J41" s="13"/>
      <c r="K41" s="13"/>
      <c r="L41" s="13"/>
    </row>
    <row r="42" spans="1:12" ht="30" customHeight="1">
      <c r="A42" s="101" t="s">
        <v>138</v>
      </c>
      <c r="B42" s="79"/>
      <c r="C42" s="68"/>
      <c r="D42" s="68"/>
      <c r="E42" s="68"/>
      <c r="F42" s="68"/>
      <c r="G42" s="68"/>
    </row>
    <row r="43" spans="1:12" ht="15">
      <c r="A43" s="29" t="s">
        <v>139</v>
      </c>
      <c r="B43" s="80"/>
      <c r="C43" s="68"/>
      <c r="D43" s="68"/>
      <c r="E43" s="68"/>
      <c r="F43" s="68"/>
      <c r="G43" s="68"/>
    </row>
    <row r="44" spans="1:12" ht="15">
      <c r="A44" s="29" t="s">
        <v>140</v>
      </c>
      <c r="B44" s="80">
        <v>0</v>
      </c>
      <c r="C44" s="68"/>
      <c r="D44" s="68"/>
      <c r="E44" s="68"/>
      <c r="F44" s="68"/>
      <c r="G44" s="68"/>
    </row>
    <row r="45" spans="1:12" ht="15">
      <c r="A45" s="29" t="s">
        <v>141</v>
      </c>
      <c r="B45" s="80"/>
      <c r="C45" s="68"/>
      <c r="D45" s="68"/>
      <c r="E45" s="68"/>
      <c r="F45" s="68"/>
      <c r="G45" s="68"/>
    </row>
    <row r="46" spans="1:12" ht="15">
      <c r="A46" s="20" t="s">
        <v>142</v>
      </c>
      <c r="B46" s="80"/>
      <c r="C46" s="68"/>
      <c r="D46" s="68"/>
      <c r="E46" s="68"/>
      <c r="F46" s="68"/>
      <c r="G46" s="68"/>
    </row>
    <row r="47" spans="1:12" ht="25.5">
      <c r="A47" s="64" t="s">
        <v>143</v>
      </c>
      <c r="B47" s="80"/>
      <c r="C47" s="68"/>
      <c r="D47" s="68"/>
      <c r="E47" s="68"/>
      <c r="F47" s="68"/>
      <c r="G47" s="68"/>
    </row>
    <row r="48" spans="1:12" ht="25.5">
      <c r="A48" s="64" t="s">
        <v>144</v>
      </c>
      <c r="B48" s="80"/>
      <c r="C48" s="68"/>
      <c r="D48" s="68"/>
      <c r="E48" s="68"/>
      <c r="F48" s="68"/>
      <c r="G48" s="68"/>
    </row>
    <row r="49" spans="1:12" ht="25.5">
      <c r="A49" s="64" t="s">
        <v>145</v>
      </c>
      <c r="B49" s="80"/>
      <c r="C49" s="68"/>
      <c r="D49" s="68"/>
      <c r="E49" s="68"/>
      <c r="F49" s="68"/>
      <c r="G49" s="68"/>
    </row>
    <row r="50" spans="1:12" ht="15">
      <c r="A50" s="18" t="s">
        <v>125</v>
      </c>
      <c r="B50" s="80"/>
      <c r="C50" s="68"/>
      <c r="D50" s="68"/>
      <c r="E50" s="68"/>
      <c r="F50" s="68"/>
      <c r="G50" s="68"/>
    </row>
    <row r="51" spans="1:12" ht="14.25" customHeight="1">
      <c r="A51" s="29" t="s">
        <v>126</v>
      </c>
      <c r="B51" s="80"/>
      <c r="C51" s="68"/>
      <c r="D51" s="68"/>
      <c r="E51" s="68"/>
      <c r="F51" s="68"/>
      <c r="G51" s="68"/>
    </row>
    <row r="52" spans="1:12" ht="26.25" customHeight="1">
      <c r="A52" s="29" t="s">
        <v>127</v>
      </c>
      <c r="B52" s="80"/>
      <c r="C52" s="68"/>
      <c r="D52" s="68"/>
      <c r="E52" s="68"/>
      <c r="F52" s="68"/>
      <c r="G52" s="68"/>
    </row>
    <row r="53" spans="1:12" ht="33" customHeight="1">
      <c r="A53" s="29" t="s">
        <v>128</v>
      </c>
      <c r="B53" s="80"/>
      <c r="C53" s="68"/>
      <c r="D53" s="68"/>
      <c r="E53" s="68"/>
      <c r="F53" s="68"/>
      <c r="G53" s="68"/>
      <c r="J53" s="13"/>
      <c r="K53" s="13"/>
      <c r="L53" s="13"/>
    </row>
    <row r="54" spans="1:12" ht="32.25" customHeight="1">
      <c r="A54" s="29" t="s">
        <v>129</v>
      </c>
      <c r="B54" s="80"/>
      <c r="C54" s="68"/>
      <c r="D54" s="68"/>
      <c r="E54" s="68"/>
      <c r="F54" s="68"/>
      <c r="G54" s="68"/>
    </row>
    <row r="55" spans="1:12" ht="31.5" customHeight="1">
      <c r="A55" s="29" t="s">
        <v>134</v>
      </c>
      <c r="B55" s="80"/>
      <c r="C55" s="68"/>
      <c r="D55" s="68"/>
      <c r="E55" s="68"/>
      <c r="F55" s="68"/>
      <c r="G55" s="68"/>
    </row>
    <row r="56" spans="1:12" s="14" customFormat="1" ht="15">
      <c r="A56" s="29" t="s">
        <v>135</v>
      </c>
      <c r="B56" s="80"/>
      <c r="C56" s="68"/>
      <c r="D56" s="68"/>
      <c r="E56" s="68"/>
      <c r="F56" s="68"/>
      <c r="G56" s="68"/>
      <c r="H56" s="3"/>
      <c r="I56" s="3"/>
      <c r="J56" s="13"/>
      <c r="K56" s="13"/>
      <c r="L56" s="13"/>
    </row>
    <row r="57" spans="1:12" s="14" customFormat="1" ht="15">
      <c r="A57" s="29" t="s">
        <v>136</v>
      </c>
      <c r="B57" s="80"/>
      <c r="C57" s="68"/>
      <c r="D57" s="68"/>
      <c r="E57" s="68"/>
      <c r="F57" s="68"/>
      <c r="G57" s="68"/>
      <c r="H57" s="3"/>
      <c r="I57" s="3"/>
      <c r="J57" s="13"/>
      <c r="K57" s="13"/>
      <c r="L57" s="13"/>
    </row>
    <row r="58" spans="1:12" s="14" customFormat="1" ht="15">
      <c r="A58" s="29" t="s">
        <v>130</v>
      </c>
      <c r="B58" s="80"/>
      <c r="C58" s="68"/>
      <c r="D58" s="68"/>
      <c r="E58" s="68"/>
      <c r="F58" s="68"/>
      <c r="G58" s="68"/>
      <c r="H58" s="3"/>
      <c r="I58" s="3"/>
      <c r="J58" s="13"/>
      <c r="K58" s="13"/>
      <c r="L58" s="13"/>
    </row>
    <row r="59" spans="1:12" s="14" customFormat="1" ht="15">
      <c r="A59" s="29" t="s">
        <v>131</v>
      </c>
      <c r="B59" s="80"/>
      <c r="C59" s="68"/>
      <c r="D59" s="68"/>
      <c r="E59" s="68"/>
      <c r="F59" s="68"/>
      <c r="G59" s="68"/>
      <c r="H59" s="3"/>
      <c r="I59" s="3"/>
      <c r="J59" s="13"/>
      <c r="K59" s="13"/>
      <c r="L59" s="13"/>
    </row>
    <row r="60" spans="1:12" s="14" customFormat="1" ht="15">
      <c r="A60" s="64" t="s">
        <v>132</v>
      </c>
      <c r="B60" s="80"/>
      <c r="C60" s="68"/>
      <c r="D60" s="68"/>
      <c r="E60" s="68"/>
      <c r="F60" s="68"/>
      <c r="G60" s="68"/>
      <c r="H60" s="3"/>
      <c r="I60" s="3"/>
      <c r="J60" s="13"/>
      <c r="K60" s="13"/>
      <c r="L60" s="13"/>
    </row>
    <row r="61" spans="1:12" s="14" customFormat="1" ht="25.5">
      <c r="A61" s="64" t="s">
        <v>133</v>
      </c>
      <c r="B61" s="80"/>
      <c r="C61" s="68"/>
      <c r="D61" s="68"/>
      <c r="E61" s="68"/>
      <c r="F61" s="68"/>
      <c r="G61" s="68"/>
      <c r="H61" s="3"/>
      <c r="I61" s="3"/>
      <c r="J61" s="13"/>
      <c r="K61" s="13"/>
      <c r="L61" s="13"/>
    </row>
    <row r="62" spans="1:12" ht="15">
      <c r="A62" s="66" t="s">
        <v>146</v>
      </c>
      <c r="B62" s="80"/>
      <c r="C62" s="68"/>
      <c r="D62" s="68"/>
      <c r="E62" s="68"/>
      <c r="F62" s="68"/>
      <c r="G62" s="68"/>
    </row>
    <row r="63" spans="1:12" ht="15">
      <c r="A63" s="81" t="s">
        <v>124</v>
      </c>
      <c r="B63" s="80"/>
      <c r="C63" s="68"/>
      <c r="D63" s="68"/>
      <c r="E63" s="68"/>
      <c r="F63" s="68"/>
      <c r="G63" s="68"/>
    </row>
    <row r="64" spans="1:12" ht="15">
      <c r="A64" s="64" t="s">
        <v>73</v>
      </c>
      <c r="B64" s="80"/>
      <c r="C64" s="68"/>
      <c r="D64" s="68"/>
      <c r="E64" s="68"/>
      <c r="F64" s="68"/>
      <c r="G64" s="68"/>
    </row>
    <row r="65" spans="1:12" ht="15">
      <c r="A65" s="64" t="s">
        <v>74</v>
      </c>
      <c r="B65" s="80"/>
      <c r="C65" s="68"/>
      <c r="D65" s="68"/>
      <c r="E65" s="68"/>
      <c r="F65" s="68"/>
      <c r="G65" s="68"/>
    </row>
    <row r="66" spans="1:12" s="14" customFormat="1" ht="15">
      <c r="A66" s="64" t="s">
        <v>76</v>
      </c>
      <c r="B66" s="80"/>
      <c r="C66" s="68"/>
      <c r="D66" s="68"/>
      <c r="E66" s="68"/>
      <c r="F66" s="68"/>
      <c r="G66" s="68"/>
      <c r="H66" s="13"/>
      <c r="I66" s="13"/>
      <c r="J66" s="3"/>
      <c r="K66" s="3"/>
      <c r="L66" s="3"/>
    </row>
    <row r="67" spans="1:12" ht="15">
      <c r="A67" s="64" t="s">
        <v>75</v>
      </c>
      <c r="B67" s="80"/>
      <c r="C67" s="68"/>
      <c r="D67" s="68"/>
      <c r="E67" s="68"/>
      <c r="F67" s="68"/>
      <c r="G67" s="68"/>
      <c r="H67" s="13"/>
      <c r="I67" s="13"/>
    </row>
    <row r="68" spans="1:12" ht="15">
      <c r="A68" s="64" t="s">
        <v>77</v>
      </c>
      <c r="B68" s="80"/>
      <c r="C68" s="68"/>
      <c r="D68" s="68"/>
      <c r="E68" s="68"/>
      <c r="F68" s="68"/>
      <c r="G68" s="68"/>
    </row>
    <row r="69" spans="1:12" ht="15">
      <c r="A69" s="64" t="s">
        <v>83</v>
      </c>
      <c r="B69" s="80"/>
      <c r="C69" s="68"/>
      <c r="D69" s="68"/>
      <c r="E69" s="68"/>
      <c r="F69" s="68"/>
      <c r="G69" s="68"/>
    </row>
    <row r="70" spans="1:12" ht="15">
      <c r="A70" s="64" t="s">
        <v>90</v>
      </c>
      <c r="B70" s="80"/>
      <c r="C70" s="68"/>
      <c r="D70" s="68"/>
      <c r="E70" s="68"/>
      <c r="F70" s="68"/>
      <c r="G70" s="68"/>
    </row>
    <row r="71" spans="1:12" ht="15">
      <c r="A71" s="64" t="s">
        <v>91</v>
      </c>
      <c r="B71" s="80"/>
      <c r="C71" s="36"/>
      <c r="D71" s="55"/>
      <c r="E71" s="59"/>
      <c r="F71" s="59"/>
    </row>
    <row r="72" spans="1:12" ht="15">
      <c r="A72" s="64" t="s">
        <v>96</v>
      </c>
      <c r="B72" s="80"/>
      <c r="C72" s="36"/>
      <c r="D72" s="55"/>
      <c r="E72" s="59"/>
      <c r="F72" s="59"/>
    </row>
    <row r="73" spans="1:12" ht="15">
      <c r="A73" s="64" t="s">
        <v>97</v>
      </c>
      <c r="B73" s="80"/>
      <c r="C73" s="36"/>
      <c r="D73" s="55"/>
      <c r="E73" s="59"/>
      <c r="F73" s="59"/>
    </row>
    <row r="74" spans="1:12" ht="15">
      <c r="A74" s="64" t="s">
        <v>98</v>
      </c>
      <c r="B74" s="80"/>
      <c r="C74" s="36"/>
      <c r="D74" s="55"/>
      <c r="E74" s="59"/>
      <c r="F74" s="59"/>
    </row>
    <row r="75" spans="1:12" ht="14.25" customHeight="1">
      <c r="A75" s="64" t="s">
        <v>137</v>
      </c>
      <c r="B75" s="80"/>
      <c r="C75" s="36"/>
      <c r="D75" s="55"/>
      <c r="E75" s="59"/>
      <c r="F75" s="59"/>
    </row>
    <row r="76" spans="1:12" ht="15">
      <c r="A76" s="64" t="s">
        <v>94</v>
      </c>
      <c r="B76" s="80"/>
      <c r="C76" s="36"/>
      <c r="D76" s="55"/>
      <c r="E76" s="59"/>
      <c r="F76" s="59"/>
    </row>
    <row r="77" spans="1:12" ht="15">
      <c r="A77" s="64" t="s">
        <v>95</v>
      </c>
      <c r="B77" s="80"/>
      <c r="C77" s="36"/>
      <c r="D77" s="55"/>
      <c r="E77" s="59"/>
      <c r="F77" s="59"/>
    </row>
    <row r="78" spans="1:12" ht="25.5">
      <c r="A78" s="64" t="s">
        <v>147</v>
      </c>
      <c r="B78" s="80"/>
      <c r="C78" s="36"/>
      <c r="D78" s="55"/>
      <c r="E78" s="59"/>
      <c r="F78" s="59"/>
    </row>
    <row r="79" spans="1:12" ht="25.5">
      <c r="A79" s="64" t="s">
        <v>148</v>
      </c>
      <c r="B79" s="80"/>
      <c r="C79" s="36"/>
      <c r="D79" s="55"/>
      <c r="E79" s="59"/>
      <c r="F79" s="59"/>
    </row>
    <row r="80" spans="1:12" ht="25.5">
      <c r="A80" s="64" t="s">
        <v>149</v>
      </c>
      <c r="B80" s="80"/>
      <c r="C80" s="36"/>
      <c r="D80" s="55"/>
      <c r="E80" s="59"/>
      <c r="F80" s="59"/>
    </row>
    <row r="81" spans="1:12" ht="15">
      <c r="A81" s="64" t="s">
        <v>150</v>
      </c>
      <c r="B81" s="80"/>
      <c r="C81" s="36"/>
      <c r="D81" s="55"/>
      <c r="E81" s="59"/>
      <c r="F81" s="59"/>
    </row>
    <row r="82" spans="1:12" ht="15">
      <c r="A82" s="64" t="s">
        <v>151</v>
      </c>
      <c r="B82" s="80"/>
      <c r="C82" s="36"/>
      <c r="D82" s="55"/>
      <c r="E82" s="59"/>
      <c r="F82" s="59"/>
    </row>
    <row r="83" spans="1:12" ht="15">
      <c r="A83" s="94" t="s">
        <v>82</v>
      </c>
      <c r="B83" s="80">
        <v>101.78</v>
      </c>
      <c r="C83" s="36"/>
      <c r="D83" s="55"/>
      <c r="E83" s="59"/>
      <c r="F83" s="59"/>
    </row>
    <row r="84" spans="1:12" ht="15">
      <c r="A84" s="94" t="s">
        <v>101</v>
      </c>
      <c r="B84" s="80">
        <v>43.82</v>
      </c>
      <c r="C84" s="36"/>
      <c r="D84" s="55"/>
      <c r="E84" s="59"/>
      <c r="F84" s="59"/>
    </row>
    <row r="85" spans="1:12" ht="15">
      <c r="A85" s="94" t="s">
        <v>102</v>
      </c>
      <c r="B85" s="80">
        <v>2.65</v>
      </c>
      <c r="C85" s="36"/>
      <c r="D85" s="55"/>
      <c r="E85" s="59"/>
      <c r="F85" s="59"/>
    </row>
    <row r="86" spans="1:12" ht="15">
      <c r="A86" s="94" t="s">
        <v>103</v>
      </c>
      <c r="B86" s="80">
        <v>0.73</v>
      </c>
      <c r="C86" s="36"/>
      <c r="D86" s="55"/>
      <c r="E86" s="59"/>
      <c r="F86" s="59"/>
    </row>
    <row r="87" spans="1:12" ht="15">
      <c r="A87" s="94" t="s">
        <v>104</v>
      </c>
      <c r="B87" s="80">
        <v>29.3</v>
      </c>
      <c r="C87" s="36"/>
      <c r="D87" s="55"/>
      <c r="E87" s="59"/>
      <c r="F87" s="59"/>
    </row>
    <row r="88" spans="1:12" ht="25.5">
      <c r="A88" s="115" t="s">
        <v>112</v>
      </c>
      <c r="B88" s="80"/>
      <c r="C88" s="36"/>
      <c r="D88" s="55"/>
      <c r="E88" s="59"/>
      <c r="F88" s="59"/>
    </row>
    <row r="89" spans="1:12" ht="26.25" thickBot="1">
      <c r="A89" s="95" t="s">
        <v>111</v>
      </c>
      <c r="B89" s="96"/>
      <c r="C89" s="36"/>
      <c r="D89" s="55"/>
      <c r="E89" s="59"/>
      <c r="F89" s="59"/>
    </row>
    <row r="90" spans="1:12" ht="15.75" thickBot="1">
      <c r="A90" s="92"/>
      <c r="B90" s="137"/>
      <c r="C90" s="36"/>
      <c r="D90" s="55"/>
      <c r="E90" s="59"/>
      <c r="F90" s="59"/>
    </row>
    <row r="91" spans="1:12" s="14" customFormat="1" ht="15.75" thickBot="1">
      <c r="A91" s="93" t="s">
        <v>64</v>
      </c>
      <c r="B91" s="78">
        <f>SUM(B2:B40)</f>
        <v>21792.790000000005</v>
      </c>
      <c r="C91" s="69"/>
      <c r="D91" s="58"/>
      <c r="E91" s="68"/>
      <c r="F91" s="68"/>
      <c r="G91" s="58"/>
      <c r="H91" s="13"/>
      <c r="I91" s="13"/>
      <c r="J91" s="13"/>
      <c r="K91" s="13"/>
      <c r="L91" s="13"/>
    </row>
    <row r="92" spans="1:12" s="14" customFormat="1" ht="15.75" thickBot="1">
      <c r="A92" s="67" t="s">
        <v>55</v>
      </c>
      <c r="B92" s="28">
        <f>SUM(G2:G38)</f>
        <v>3972.3700000000003</v>
      </c>
      <c r="C92" s="58"/>
      <c r="D92" s="58"/>
      <c r="E92" s="68"/>
      <c r="F92" s="68"/>
      <c r="G92" s="30"/>
      <c r="H92" s="13"/>
      <c r="I92" s="13"/>
      <c r="J92" s="13"/>
      <c r="K92" s="13"/>
      <c r="L92" s="13"/>
    </row>
    <row r="93" spans="1:12" ht="15.75" thickBot="1">
      <c r="A93" s="86" t="s">
        <v>56</v>
      </c>
      <c r="B93" s="78">
        <f>SUM(B42:B89)</f>
        <v>178.28</v>
      </c>
      <c r="C93" s="36"/>
      <c r="D93" s="55"/>
      <c r="E93" s="59"/>
      <c r="F93" s="59"/>
    </row>
    <row r="94" spans="1:12" ht="15.75" thickBot="1">
      <c r="A94" s="77" t="s">
        <v>357</v>
      </c>
      <c r="B94" s="78">
        <f>B91+B92+B93</f>
        <v>25943.440000000002</v>
      </c>
      <c r="C94" s="36"/>
      <c r="D94" s="55"/>
    </row>
    <row r="95" spans="1:12">
      <c r="B95" s="36"/>
      <c r="C95" s="36"/>
      <c r="D95" s="55"/>
    </row>
    <row r="96" spans="1:12">
      <c r="B96" s="36"/>
      <c r="C96" s="36"/>
      <c r="D96" s="55"/>
    </row>
    <row r="97" spans="1:12">
      <c r="B97" s="36"/>
      <c r="C97" s="36"/>
      <c r="D97" s="36"/>
    </row>
    <row r="98" spans="1:12">
      <c r="B98" s="36"/>
      <c r="C98" s="36"/>
      <c r="D98" s="36"/>
    </row>
    <row r="99" spans="1:12">
      <c r="B99" s="36"/>
      <c r="C99" s="36"/>
      <c r="D99" s="36"/>
    </row>
    <row r="100" spans="1:12">
      <c r="B100" s="36"/>
      <c r="C100" s="36"/>
      <c r="D100" s="36"/>
    </row>
    <row r="101" spans="1:12" s="36" customFormat="1">
      <c r="A101" s="3"/>
      <c r="G101" s="33"/>
      <c r="H101" s="3"/>
      <c r="I101" s="3"/>
      <c r="J101" s="3"/>
      <c r="K101" s="3"/>
      <c r="L101" s="3"/>
    </row>
    <row r="102" spans="1:12" s="36" customFormat="1">
      <c r="A102" s="3"/>
      <c r="G102" s="33"/>
      <c r="H102" s="3"/>
      <c r="I102" s="3"/>
      <c r="J102" s="3"/>
      <c r="K102" s="3"/>
      <c r="L102" s="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H42" sqref="H42"/>
    </sheetView>
  </sheetViews>
  <sheetFormatPr defaultRowHeight="12.75"/>
  <cols>
    <col min="1" max="1" width="29.7109375" style="3" bestFit="1" customWidth="1"/>
    <col min="2" max="2" width="24.5703125" style="186" customWidth="1"/>
    <col min="3" max="3" width="22.42578125" style="186" customWidth="1"/>
    <col min="4" max="4" width="16.140625" style="186" customWidth="1"/>
    <col min="5" max="6" width="9.140625" style="3"/>
    <col min="7" max="7" width="13.28515625" style="3" customWidth="1"/>
    <col min="8" max="16384" width="9.140625" style="3"/>
  </cols>
  <sheetData>
    <row r="1" spans="1:7" ht="30.75" thickBot="1">
      <c r="A1" s="7" t="s">
        <v>7</v>
      </c>
      <c r="B1" s="173" t="s">
        <v>19</v>
      </c>
      <c r="C1" s="174" t="s">
        <v>12</v>
      </c>
      <c r="D1" s="174" t="s">
        <v>11</v>
      </c>
    </row>
    <row r="2" spans="1:7" ht="13.5" thickBot="1">
      <c r="A2" s="9" t="s">
        <v>36</v>
      </c>
      <c r="B2" s="175">
        <f>Aprile!B2+Maggio!B2+Giugno!B2</f>
        <v>2724.61</v>
      </c>
      <c r="C2" s="176">
        <f>Aprile!C2+Maggio!C2+Giugno!C2</f>
        <v>2122.2099999999996</v>
      </c>
      <c r="D2" s="177">
        <f>Aprile!D2+Maggio!D2+Giugno!D2</f>
        <v>602.40000000000032</v>
      </c>
    </row>
    <row r="3" spans="1:7" s="14" customFormat="1" ht="13.5" thickBot="1">
      <c r="A3" s="11" t="s">
        <v>28</v>
      </c>
      <c r="B3" s="175">
        <f>Aprile!B3+Maggio!B3+Giugno!B3</f>
        <v>1144.4000000000001</v>
      </c>
      <c r="C3" s="176">
        <f>Aprile!C3+Maggio!C3+Giugno!C3</f>
        <v>144.4</v>
      </c>
      <c r="D3" s="177">
        <f>Aprile!D3+Maggio!D3+Giugno!D3</f>
        <v>1000</v>
      </c>
      <c r="E3" s="13"/>
      <c r="F3" s="13"/>
      <c r="G3" s="13"/>
    </row>
    <row r="4" spans="1:7" ht="15.75" thickBot="1">
      <c r="A4" s="15" t="s">
        <v>5</v>
      </c>
      <c r="B4" s="173"/>
      <c r="C4" s="178"/>
      <c r="D4" s="179"/>
    </row>
    <row r="5" spans="1:7" s="14" customFormat="1" ht="13.5" thickBot="1">
      <c r="A5" s="18" t="s">
        <v>170</v>
      </c>
      <c r="B5" s="175">
        <f>Aprile!B5+Maggio!B5+Giugno!B5</f>
        <v>462.81</v>
      </c>
      <c r="C5" s="176">
        <f>Aprile!C5+Maggio!C5+Giugno!C5</f>
        <v>326.32</v>
      </c>
      <c r="D5" s="177">
        <f>Aprile!D5+Maggio!D5+Giugno!D5</f>
        <v>136.49</v>
      </c>
      <c r="E5" s="13"/>
      <c r="F5" s="13"/>
      <c r="G5" s="13"/>
    </row>
    <row r="6" spans="1:7" s="14" customFormat="1" ht="13.5" thickBot="1">
      <c r="A6" s="18" t="s">
        <v>60</v>
      </c>
      <c r="B6" s="175">
        <f>Aprile!B6+Maggio!B6+Giugno!B6</f>
        <v>0</v>
      </c>
      <c r="C6" s="176">
        <f>Aprile!C6+Maggio!C6+Giugno!C6</f>
        <v>0</v>
      </c>
      <c r="D6" s="177">
        <f>Aprile!D6+Maggio!D6+Giugno!D6</f>
        <v>0</v>
      </c>
      <c r="E6" s="13"/>
      <c r="F6" s="13"/>
      <c r="G6" s="13"/>
    </row>
    <row r="7" spans="1:7" s="14" customFormat="1" ht="13.5" thickBot="1">
      <c r="A7" s="20" t="s">
        <v>100</v>
      </c>
      <c r="B7" s="175">
        <f>Aprile!B7+Maggio!B7+Giugno!B7</f>
        <v>3741</v>
      </c>
      <c r="C7" s="176">
        <f>Aprile!C7+Maggio!C7+Giugno!C7</f>
        <v>3706.21</v>
      </c>
      <c r="D7" s="177">
        <f>Aprile!D7+Maggio!D7+Giugno!D7</f>
        <v>34.789999999999736</v>
      </c>
      <c r="E7" s="13"/>
      <c r="F7" s="13"/>
      <c r="G7" s="13"/>
    </row>
    <row r="8" spans="1:7" s="14" customFormat="1" ht="13.5" thickBot="1">
      <c r="A8" s="20" t="s">
        <v>29</v>
      </c>
      <c r="B8" s="175">
        <f>Aprile!B8+Maggio!B8+Giugno!B8</f>
        <v>0</v>
      </c>
      <c r="C8" s="176">
        <f>Aprile!C8+Maggio!C8+Giugno!C8</f>
        <v>0</v>
      </c>
      <c r="D8" s="177">
        <f>Aprile!D8+Maggio!D8+Giugno!D8</f>
        <v>0</v>
      </c>
      <c r="E8" s="13"/>
      <c r="F8" s="13"/>
      <c r="G8" s="13"/>
    </row>
    <row r="9" spans="1:7" s="14" customFormat="1" ht="13.5" thickBot="1">
      <c r="A9" s="20" t="s">
        <v>92</v>
      </c>
      <c r="B9" s="175">
        <f>Aprile!B9+Maggio!B9+Giugno!B9</f>
        <v>0</v>
      </c>
      <c r="C9" s="176">
        <f>Aprile!C9+Maggio!C9+Giugno!C9</f>
        <v>0</v>
      </c>
      <c r="D9" s="177">
        <f>Aprile!D9+Maggio!D9+Giugno!D9</f>
        <v>0</v>
      </c>
      <c r="E9" s="13"/>
      <c r="F9" s="13"/>
      <c r="G9" s="13"/>
    </row>
    <row r="10" spans="1:7" s="14" customFormat="1" ht="13.5" thickBot="1">
      <c r="A10" s="20" t="s">
        <v>37</v>
      </c>
      <c r="B10" s="175">
        <f>Aprile!B10+Maggio!B10+Giugno!B10</f>
        <v>310.36</v>
      </c>
      <c r="C10" s="176">
        <f>Aprile!C10+Maggio!C10+Giugno!C10</f>
        <v>348.3</v>
      </c>
      <c r="D10" s="177">
        <f>Aprile!D10+Maggio!D10+Giugno!D10</f>
        <v>-37.940000000000012</v>
      </c>
      <c r="E10" s="13"/>
      <c r="F10" s="13"/>
      <c r="G10" s="13"/>
    </row>
    <row r="11" spans="1:7" s="14" customFormat="1" ht="13.5" thickBot="1">
      <c r="A11" s="20" t="s">
        <v>68</v>
      </c>
      <c r="B11" s="175">
        <f>Aprile!B11+Maggio!B11+Giugno!B11</f>
        <v>2531.27</v>
      </c>
      <c r="C11" s="176">
        <f>Aprile!C11+Maggio!C11+Giugno!C11</f>
        <v>2375.56</v>
      </c>
      <c r="D11" s="177">
        <f>Aprile!D11+Maggio!D11+Giugno!D11</f>
        <v>155.71000000000004</v>
      </c>
      <c r="E11" s="13"/>
      <c r="F11" s="13"/>
      <c r="G11" s="13"/>
    </row>
    <row r="12" spans="1:7" s="14" customFormat="1" ht="13.5" thickBot="1">
      <c r="A12" s="20" t="s">
        <v>122</v>
      </c>
      <c r="B12" s="175">
        <f>Aprile!B12+Maggio!B12+Giugno!B12</f>
        <v>0</v>
      </c>
      <c r="C12" s="176">
        <f>Aprile!C12+Maggio!C12+Giugno!C12</f>
        <v>0</v>
      </c>
      <c r="D12" s="177">
        <f>Aprile!D12+Maggio!D12+Giugno!D12</f>
        <v>0</v>
      </c>
      <c r="E12" s="13"/>
      <c r="F12" s="13"/>
      <c r="G12" s="13"/>
    </row>
    <row r="13" spans="1:7" s="14" customFormat="1" ht="13.5" thickBot="1">
      <c r="A13" s="20" t="s">
        <v>168</v>
      </c>
      <c r="B13" s="175">
        <f>Aprile!B13+Maggio!B13+Giugno!B13</f>
        <v>1559</v>
      </c>
      <c r="C13" s="176">
        <f>Aprile!C13+Maggio!C13+Giugno!C13</f>
        <v>0</v>
      </c>
      <c r="D13" s="177">
        <f>Aprile!D13+Maggio!D13+Giugno!D13</f>
        <v>1559</v>
      </c>
      <c r="E13" s="13"/>
      <c r="F13" s="13"/>
      <c r="G13" s="13"/>
    </row>
    <row r="14" spans="1:7" s="14" customFormat="1" ht="13.5" thickBot="1">
      <c r="A14" s="20" t="s">
        <v>115</v>
      </c>
      <c r="B14" s="175">
        <f>Aprile!B14+Maggio!B14+Giugno!B14</f>
        <v>0</v>
      </c>
      <c r="C14" s="176">
        <f>Aprile!C14+Maggio!C14+Giugno!C14</f>
        <v>0</v>
      </c>
      <c r="D14" s="177">
        <f>Aprile!D14+Maggio!D14+Giugno!D14</f>
        <v>0</v>
      </c>
      <c r="E14" s="13"/>
      <c r="F14" s="13"/>
      <c r="G14" s="13"/>
    </row>
    <row r="15" spans="1:7" s="14" customFormat="1" ht="13.5" thickBot="1">
      <c r="A15" s="20" t="s">
        <v>123</v>
      </c>
      <c r="B15" s="175">
        <f>Aprile!B15+Maggio!B15+Giugno!B15</f>
        <v>2138.08</v>
      </c>
      <c r="C15" s="176">
        <f>Aprile!C15+Maggio!C15+Giugno!C15</f>
        <v>2053.37</v>
      </c>
      <c r="D15" s="177">
        <f>Aprile!D15+Maggio!D15+Giugno!D15</f>
        <v>84.710000000000093</v>
      </c>
      <c r="E15" s="13"/>
      <c r="F15" s="13"/>
      <c r="G15" s="13"/>
    </row>
    <row r="16" spans="1:7" s="14" customFormat="1" ht="13.5" thickBot="1">
      <c r="A16" s="20" t="s">
        <v>78</v>
      </c>
      <c r="B16" s="175">
        <f>Aprile!B16+Maggio!B16+Giugno!B16</f>
        <v>0</v>
      </c>
      <c r="C16" s="176">
        <f>Aprile!C16+Maggio!C16+Giugno!C16</f>
        <v>0</v>
      </c>
      <c r="D16" s="177">
        <f>Aprile!D16+Maggio!D16+Giugno!D16</f>
        <v>0</v>
      </c>
      <c r="E16" s="13"/>
      <c r="F16" s="13"/>
      <c r="G16" s="13"/>
    </row>
    <row r="17" spans="1:7" s="14" customFormat="1" ht="13.5" thickBot="1">
      <c r="A17" s="20" t="s">
        <v>93</v>
      </c>
      <c r="B17" s="175">
        <f>Aprile!B17+Maggio!B17+Giugno!B17</f>
        <v>0</v>
      </c>
      <c r="C17" s="176">
        <f>Aprile!C17+Maggio!C17+Giugno!C17</f>
        <v>0</v>
      </c>
      <c r="D17" s="177">
        <f>Aprile!D17+Maggio!D17+Giugno!D17</f>
        <v>0</v>
      </c>
      <c r="E17" s="13"/>
      <c r="F17" s="13"/>
      <c r="G17" s="13"/>
    </row>
    <row r="18" spans="1:7" s="14" customFormat="1" ht="13.5" thickBot="1">
      <c r="A18" s="18" t="s">
        <v>24</v>
      </c>
      <c r="B18" s="175">
        <f>Aprile!B18+Maggio!B18+Giugno!B18</f>
        <v>0</v>
      </c>
      <c r="C18" s="176">
        <f>Aprile!C18+Maggio!C18+Giugno!C18</f>
        <v>0</v>
      </c>
      <c r="D18" s="177">
        <f>Aprile!D18+Maggio!D18+Giugno!D18</f>
        <v>0</v>
      </c>
      <c r="E18" s="13"/>
      <c r="F18" s="13"/>
      <c r="G18" s="13"/>
    </row>
    <row r="19" spans="1:7" s="14" customFormat="1" ht="13.5" thickBot="1">
      <c r="A19" s="18" t="s">
        <v>25</v>
      </c>
      <c r="B19" s="175">
        <f>Aprile!B19+Maggio!B19+Giugno!B19</f>
        <v>1205.32</v>
      </c>
      <c r="C19" s="176">
        <f>Aprile!C19+Maggio!C19+Giugno!C19</f>
        <v>1124.8600000000001</v>
      </c>
      <c r="D19" s="177">
        <f>Aprile!D19+Maggio!D19+Giugno!D19</f>
        <v>80.459999999999809</v>
      </c>
      <c r="E19" s="13"/>
      <c r="F19" s="13"/>
      <c r="G19" s="13"/>
    </row>
    <row r="20" spans="1:7" s="14" customFormat="1" ht="13.5" thickBot="1">
      <c r="A20" s="18" t="s">
        <v>169</v>
      </c>
      <c r="B20" s="175">
        <f>Aprile!B20+Maggio!B20+Giugno!B20</f>
        <v>0</v>
      </c>
      <c r="C20" s="176">
        <f>Aprile!C20+Maggio!C20+Giugno!C20</f>
        <v>0</v>
      </c>
      <c r="D20" s="177">
        <f>Aprile!D20+Maggio!D20+Giugno!D20</f>
        <v>0</v>
      </c>
      <c r="E20" s="13"/>
      <c r="F20" s="13"/>
      <c r="G20" s="13"/>
    </row>
    <row r="21" spans="1:7" s="14" customFormat="1" ht="13.5" thickBot="1">
      <c r="A21" s="18" t="s">
        <v>59</v>
      </c>
      <c r="B21" s="175">
        <f>Aprile!B21+Maggio!B21+Giugno!B21</f>
        <v>0</v>
      </c>
      <c r="C21" s="176">
        <f>Aprile!C21+Maggio!C21+Giugno!C21</f>
        <v>0</v>
      </c>
      <c r="D21" s="177">
        <f>Aprile!D21+Maggio!D21+Giugno!D21</f>
        <v>0</v>
      </c>
      <c r="E21" s="13"/>
      <c r="F21" s="13"/>
      <c r="G21" s="13"/>
    </row>
    <row r="22" spans="1:7" s="14" customFormat="1" ht="13.5" thickBot="1">
      <c r="A22" s="18" t="s">
        <v>105</v>
      </c>
      <c r="B22" s="175">
        <f>Aprile!B22+Maggio!B22+Giugno!B22</f>
        <v>0</v>
      </c>
      <c r="C22" s="176">
        <f>Aprile!C22+Maggio!C22+Giugno!C22</f>
        <v>0</v>
      </c>
      <c r="D22" s="177">
        <f>Aprile!D22+Maggio!D22+Giugno!D22</f>
        <v>0</v>
      </c>
      <c r="E22" s="13"/>
      <c r="F22" s="13"/>
      <c r="G22" s="13"/>
    </row>
    <row r="23" spans="1:7" s="14" customFormat="1" ht="13.5" thickBot="1">
      <c r="A23" s="20" t="s">
        <v>32</v>
      </c>
      <c r="B23" s="175">
        <f>Aprile!B23+Maggio!B23+Giugno!B23</f>
        <v>79.47</v>
      </c>
      <c r="C23" s="176">
        <f>Aprile!C23+Maggio!C23+Giugno!C23</f>
        <v>0</v>
      </c>
      <c r="D23" s="177">
        <f>Aprile!D23+Maggio!D23+Giugno!D23</f>
        <v>79.47</v>
      </c>
      <c r="E23" s="13"/>
      <c r="F23" s="13"/>
      <c r="G23" s="13"/>
    </row>
    <row r="24" spans="1:7" s="14" customFormat="1" ht="13.5" thickBot="1">
      <c r="A24" s="20" t="s">
        <v>33</v>
      </c>
      <c r="B24" s="175">
        <f>Aprile!B24+Maggio!B24+Giugno!B24</f>
        <v>1879.9699999999998</v>
      </c>
      <c r="C24" s="176">
        <f>Aprile!C24+Maggio!C24+Giugno!C24</f>
        <v>1842.8400000000001</v>
      </c>
      <c r="D24" s="177">
        <f>Aprile!D24+Maggio!D24+Giugno!D24</f>
        <v>37.129999999999882</v>
      </c>
      <c r="E24" s="13"/>
      <c r="F24" s="13"/>
      <c r="G24" s="13"/>
    </row>
    <row r="25" spans="1:7" s="14" customFormat="1" ht="13.5" thickBot="1">
      <c r="A25" s="20" t="s">
        <v>118</v>
      </c>
      <c r="B25" s="175">
        <f>Aprile!B25+Maggio!B25+Giugno!B25</f>
        <v>0</v>
      </c>
      <c r="C25" s="176">
        <f>Aprile!C25+Maggio!C25+Giugno!C25</f>
        <v>0</v>
      </c>
      <c r="D25" s="177">
        <f>Aprile!D25+Maggio!D25+Giugno!D25</f>
        <v>0</v>
      </c>
      <c r="E25" s="13"/>
      <c r="F25" s="13"/>
      <c r="G25" s="13"/>
    </row>
    <row r="26" spans="1:7" s="14" customFormat="1" ht="13.5" thickBot="1">
      <c r="A26" s="20" t="s">
        <v>31</v>
      </c>
      <c r="B26" s="175">
        <f>Aprile!B26+Maggio!B26+Giugno!B26</f>
        <v>0</v>
      </c>
      <c r="C26" s="176">
        <f>Aprile!C26+Maggio!C26+Giugno!C26</f>
        <v>0</v>
      </c>
      <c r="D26" s="177">
        <f>Aprile!D26+Maggio!D26+Giugno!D26</f>
        <v>0</v>
      </c>
    </row>
    <row r="27" spans="1:7" s="14" customFormat="1" ht="13.5" thickBot="1">
      <c r="A27" s="81" t="s">
        <v>69</v>
      </c>
      <c r="B27" s="175">
        <f>Aprile!B27+Maggio!B27+Giugno!B27</f>
        <v>2702.0699999999997</v>
      </c>
      <c r="C27" s="176">
        <f>Aprile!C27+Maggio!C27+Giugno!C27</f>
        <v>0</v>
      </c>
      <c r="D27" s="177">
        <f>Aprile!D27+Maggio!D27+Giugno!D27</f>
        <v>2702.0699999999997</v>
      </c>
    </row>
    <row r="28" spans="1:7" s="14" customFormat="1" ht="13.5" thickBot="1">
      <c r="A28" s="81" t="s">
        <v>117</v>
      </c>
      <c r="B28" s="175">
        <f>Aprile!B28+Maggio!B28+Giugno!B28</f>
        <v>0</v>
      </c>
      <c r="C28" s="176">
        <f>Aprile!C28+Maggio!C28+Giugno!C28</f>
        <v>0</v>
      </c>
      <c r="D28" s="177">
        <f>Aprile!D28+Maggio!D28+Giugno!D28</f>
        <v>0</v>
      </c>
    </row>
    <row r="29" spans="1:7" s="14" customFormat="1" ht="13.5" thickBot="1">
      <c r="A29" s="81" t="s">
        <v>34</v>
      </c>
      <c r="B29" s="175">
        <f>Aprile!B29+Maggio!B29+Giugno!B29</f>
        <v>91.27000000000001</v>
      </c>
      <c r="C29" s="176">
        <f>Aprile!C29+Maggio!C29+Giugno!C29</f>
        <v>54.77</v>
      </c>
      <c r="D29" s="177">
        <f>Aprile!D29+Maggio!D29+Giugno!D29</f>
        <v>36.500000000000007</v>
      </c>
    </row>
    <row r="30" spans="1:7" s="14" customFormat="1" ht="13.5" thickBot="1">
      <c r="A30" s="24" t="s">
        <v>120</v>
      </c>
      <c r="B30" s="175">
        <f>Aprile!B30+Maggio!B30+Giugno!B30</f>
        <v>7254.3099999999995</v>
      </c>
      <c r="C30" s="176">
        <f>Aprile!C30+Maggio!C30+Giugno!C30</f>
        <v>1536.81</v>
      </c>
      <c r="D30" s="177">
        <f>Aprile!D30+Maggio!D30+Giugno!D30</f>
        <v>5717.5</v>
      </c>
      <c r="E30" s="13"/>
      <c r="F30" s="13"/>
      <c r="G30" s="13"/>
    </row>
    <row r="31" spans="1:7" s="14" customFormat="1" ht="15.75" thickBot="1">
      <c r="A31" s="25" t="s">
        <v>10</v>
      </c>
      <c r="B31" s="173"/>
      <c r="C31" s="178"/>
      <c r="D31" s="179"/>
      <c r="E31" s="13"/>
      <c r="F31" s="13"/>
      <c r="G31" s="13"/>
    </row>
    <row r="32" spans="1:7" s="14" customFormat="1" ht="12.75" customHeight="1" thickBot="1">
      <c r="A32" s="17" t="s">
        <v>23</v>
      </c>
      <c r="B32" s="175">
        <f>Aprile!B32+Maggio!B32+Giugno!B32</f>
        <v>2083.5500000000002</v>
      </c>
      <c r="C32" s="176">
        <f>Aprile!C32+Maggio!C32+Giugno!C32</f>
        <v>1667.75</v>
      </c>
      <c r="D32" s="177">
        <f>Aprile!D32+Maggio!D32+Giugno!D32</f>
        <v>415.8</v>
      </c>
      <c r="E32" s="13"/>
      <c r="F32" s="13"/>
      <c r="G32" s="13"/>
    </row>
    <row r="33" spans="1:7" s="14" customFormat="1" ht="15.75" thickBot="1">
      <c r="A33" s="25" t="s">
        <v>22</v>
      </c>
      <c r="B33" s="173"/>
      <c r="C33" s="178"/>
      <c r="D33" s="179"/>
    </row>
    <row r="34" spans="1:7" s="14" customFormat="1" ht="13.5" thickBot="1">
      <c r="A34" s="17" t="s">
        <v>35</v>
      </c>
      <c r="B34" s="175">
        <f>Aprile!B34+Maggio!B34+Giugno!B34</f>
        <v>4746.41</v>
      </c>
      <c r="C34" s="176">
        <f>Aprile!C34+Maggio!C34+Giugno!C34</f>
        <v>4150.49</v>
      </c>
      <c r="D34" s="177">
        <f>Aprile!D34+Maggio!D34+Giugno!D34</f>
        <v>595.91999999999996</v>
      </c>
      <c r="E34" s="13"/>
      <c r="F34" s="13"/>
      <c r="G34" s="13"/>
    </row>
    <row r="35" spans="1:7" s="14" customFormat="1" ht="13.5" thickBot="1">
      <c r="A35" s="20" t="s">
        <v>38</v>
      </c>
      <c r="B35" s="175">
        <f>Aprile!B35+Maggio!B35+Giugno!B35</f>
        <v>2063.17</v>
      </c>
      <c r="C35" s="176">
        <f>Aprile!C35+Maggio!C35+Giugno!C35</f>
        <v>1901.36</v>
      </c>
      <c r="D35" s="177">
        <f>Aprile!D35+Maggio!D35+Giugno!D35</f>
        <v>161.80999999999995</v>
      </c>
      <c r="E35" s="13"/>
      <c r="F35" s="13"/>
      <c r="G35" s="13"/>
    </row>
    <row r="36" spans="1:7" s="14" customFormat="1" ht="13.5" thickBot="1">
      <c r="A36" s="20" t="s">
        <v>70</v>
      </c>
      <c r="B36" s="175">
        <f>Aprile!B36+Maggio!B36+Giugno!B36</f>
        <v>6294.12</v>
      </c>
      <c r="C36" s="176">
        <f>Aprile!C36+Maggio!C36+Giugno!C36</f>
        <v>5503.2400000000007</v>
      </c>
      <c r="D36" s="177">
        <f>Aprile!D36+Maggio!D36+Giugno!D36</f>
        <v>790.8799999999992</v>
      </c>
      <c r="E36" s="13"/>
      <c r="F36" s="13"/>
      <c r="G36" s="13"/>
    </row>
    <row r="37" spans="1:7" s="14" customFormat="1" ht="13.5" thickBot="1">
      <c r="A37" s="20" t="s">
        <v>119</v>
      </c>
      <c r="B37" s="175">
        <f>Aprile!B37+Maggio!B37+Giugno!B37</f>
        <v>501.44</v>
      </c>
      <c r="C37" s="176">
        <f>Aprile!C37+Maggio!C37+Giugno!C37</f>
        <v>431.65</v>
      </c>
      <c r="D37" s="177">
        <f>Aprile!D37+Maggio!D37+Giugno!D37</f>
        <v>69.79000000000002</v>
      </c>
      <c r="E37" s="13"/>
      <c r="F37" s="13"/>
      <c r="G37" s="13"/>
    </row>
    <row r="38" spans="1:7" s="14" customFormat="1" ht="17.25" customHeight="1" thickBot="1">
      <c r="A38" s="24" t="s">
        <v>99</v>
      </c>
      <c r="B38" s="175">
        <f>Aprile!B38+Maggio!B38+Giugno!B38</f>
        <v>10464.34</v>
      </c>
      <c r="C38" s="176">
        <f>Aprile!C38+Maggio!C38+Giugno!C38</f>
        <v>4742.6099999999997</v>
      </c>
      <c r="D38" s="177">
        <f>Aprile!D38+Maggio!D38+Giugno!D38</f>
        <v>10464.34</v>
      </c>
      <c r="F38" s="13"/>
      <c r="G38" s="13"/>
    </row>
    <row r="39" spans="1:7" s="14" customFormat="1" ht="15.75" thickBot="1">
      <c r="A39" s="15" t="s">
        <v>72</v>
      </c>
      <c r="B39" s="180"/>
      <c r="C39" s="181"/>
      <c r="D39" s="182"/>
    </row>
    <row r="40" spans="1:7" s="14" customFormat="1">
      <c r="A40" s="172" t="s">
        <v>71</v>
      </c>
      <c r="B40" s="175">
        <f>Aprile!B40+Maggio!B40+Giugno!B40</f>
        <v>1653.93</v>
      </c>
      <c r="C40" s="176">
        <f>Aprile!C40+Maggio!C40+Giugno!C40</f>
        <v>0</v>
      </c>
      <c r="D40" s="177">
        <f>Aprile!D40+Maggio!D40+Giugno!D40</f>
        <v>1653.93</v>
      </c>
      <c r="E40" s="13"/>
      <c r="F40" s="13"/>
      <c r="G40" s="13"/>
    </row>
    <row r="41" spans="1:7" ht="13.5" thickBot="1">
      <c r="A41" s="4"/>
      <c r="B41" s="183"/>
      <c r="C41" s="183"/>
      <c r="D41" s="184"/>
    </row>
    <row r="42" spans="1:7" s="14" customFormat="1" ht="15.75" thickBot="1">
      <c r="A42" s="149" t="s">
        <v>64</v>
      </c>
      <c r="B42" s="185">
        <f>SUM(B2:B40)</f>
        <v>55630.9</v>
      </c>
      <c r="C42" s="185">
        <f>SUM(C2:C40)</f>
        <v>34032.75</v>
      </c>
      <c r="D42" s="185">
        <f>SUM(D2:D40)</f>
        <v>26340.76</v>
      </c>
      <c r="E42" s="13"/>
      <c r="F42" s="13"/>
      <c r="G42" s="13"/>
    </row>
    <row r="43" spans="1:7">
      <c r="A43" s="4"/>
      <c r="B43" s="183"/>
      <c r="C43" s="183"/>
      <c r="D43" s="184"/>
    </row>
    <row r="44" spans="1:7">
      <c r="D44" s="187"/>
    </row>
    <row r="45" spans="1:7">
      <c r="D45" s="187"/>
    </row>
    <row r="46" spans="1:7">
      <c r="D46" s="187"/>
    </row>
    <row r="47" spans="1:7">
      <c r="D47" s="187"/>
    </row>
    <row r="48" spans="1:7">
      <c r="D48" s="187"/>
    </row>
    <row r="49" spans="4:4">
      <c r="D49" s="18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Gennaio</vt:lpstr>
      <vt:lpstr>Febbraio</vt:lpstr>
      <vt:lpstr>Marzo</vt:lpstr>
      <vt:lpstr>Totale 1Q</vt:lpstr>
      <vt:lpstr>Dettagli costi Cell 1Q</vt:lpstr>
      <vt:lpstr>Aprile</vt:lpstr>
      <vt:lpstr>Maggio</vt:lpstr>
      <vt:lpstr>Giugno</vt:lpstr>
      <vt:lpstr>Totale 2Q</vt:lpstr>
      <vt:lpstr>Dettagli costi Cell 2Q</vt:lpstr>
      <vt:lpstr>Luglio</vt:lpstr>
      <vt:lpstr>Agosto</vt:lpstr>
      <vt:lpstr>Settembre</vt:lpstr>
      <vt:lpstr>Totale 3Q</vt:lpstr>
      <vt:lpstr>Dettagli costi Cell 3Q</vt:lpstr>
      <vt:lpstr>Ottobre</vt:lpstr>
      <vt:lpstr>Novembre</vt:lpstr>
      <vt:lpstr>Dicembre</vt:lpstr>
      <vt:lpstr>Totale 4Q</vt:lpstr>
      <vt:lpstr>Dettagli costi Cell 4Q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Leanza</dc:creator>
  <cp:lastModifiedBy>Simonetta Gallucci</cp:lastModifiedBy>
  <cp:lastPrinted>2013-05-23T09:32:16Z</cp:lastPrinted>
  <dcterms:created xsi:type="dcterms:W3CDTF">2004-06-08T23:08:12Z</dcterms:created>
  <dcterms:modified xsi:type="dcterms:W3CDTF">2014-02-26T11:14:02Z</dcterms:modified>
</cp:coreProperties>
</file>