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tabRatio="597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SETTEMBRE" sheetId="9" r:id="rId8"/>
    <sheet name="OTTOBRE" sheetId="10" r:id="rId9"/>
    <sheet name="NOVEMBRE" sheetId="11" r:id="rId10"/>
    <sheet name="DICEMBRE" sheetId="12" r:id="rId11"/>
  </sheets>
  <definedNames>
    <definedName name="_xlnm.Print_Area" localSheetId="1">FEBBRAIO!$A$1:$I$90</definedName>
    <definedName name="_xlnm.Print_Area" localSheetId="0">GENNAIO!$A$1:$I$85</definedName>
  </definedNames>
  <calcPr calcId="125725" iterateDelta="1E-4"/>
</workbook>
</file>

<file path=xl/calcChain.xml><?xml version="1.0" encoding="utf-8"?>
<calcChain xmlns="http://schemas.openxmlformats.org/spreadsheetml/2006/main">
  <c r="D63" i="11"/>
  <c r="D64"/>
  <c r="H40" i="12"/>
  <c r="H38"/>
  <c r="H37"/>
  <c r="H17"/>
  <c r="H36"/>
  <c r="H73"/>
  <c r="H82"/>
  <c r="D97" i="10" l="1"/>
  <c r="D2" i="11"/>
  <c r="H97" i="10"/>
  <c r="D97" i="11"/>
  <c r="F77" i="12"/>
  <c r="F97" i="11"/>
  <c r="F56" i="12"/>
  <c r="F55"/>
  <c r="H55"/>
  <c r="D55"/>
  <c r="F22"/>
  <c r="F26"/>
  <c r="F25"/>
  <c r="D45"/>
  <c r="D25"/>
  <c r="F67"/>
  <c r="F52" i="11"/>
  <c r="F16"/>
  <c r="F113" i="10"/>
  <c r="F112"/>
  <c r="H29" i="12"/>
  <c r="D29"/>
  <c r="H67"/>
  <c r="D67"/>
  <c r="D75" s="1"/>
  <c r="H53" i="11"/>
  <c r="H52"/>
  <c r="D53"/>
  <c r="D52"/>
  <c r="D112" i="10"/>
  <c r="D22" i="12"/>
  <c r="D43"/>
  <c r="D42"/>
  <c r="D21"/>
  <c r="D20"/>
  <c r="F21"/>
  <c r="D104" i="10"/>
  <c r="D81" i="11"/>
  <c r="D80"/>
  <c r="H34" i="10"/>
  <c r="D37"/>
  <c r="D36"/>
  <c r="D35"/>
  <c r="D15" i="11"/>
  <c r="D14"/>
  <c r="D34" i="10"/>
  <c r="F80" i="11"/>
  <c r="F14"/>
  <c r="F35" i="10"/>
  <c r="F104"/>
  <c r="F103"/>
  <c r="F34"/>
  <c r="D24" i="12"/>
  <c r="D44"/>
  <c r="D95" i="10"/>
  <c r="D3" i="12"/>
  <c r="D2"/>
  <c r="D9" s="1"/>
  <c r="H31" i="4"/>
  <c r="D17" i="6"/>
  <c r="F72" i="11"/>
  <c r="F4"/>
  <c r="D5"/>
  <c r="D4"/>
  <c r="D76" i="5"/>
  <c r="F76"/>
  <c r="H144" i="10"/>
  <c r="F20" i="12"/>
  <c r="H83"/>
  <c r="F83"/>
  <c r="D83"/>
  <c r="F75"/>
  <c r="H75"/>
  <c r="D65"/>
  <c r="H65"/>
  <c r="H53"/>
  <c r="F53"/>
  <c r="D53"/>
  <c r="F40"/>
  <c r="H18"/>
  <c r="F18"/>
  <c r="D18"/>
  <c r="H9"/>
  <c r="F9"/>
  <c r="H51" i="10"/>
  <c r="H28"/>
  <c r="H52"/>
  <c r="H118"/>
  <c r="H145"/>
  <c r="H146"/>
  <c r="H128"/>
  <c r="H100"/>
  <c r="H101" s="1"/>
  <c r="H77" i="11"/>
  <c r="H68"/>
  <c r="H57"/>
  <c r="H59"/>
  <c r="H46"/>
  <c r="H32"/>
  <c r="D86"/>
  <c r="H104"/>
  <c r="F104"/>
  <c r="D104"/>
  <c r="H95"/>
  <c r="F95"/>
  <c r="D95"/>
  <c r="H86"/>
  <c r="F86"/>
  <c r="H78"/>
  <c r="D78"/>
  <c r="F78"/>
  <c r="H70"/>
  <c r="F70"/>
  <c r="D70"/>
  <c r="F59"/>
  <c r="F46"/>
  <c r="D32"/>
  <c r="H22"/>
  <c r="D22"/>
  <c r="H12"/>
  <c r="D12"/>
  <c r="F12"/>
  <c r="D81" i="10"/>
  <c r="D80"/>
  <c r="D69"/>
  <c r="D56"/>
  <c r="D55"/>
  <c r="D68"/>
  <c r="H55"/>
  <c r="H66" s="1"/>
  <c r="D40"/>
  <c r="F65" i="12" l="1"/>
  <c r="D40"/>
  <c r="B41" s="1"/>
  <c r="B84"/>
  <c r="B54"/>
  <c r="B19"/>
  <c r="B10"/>
  <c r="B66"/>
  <c r="B76"/>
  <c r="B105" i="11"/>
  <c r="D59"/>
  <c r="D46"/>
  <c r="B47" s="1"/>
  <c r="B13"/>
  <c r="F22"/>
  <c r="B23" s="1"/>
  <c r="F32"/>
  <c r="B33" s="1"/>
  <c r="B79"/>
  <c r="B87"/>
  <c r="B96"/>
  <c r="B60"/>
  <c r="B71"/>
  <c r="F40" i="10"/>
  <c r="D39"/>
  <c r="D38"/>
  <c r="F38"/>
  <c r="D114"/>
  <c r="D136"/>
  <c r="D135"/>
  <c r="D134"/>
  <c r="D15"/>
  <c r="D16"/>
  <c r="D14"/>
  <c r="H133"/>
  <c r="H147" s="1"/>
  <c r="D133"/>
  <c r="D131"/>
  <c r="F15"/>
  <c r="F14"/>
  <c r="F142"/>
  <c r="F141"/>
  <c r="F23"/>
  <c r="D140"/>
  <c r="F140"/>
  <c r="D137"/>
  <c r="D24"/>
  <c r="F139"/>
  <c r="F138"/>
  <c r="D138"/>
  <c r="H22"/>
  <c r="H30" s="1"/>
  <c r="F44"/>
  <c r="F94"/>
  <c r="D20"/>
  <c r="D19"/>
  <c r="F18"/>
  <c r="D18"/>
  <c r="D17"/>
  <c r="F20"/>
  <c r="F17"/>
  <c r="D82"/>
  <c r="D83"/>
  <c r="D84"/>
  <c r="D71"/>
  <c r="D78" s="1"/>
  <c r="D70"/>
  <c r="D58"/>
  <c r="F2"/>
  <c r="F12"/>
  <c r="D12"/>
  <c r="H12"/>
  <c r="F53"/>
  <c r="D53"/>
  <c r="H53"/>
  <c r="F66"/>
  <c r="D66"/>
  <c r="F78"/>
  <c r="H78"/>
  <c r="F91"/>
  <c r="H91"/>
  <c r="F101"/>
  <c r="D101"/>
  <c r="B102" s="1"/>
  <c r="F110"/>
  <c r="D110"/>
  <c r="H110"/>
  <c r="F119"/>
  <c r="D119"/>
  <c r="H119"/>
  <c r="F128"/>
  <c r="D128"/>
  <c r="F147"/>
  <c r="D147"/>
  <c r="B148" s="1"/>
  <c r="H76" i="9"/>
  <c r="F68"/>
  <c r="D59"/>
  <c r="D60"/>
  <c r="D68"/>
  <c r="H66"/>
  <c r="H68"/>
  <c r="B69"/>
  <c r="D20"/>
  <c r="F20"/>
  <c r="H20"/>
  <c r="B21"/>
  <c r="D47"/>
  <c r="D48"/>
  <c r="D57"/>
  <c r="F47"/>
  <c r="F48"/>
  <c r="F57"/>
  <c r="H56"/>
  <c r="H57"/>
  <c r="B58"/>
  <c r="F2"/>
  <c r="F4"/>
  <c r="F5"/>
  <c r="F12"/>
  <c r="D12"/>
  <c r="H12"/>
  <c r="B13"/>
  <c r="F22"/>
  <c r="F23"/>
  <c r="F25"/>
  <c r="F33"/>
  <c r="D22"/>
  <c r="D23"/>
  <c r="D26"/>
  <c r="D27"/>
  <c r="D29"/>
  <c r="D33"/>
  <c r="H32"/>
  <c r="H33"/>
  <c r="B34"/>
  <c r="F35"/>
  <c r="F36"/>
  <c r="F37"/>
  <c r="F38"/>
  <c r="F40"/>
  <c r="F45"/>
  <c r="D45"/>
  <c r="H40"/>
  <c r="H44"/>
  <c r="H45"/>
  <c r="B46"/>
  <c r="F70"/>
  <c r="F71"/>
  <c r="F72"/>
  <c r="F76"/>
  <c r="D70"/>
  <c r="D71"/>
  <c r="D74"/>
  <c r="D76"/>
  <c r="B77"/>
  <c r="F84"/>
  <c r="D84"/>
  <c r="H84"/>
  <c r="B85"/>
  <c r="F87"/>
  <c r="F89"/>
  <c r="F92"/>
  <c r="D86"/>
  <c r="D87"/>
  <c r="D92"/>
  <c r="H91"/>
  <c r="H92"/>
  <c r="B93"/>
  <c r="F94"/>
  <c r="F100"/>
  <c r="D94"/>
  <c r="D95"/>
  <c r="D96"/>
  <c r="D97"/>
  <c r="D100"/>
  <c r="H100"/>
  <c r="B101"/>
  <c r="B104"/>
  <c r="H67"/>
  <c r="F68" i="7"/>
  <c r="F100" i="6"/>
  <c r="F68"/>
  <c r="F117" i="7"/>
  <c r="F19"/>
  <c r="F18"/>
  <c r="F17"/>
  <c r="F65"/>
  <c r="F64"/>
  <c r="F66"/>
  <c r="D116"/>
  <c r="D115"/>
  <c r="D65"/>
  <c r="D64"/>
  <c r="H104" i="6"/>
  <c r="D104"/>
  <c r="D66" i="7"/>
  <c r="H75" i="6"/>
  <c r="F113" i="7"/>
  <c r="F112"/>
  <c r="F132"/>
  <c r="F142"/>
  <c r="F131"/>
  <c r="D142"/>
  <c r="H142"/>
  <c r="D112"/>
  <c r="D129"/>
  <c r="D118"/>
  <c r="D106"/>
  <c r="D75"/>
  <c r="D62"/>
  <c r="D15"/>
  <c r="F25"/>
  <c r="F41"/>
  <c r="F96"/>
  <c r="H106"/>
  <c r="H96"/>
  <c r="H39"/>
  <c r="H15"/>
  <c r="H49"/>
  <c r="H124"/>
  <c r="H129"/>
  <c r="H73"/>
  <c r="H75"/>
  <c r="H41"/>
  <c r="F110"/>
  <c r="F129"/>
  <c r="D2" i="6"/>
  <c r="D11"/>
  <c r="D75"/>
  <c r="F36" i="5"/>
  <c r="F42"/>
  <c r="D27" i="7"/>
  <c r="D41"/>
  <c r="B42"/>
  <c r="D28"/>
  <c r="D78"/>
  <c r="D86"/>
  <c r="D96"/>
  <c r="D43"/>
  <c r="D51"/>
  <c r="D25"/>
  <c r="F3"/>
  <c r="F2"/>
  <c r="F44"/>
  <c r="F43"/>
  <c r="F100"/>
  <c r="F99"/>
  <c r="F69"/>
  <c r="F75"/>
  <c r="H86"/>
  <c r="F86"/>
  <c r="B87"/>
  <c r="H62"/>
  <c r="F62"/>
  <c r="B63"/>
  <c r="H51"/>
  <c r="H25"/>
  <c r="F106"/>
  <c r="B107"/>
  <c r="F51"/>
  <c r="F15"/>
  <c r="B16"/>
  <c r="B26"/>
  <c r="B97"/>
  <c r="B52"/>
  <c r="B130"/>
  <c r="B143"/>
  <c r="B76"/>
  <c r="H63" i="6"/>
  <c r="D24"/>
  <c r="H11"/>
  <c r="H88"/>
  <c r="D22"/>
  <c r="H23"/>
  <c r="H47"/>
  <c r="F80"/>
  <c r="F81"/>
  <c r="F15"/>
  <c r="F79"/>
  <c r="F13"/>
  <c r="F78"/>
  <c r="F88"/>
  <c r="F77"/>
  <c r="D14"/>
  <c r="D47"/>
  <c r="B48" s="1"/>
  <c r="B107" s="1"/>
  <c r="D13"/>
  <c r="D78"/>
  <c r="F45" i="5"/>
  <c r="F52"/>
  <c r="D45"/>
  <c r="D44"/>
  <c r="F5" i="6"/>
  <c r="F4"/>
  <c r="F50"/>
  <c r="F40"/>
  <c r="D50"/>
  <c r="D49"/>
  <c r="D63"/>
  <c r="F66"/>
  <c r="F28"/>
  <c r="F54"/>
  <c r="F53"/>
  <c r="F63"/>
  <c r="B64"/>
  <c r="F35"/>
  <c r="F34"/>
  <c r="F104"/>
  <c r="B105"/>
  <c r="H97"/>
  <c r="F97"/>
  <c r="D97"/>
  <c r="D88"/>
  <c r="F75"/>
  <c r="F47"/>
  <c r="H94" i="5"/>
  <c r="F94"/>
  <c r="D89"/>
  <c r="D88"/>
  <c r="D94"/>
  <c r="D86"/>
  <c r="B146" i="7"/>
  <c r="B89" i="6"/>
  <c r="B98"/>
  <c r="B76"/>
  <c r="F11"/>
  <c r="B12"/>
  <c r="D129" i="5"/>
  <c r="D135"/>
  <c r="D62"/>
  <c r="H62"/>
  <c r="D54"/>
  <c r="F54"/>
  <c r="F62"/>
  <c r="F66"/>
  <c r="F65"/>
  <c r="F74"/>
  <c r="F4"/>
  <c r="F3"/>
  <c r="F55"/>
  <c r="H50"/>
  <c r="H115"/>
  <c r="D106"/>
  <c r="D115"/>
  <c r="D96"/>
  <c r="D97"/>
  <c r="H135"/>
  <c r="F135"/>
  <c r="F115"/>
  <c r="H125"/>
  <c r="F125"/>
  <c r="D125"/>
  <c r="H104"/>
  <c r="F104"/>
  <c r="D104"/>
  <c r="B105"/>
  <c r="H19"/>
  <c r="H40"/>
  <c r="H42"/>
  <c r="F46" i="3"/>
  <c r="H19" i="4"/>
  <c r="D11"/>
  <c r="D10"/>
  <c r="D13" i="5"/>
  <c r="H23"/>
  <c r="B63"/>
  <c r="B95"/>
  <c r="B136"/>
  <c r="B116"/>
  <c r="B126"/>
  <c r="H11"/>
  <c r="H84"/>
  <c r="F84"/>
  <c r="D84"/>
  <c r="H74"/>
  <c r="D74"/>
  <c r="H52"/>
  <c r="D52"/>
  <c r="D42"/>
  <c r="F31"/>
  <c r="D31"/>
  <c r="H31"/>
  <c r="H21"/>
  <c r="D21"/>
  <c r="F21"/>
  <c r="D11"/>
  <c r="F11"/>
  <c r="B12"/>
  <c r="D41" i="4"/>
  <c r="H29"/>
  <c r="H37"/>
  <c r="H50"/>
  <c r="H33" i="3"/>
  <c r="F59" i="4"/>
  <c r="F58"/>
  <c r="D56"/>
  <c r="D55"/>
  <c r="D4"/>
  <c r="D19"/>
  <c r="F3"/>
  <c r="H39"/>
  <c r="B40" s="1"/>
  <c r="B66" s="1"/>
  <c r="F39"/>
  <c r="D39"/>
  <c r="F8"/>
  <c r="D29" i="3"/>
  <c r="F19" i="4"/>
  <c r="D63"/>
  <c r="F63"/>
  <c r="B75" i="5"/>
  <c r="B20" i="4"/>
  <c r="B32" i="5"/>
  <c r="B53"/>
  <c r="B22"/>
  <c r="B43"/>
  <c r="F23" i="4"/>
  <c r="F22"/>
  <c r="F21"/>
  <c r="D22"/>
  <c r="D29"/>
  <c r="H63"/>
  <c r="F50"/>
  <c r="D50"/>
  <c r="B51"/>
  <c r="H35" i="3"/>
  <c r="H10"/>
  <c r="D69"/>
  <c r="F58"/>
  <c r="D58"/>
  <c r="F35"/>
  <c r="H20"/>
  <c r="D10"/>
  <c r="D26"/>
  <c r="D35"/>
  <c r="H58"/>
  <c r="F62"/>
  <c r="F69"/>
  <c r="F41" i="2"/>
  <c r="B64" i="4"/>
  <c r="F29"/>
  <c r="B30"/>
  <c r="B59" i="3"/>
  <c r="H69"/>
  <c r="B70"/>
  <c r="H46"/>
  <c r="D46"/>
  <c r="D20"/>
  <c r="B21"/>
  <c r="F20"/>
  <c r="F2"/>
  <c r="F10"/>
  <c r="H15" i="2"/>
  <c r="D15"/>
  <c r="B16"/>
  <c r="F9"/>
  <c r="F15"/>
  <c r="H89"/>
  <c r="F89"/>
  <c r="B90"/>
  <c r="D89"/>
  <c r="H79"/>
  <c r="D79"/>
  <c r="H72"/>
  <c r="F72"/>
  <c r="B73"/>
  <c r="D72"/>
  <c r="H7"/>
  <c r="F7"/>
  <c r="B8"/>
  <c r="D7"/>
  <c r="D35"/>
  <c r="F35"/>
  <c r="H35"/>
  <c r="B47" i="3"/>
  <c r="B11"/>
  <c r="B36"/>
  <c r="B36" i="2"/>
  <c r="F79"/>
  <c r="B80"/>
  <c r="H24"/>
  <c r="B25" s="1"/>
  <c r="F24"/>
  <c r="D24"/>
  <c r="H14" i="1"/>
  <c r="D14"/>
  <c r="F14"/>
  <c r="H26"/>
  <c r="F26"/>
  <c r="D26"/>
  <c r="D39"/>
  <c r="F39"/>
  <c r="H39"/>
  <c r="H57"/>
  <c r="F57"/>
  <c r="D57"/>
  <c r="F72"/>
  <c r="H72"/>
  <c r="B40"/>
  <c r="B27"/>
  <c r="D66"/>
  <c r="D72"/>
  <c r="B58"/>
  <c r="B73"/>
  <c r="B15"/>
  <c r="F30" i="10" l="1"/>
  <c r="B111"/>
  <c r="B87" i="12"/>
  <c r="B85" i="5"/>
  <c r="B138" s="1"/>
  <c r="D91" i="10"/>
  <c r="B92" s="1"/>
  <c r="D30"/>
  <c r="B120"/>
  <c r="B129"/>
  <c r="B13"/>
  <c r="B108" i="11"/>
  <c r="B31" i="10"/>
  <c r="B79"/>
  <c r="B67"/>
  <c r="B54"/>
  <c r="B151" l="1"/>
</calcChain>
</file>

<file path=xl/sharedStrings.xml><?xml version="1.0" encoding="utf-8"?>
<sst xmlns="http://schemas.openxmlformats.org/spreadsheetml/2006/main" count="1773" uniqueCount="547">
  <si>
    <t>TRASFERTA</t>
  </si>
  <si>
    <t>DIPENDENTE</t>
  </si>
  <si>
    <t>GG TRASFERTA</t>
  </si>
  <si>
    <t>PRENOTAZIONI/PAGAMENTI ANTICIPATI (alberghi, meeting room ecc)</t>
  </si>
  <si>
    <t>TOT. PARZIALE</t>
  </si>
  <si>
    <t xml:space="preserve">TOT. COMPLESSIVO </t>
  </si>
  <si>
    <t>SPESE X VIAGGIO (autostrada/auto/treno ecc)</t>
  </si>
  <si>
    <t>SPESE VARIE in trasferta (pranzi, taxi ecc)</t>
  </si>
  <si>
    <t>Pelliccione</t>
  </si>
  <si>
    <t>Luppi</t>
  </si>
  <si>
    <t>07-13/01/12</t>
  </si>
  <si>
    <t>Rumore</t>
  </si>
  <si>
    <t>Cordoni</t>
  </si>
  <si>
    <t>11-14/01/12</t>
  </si>
  <si>
    <t>Londra (corso formazione)</t>
  </si>
  <si>
    <t>Scarafile</t>
  </si>
  <si>
    <t>Busatto</t>
  </si>
  <si>
    <t>13-21/01/12</t>
  </si>
  <si>
    <t>Rabat - Marocco (delivery)</t>
  </si>
  <si>
    <t>Washington - USA(demo)</t>
  </si>
  <si>
    <t>Seoul - Sud Corea (delivery)</t>
  </si>
  <si>
    <t>Ornaghi</t>
  </si>
  <si>
    <t>de Giovanni</t>
  </si>
  <si>
    <t>15-20/01/12</t>
  </si>
  <si>
    <t>15-23/01/12</t>
  </si>
  <si>
    <t>21-27/01/12</t>
  </si>
  <si>
    <t>Maanna</t>
  </si>
  <si>
    <t>19-21/01/12</t>
  </si>
  <si>
    <t>Bettini</t>
  </si>
  <si>
    <t>Londra (Fiera Security&amp;Policing)</t>
  </si>
  <si>
    <t>30/01/12-02/02/12</t>
  </si>
  <si>
    <t>Pranzo</t>
  </si>
  <si>
    <t>2 Taxi + 1 Treno</t>
  </si>
  <si>
    <t>1 Taxi</t>
  </si>
  <si>
    <t>Parcheggio</t>
  </si>
  <si>
    <t>Rimborso KM</t>
  </si>
  <si>
    <t>Autostrada</t>
  </si>
  <si>
    <t>Autobus/Metro</t>
  </si>
  <si>
    <t xml:space="preserve">3 Cene + 2 Pranzi + 3 Colazioni </t>
  </si>
  <si>
    <t>2 Taxi</t>
  </si>
  <si>
    <t>Mance</t>
  </si>
  <si>
    <t>Taxi</t>
  </si>
  <si>
    <t>2 Pranzi + Varie</t>
  </si>
  <si>
    <t>5 Pranzi/Cene</t>
  </si>
  <si>
    <t>4 Taxi</t>
  </si>
  <si>
    <t>Varie (acquisti)</t>
  </si>
  <si>
    <t>3 Pranzi</t>
  </si>
  <si>
    <t>3 Taxi</t>
  </si>
  <si>
    <t>Varie (Prolunghe + SecureBag)</t>
  </si>
  <si>
    <t>PAG. ANTICIPATO</t>
  </si>
  <si>
    <t>ESQUIRE</t>
  </si>
  <si>
    <r>
      <t>Albe</t>
    </r>
    <r>
      <rPr>
        <sz val="12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go x 2 (CC Russo)</t>
    </r>
  </si>
  <si>
    <t>Albergo x 3 (CC Russo)</t>
  </si>
  <si>
    <r>
      <t>Albe</t>
    </r>
    <r>
      <rPr>
        <sz val="12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go x 2 (BB Anticipato)</t>
    </r>
  </si>
  <si>
    <t>Extra albergo</t>
  </si>
  <si>
    <r>
      <t>Albe</t>
    </r>
    <r>
      <rPr>
        <sz val="12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go x 3 (CC Russo)</t>
    </r>
  </si>
  <si>
    <t>Volo x 2</t>
  </si>
  <si>
    <t>Volo x 3</t>
  </si>
  <si>
    <t>Volo x Busatto</t>
  </si>
  <si>
    <t>Volo x de Giovanni</t>
  </si>
  <si>
    <t>Volo x Ornaghi</t>
  </si>
  <si>
    <t>*Volo x Scarafile</t>
  </si>
  <si>
    <t>Volo x Scarafile (Linate-Seou/Seoul-Rabat-Linate)</t>
  </si>
  <si>
    <t>Volo x Maanna</t>
  </si>
  <si>
    <t>1 Autobus</t>
  </si>
  <si>
    <t>11 Taxi</t>
  </si>
  <si>
    <t>10 Pranzi/Cene</t>
  </si>
  <si>
    <t>4 Pranzi</t>
  </si>
  <si>
    <t>6 Taxi</t>
  </si>
  <si>
    <t>3 Cene</t>
  </si>
  <si>
    <t>4 Parcheggi</t>
  </si>
  <si>
    <r>
      <t>Albe</t>
    </r>
    <r>
      <rPr>
        <sz val="12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go (CC Russo)</t>
    </r>
  </si>
  <si>
    <t>Varie</t>
  </si>
  <si>
    <t>Wi-Fi Session</t>
  </si>
  <si>
    <t>Visto</t>
  </si>
  <si>
    <t>6 Pranzi/Cene</t>
  </si>
  <si>
    <t>3 Parcheggi</t>
  </si>
  <si>
    <t>AVIS AUTONOLEGGIO</t>
  </si>
  <si>
    <t>Noleggio auto</t>
  </si>
  <si>
    <t>Albergo + extra x Luppi</t>
  </si>
  <si>
    <t>Albergo + extra x Pelliccione</t>
  </si>
  <si>
    <t>Autostrada + Parcheggio</t>
  </si>
  <si>
    <t>3 Pranzi/Snacks</t>
  </si>
  <si>
    <t xml:space="preserve">Excess baggage ticket </t>
  </si>
  <si>
    <t>Albergo Westin Annapolis</t>
  </si>
  <si>
    <t>Cost x room x person: USD 169 = USD 2028 total</t>
  </si>
  <si>
    <t>TOTAL ROOMS: USD 2028+140+121 = USD 2289 (circa 1794 €)</t>
  </si>
  <si>
    <t>(addebito circa 450 € di extra)</t>
  </si>
  <si>
    <t>Tax room: USD 140 total</t>
  </si>
  <si>
    <t>City tax: USD 121 total</t>
  </si>
  <si>
    <t>Albergo + extra x Maanna</t>
  </si>
  <si>
    <t>05-08/02/12</t>
  </si>
  <si>
    <t>Amsterdam (corso formazione)</t>
  </si>
  <si>
    <t>Cornelli</t>
  </si>
  <si>
    <t>06-08/02/12</t>
  </si>
  <si>
    <t xml:space="preserve">Il Cairo </t>
  </si>
  <si>
    <t xml:space="preserve">Parigi </t>
  </si>
  <si>
    <t>Milan</t>
  </si>
  <si>
    <t>Belgrado</t>
  </si>
  <si>
    <t>07-08/02/12</t>
  </si>
  <si>
    <t>DUBAI ISS</t>
  </si>
  <si>
    <t>12-16/02/12</t>
  </si>
  <si>
    <t>Valleri</t>
  </si>
  <si>
    <t>Russo</t>
  </si>
  <si>
    <t>12-14/02/12</t>
  </si>
  <si>
    <t>Praga (corso formazione)</t>
  </si>
  <si>
    <t>2 Biglietti treno</t>
  </si>
  <si>
    <t>2 Pasti</t>
  </si>
  <si>
    <t>Extra x Luppi e Scarafile</t>
  </si>
  <si>
    <t>3 Pasti/Varie</t>
  </si>
  <si>
    <t>Pasto</t>
  </si>
  <si>
    <t>7 Pasti</t>
  </si>
  <si>
    <t>Autobus</t>
  </si>
  <si>
    <t>Cambio volo</t>
  </si>
  <si>
    <t>Jakarta</t>
  </si>
  <si>
    <t>26/02/2012 - 01/03/2012</t>
  </si>
  <si>
    <t>Varie aeroporto</t>
  </si>
  <si>
    <t xml:space="preserve">Visto </t>
  </si>
  <si>
    <t>Linea Internet</t>
  </si>
  <si>
    <t>3 Biglietti treno</t>
  </si>
  <si>
    <t>4 Biglietti tram</t>
  </si>
  <si>
    <t>Albergo + extra</t>
  </si>
  <si>
    <t>Colazione</t>
  </si>
  <si>
    <t>Biglietto treno</t>
  </si>
  <si>
    <t>Albergo (CC Russo)</t>
  </si>
  <si>
    <t>Albergo Camere &amp; Suite demo + linea Internet (BB anticipato + CC Russo)</t>
  </si>
  <si>
    <t>Visto x Maanna</t>
  </si>
  <si>
    <t>Albergo (BB Anticipato)</t>
  </si>
  <si>
    <t>Voli Luppi e Pelliccione</t>
  </si>
  <si>
    <t>Cambio volo Maanna</t>
  </si>
  <si>
    <t>Cambio volo Bettini</t>
  </si>
  <si>
    <t>Voli Bettini + Maanna + Russo + Valleri + Ornaghi</t>
  </si>
  <si>
    <t>Volo de Giovanni</t>
  </si>
  <si>
    <t>Voli Luppi + Scarafile</t>
  </si>
  <si>
    <t>Volo Cornelli</t>
  </si>
  <si>
    <t>Voli Maanna + Milan</t>
  </si>
  <si>
    <t>9 Taxi</t>
  </si>
  <si>
    <t>4 Pasti</t>
  </si>
  <si>
    <t>Albergo pagato da cliente</t>
  </si>
  <si>
    <t xml:space="preserve">Volo Bettini </t>
  </si>
  <si>
    <t>Metro</t>
  </si>
  <si>
    <t>01-02/03/12</t>
  </si>
  <si>
    <t>Ankara</t>
  </si>
  <si>
    <t>Parigi</t>
  </si>
  <si>
    <t>Buenos Aires</t>
  </si>
  <si>
    <t>12-14/03/12</t>
  </si>
  <si>
    <t>17-24/03/12</t>
  </si>
  <si>
    <t>Velasco</t>
  </si>
  <si>
    <t>Rio de Janeiro - LAAD Security</t>
  </si>
  <si>
    <t>(Albergo CC Russo)</t>
  </si>
  <si>
    <t>25-30/03/12</t>
  </si>
  <si>
    <t>Città del Messico</t>
  </si>
  <si>
    <t>Roma</t>
  </si>
  <si>
    <t>(Meeting room CC Bedeschi)</t>
  </si>
  <si>
    <t>2 Parcheggi</t>
  </si>
  <si>
    <t>5 Biglietti metro</t>
  </si>
  <si>
    <t xml:space="preserve">Parcheggio </t>
  </si>
  <si>
    <t>Extra</t>
  </si>
  <si>
    <t>7 Taxi</t>
  </si>
  <si>
    <t xml:space="preserve">Mance </t>
  </si>
  <si>
    <t>6 Pranzi/Varie</t>
  </si>
  <si>
    <t>10 Pasti</t>
  </si>
  <si>
    <t xml:space="preserve">Albergo </t>
  </si>
  <si>
    <t>1 Cena + Varie</t>
  </si>
  <si>
    <t>Volo</t>
  </si>
  <si>
    <t>Treno x 3</t>
  </si>
  <si>
    <t>Il Cairo</t>
  </si>
  <si>
    <t>Bucarest</t>
  </si>
  <si>
    <t>08-13/04/12</t>
  </si>
  <si>
    <t>09-14/04/12</t>
  </si>
  <si>
    <t>21-25/04/12</t>
  </si>
  <si>
    <t>17-19/04/12</t>
  </si>
  <si>
    <t>Abu Dhabi</t>
  </si>
  <si>
    <t>22-25/04/12</t>
  </si>
  <si>
    <t>Extra hotel</t>
  </si>
  <si>
    <t>Hotel (CC Russo)</t>
  </si>
  <si>
    <t>1 Pranzo+1Cena</t>
  </si>
  <si>
    <t>Visto (USD 140)</t>
  </si>
  <si>
    <t>2 Pranzi</t>
  </si>
  <si>
    <t>Voli x San Paolo</t>
  </si>
  <si>
    <t>Dogana</t>
  </si>
  <si>
    <t>2 Cene</t>
  </si>
  <si>
    <t xml:space="preserve">de Giovanni </t>
  </si>
  <si>
    <t>(Albergo x tutti e due + Volo Maanna pagato da cliente)</t>
  </si>
  <si>
    <t>Volo x Bettini+Luppi+de Giovanni</t>
  </si>
  <si>
    <t>Volo Velasco</t>
  </si>
  <si>
    <t>Volo Pelliccione</t>
  </si>
  <si>
    <t>Hotel pagato dal cliente</t>
  </si>
  <si>
    <t>Hotel</t>
  </si>
  <si>
    <t>1 Cena+3Pranzi</t>
  </si>
  <si>
    <t>Hotel x Pelliccione</t>
  </si>
  <si>
    <t>TOTALE  MESE</t>
  </si>
  <si>
    <t>Panama</t>
  </si>
  <si>
    <t>Cairo</t>
  </si>
  <si>
    <t>14-19/05/12</t>
  </si>
  <si>
    <t>Catino</t>
  </si>
  <si>
    <t>De Giovanni</t>
  </si>
  <si>
    <t>15-20/05/12</t>
  </si>
  <si>
    <t>20-23/05/12</t>
  </si>
  <si>
    <t>23-25/05/12</t>
  </si>
  <si>
    <t>22-25/05/12</t>
  </si>
  <si>
    <t>13-17/05/12</t>
  </si>
  <si>
    <t>28-30/05/12</t>
  </si>
  <si>
    <t>Sudan</t>
  </si>
  <si>
    <t>28-31/05/12</t>
  </si>
  <si>
    <t>Extra hotel Catino</t>
  </si>
  <si>
    <t>Extra hotel Scarafile</t>
  </si>
  <si>
    <t>Biglietti treno</t>
  </si>
  <si>
    <t>SecureBag</t>
  </si>
  <si>
    <t>SecurBag</t>
  </si>
  <si>
    <t>Biglietto Malpensa</t>
  </si>
  <si>
    <t>Diff. Biglietto aereo</t>
  </si>
  <si>
    <t>2 Voli</t>
  </si>
  <si>
    <t>Hotel + Extra (CC de Giovanni)</t>
  </si>
  <si>
    <t>Annapolis</t>
  </si>
  <si>
    <t>Hotel x 2 (CC Russo)</t>
  </si>
  <si>
    <t>BB anticipato</t>
  </si>
  <si>
    <t>Hotel x 2 (CC Bedeschi)</t>
  </si>
  <si>
    <t>Meeting Room (CC Bedeschi)</t>
  </si>
  <si>
    <t>Extra Bagaglio</t>
  </si>
  <si>
    <t>5 Pasti</t>
  </si>
  <si>
    <t>5 Taxi</t>
  </si>
  <si>
    <t>11 Pasti</t>
  </si>
  <si>
    <t>Hotel Cornelli pagato da cliente</t>
  </si>
  <si>
    <t>Esta US</t>
  </si>
  <si>
    <t>Volo (A: Italia-Panama + R: Messico-Italia)</t>
  </si>
  <si>
    <t>Volo (Panama-Messico)</t>
  </si>
  <si>
    <t>Singapore</t>
  </si>
  <si>
    <t>Vincenzetti</t>
  </si>
  <si>
    <t>Landi</t>
  </si>
  <si>
    <t>Marocco</t>
  </si>
  <si>
    <t>08-10/05/12</t>
  </si>
  <si>
    <t>21-24/05/12</t>
  </si>
  <si>
    <t>30/05-01/06/12</t>
  </si>
  <si>
    <t>Biglietto Metro</t>
  </si>
  <si>
    <t>Hotel x 2 (BB anticipato)</t>
  </si>
  <si>
    <t>Hotel (CC Milan)</t>
  </si>
  <si>
    <t>Hotel pagato da cliente</t>
  </si>
  <si>
    <t>Extra bagaglio</t>
  </si>
  <si>
    <t xml:space="preserve">Varie </t>
  </si>
  <si>
    <t>Extra Hotel</t>
  </si>
  <si>
    <t>N. 4 Passaporti multipli</t>
  </si>
  <si>
    <t>8 Taxi</t>
  </si>
  <si>
    <t>Noise-canceling</t>
  </si>
  <si>
    <t>Hotel x 2 (CC DB Vincenzetti)</t>
  </si>
  <si>
    <t>Ticket pullman</t>
  </si>
  <si>
    <t>Ticket treno</t>
  </si>
  <si>
    <t>Luppi Massimiliano</t>
  </si>
  <si>
    <t>Milan Daniele</t>
  </si>
  <si>
    <t>Rana Lucia</t>
  </si>
  <si>
    <t>Vincenzetti David</t>
  </si>
  <si>
    <t>Russo Giancarlo</t>
  </si>
  <si>
    <t>Maanna Mostapha</t>
  </si>
  <si>
    <t>Valleri Marco</t>
  </si>
  <si>
    <t>Alberto Ornaghi</t>
  </si>
  <si>
    <t>Marco Catino</t>
  </si>
  <si>
    <t>Marco Bettini</t>
  </si>
  <si>
    <t>Fred D'Alessio</t>
  </si>
  <si>
    <t>Kuala Lumpur</t>
  </si>
  <si>
    <t>03-07/06/12</t>
  </si>
  <si>
    <t>ISS Praga</t>
  </si>
  <si>
    <t>04-07/06/12</t>
  </si>
  <si>
    <t>IDEC BALI</t>
  </si>
  <si>
    <t>10-14/06/12</t>
  </si>
  <si>
    <t>Giordania</t>
  </si>
  <si>
    <t>12-14/06/12</t>
  </si>
  <si>
    <t xml:space="preserve">Azerbaijan </t>
  </si>
  <si>
    <t>13-15/06/12</t>
  </si>
  <si>
    <t>14-15/06/12</t>
  </si>
  <si>
    <t>19-23/06/12</t>
  </si>
  <si>
    <t>Ticket Malpensa Express</t>
  </si>
  <si>
    <t>1 Cena</t>
  </si>
  <si>
    <t>Hotel + Extra</t>
  </si>
  <si>
    <t>1 Pranzo</t>
  </si>
  <si>
    <t>3 Pasti</t>
  </si>
  <si>
    <t>Visti</t>
  </si>
  <si>
    <t>Transfer</t>
  </si>
  <si>
    <t>Tassa importazione PC</t>
  </si>
  <si>
    <t>2 Ticket Malpensa Express</t>
  </si>
  <si>
    <t>2 Visti</t>
  </si>
  <si>
    <t>Spese x Visto (Roma)</t>
  </si>
  <si>
    <t>Ticket metropolitana</t>
  </si>
  <si>
    <t>Volo Ornaghi</t>
  </si>
  <si>
    <t>Volo Vincenzetti</t>
  </si>
  <si>
    <t>Volo Bettini+Scarafile</t>
  </si>
  <si>
    <t>Volo Bettini+Scarafile (Bali-KL)</t>
  </si>
  <si>
    <t>Volo Luppi+Catino</t>
  </si>
  <si>
    <t>Volo Maanna</t>
  </si>
  <si>
    <t>Volo Luppi+Milan+Rana+Russo+Valleri+Ornaghi+Catino+Bettini</t>
  </si>
  <si>
    <t>Volo D'Alessio (USD 6946,46)</t>
  </si>
  <si>
    <t>Hotel x 3 (BB anticipato)</t>
  </si>
  <si>
    <t xml:space="preserve">Hotel x 2 + Extra </t>
  </si>
  <si>
    <t>Hotel D'Alessio (CC Russo)</t>
  </si>
  <si>
    <t>Hotel + Extra Russo,Milan,Valleri,Catino,Ornaghi,Rana,Bettini,Luppi,Arpaia,Carboni (CC Russo)</t>
  </si>
  <si>
    <t>Hotel de Giovanni (CC Russo)</t>
  </si>
  <si>
    <t>03-06/07/12</t>
  </si>
  <si>
    <t>Bedeschi</t>
  </si>
  <si>
    <t>04-05/07/12</t>
  </si>
  <si>
    <t>09-13/07/12</t>
  </si>
  <si>
    <t>Natia (USA)</t>
  </si>
  <si>
    <t>Bucarest (Romania)</t>
  </si>
  <si>
    <t>Riyadh (Arabia Saudita)</t>
  </si>
  <si>
    <t>Jakarta (Indonesia)</t>
  </si>
  <si>
    <t>10-14/07/12</t>
  </si>
  <si>
    <t>13-19/07/12</t>
  </si>
  <si>
    <t>Annapolis (USA)</t>
  </si>
  <si>
    <t>16-17/07/12</t>
  </si>
  <si>
    <t>Varsavia (Polonia)</t>
  </si>
  <si>
    <t>19-23/07/12</t>
  </si>
  <si>
    <t>Lima (Perù)</t>
  </si>
  <si>
    <t>23-25/07/12</t>
  </si>
  <si>
    <t>Il Cairo (Egitto)</t>
  </si>
  <si>
    <t>Baku (Azerbaijan)</t>
  </si>
  <si>
    <t>24-27/07/12</t>
  </si>
  <si>
    <t>Brasilia (Brasile)</t>
  </si>
  <si>
    <t>23-26/07/12</t>
  </si>
  <si>
    <t>29/07-03/08/12</t>
  </si>
  <si>
    <t>Bangkok (Thailandia)</t>
  </si>
  <si>
    <t>Varie (bibite)</t>
  </si>
  <si>
    <t>1 Pasto</t>
  </si>
  <si>
    <t>1 Ticket Malpensa Express</t>
  </si>
  <si>
    <t>Varie (pranzo, colazione etc.)</t>
  </si>
  <si>
    <t>Tassa ingresso</t>
  </si>
  <si>
    <t>1 Pasto + 1 Colazione + Varie (bibite)</t>
  </si>
  <si>
    <t>Tassa x PC</t>
  </si>
  <si>
    <t>Bagaglio</t>
  </si>
  <si>
    <t>14 Pasti</t>
  </si>
  <si>
    <t>Hardware</t>
  </si>
  <si>
    <t>Austin Airlines</t>
  </si>
  <si>
    <t>10 Parcheggi</t>
  </si>
  <si>
    <t>Carburante</t>
  </si>
  <si>
    <t>Farmacia</t>
  </si>
  <si>
    <t>Visita dentistica</t>
  </si>
  <si>
    <t>Lavanderia</t>
  </si>
  <si>
    <t>2 Extra Baggage</t>
  </si>
  <si>
    <t>Extra hotel Velasco+Pelliccione &amp; 1 Taxi</t>
  </si>
  <si>
    <t>Spedizione Display</t>
  </si>
  <si>
    <t>2 Parcheggi + 1 Taxi</t>
  </si>
  <si>
    <t>Hotel (CC Bedeschi)</t>
  </si>
  <si>
    <t>Hotel + Extra (CC Luppi)</t>
  </si>
  <si>
    <t>Volo Bettini + de Giovanni</t>
  </si>
  <si>
    <t>Volo Catino (CC Russo DB)</t>
  </si>
  <si>
    <t>Modifica volo ritorno Luppi+Valleri</t>
  </si>
  <si>
    <t>Volo Bedeschi+Valleri+Milan</t>
  </si>
  <si>
    <t>Volo Bettini+Luppi+Valleri+Ornaghi</t>
  </si>
  <si>
    <t>Volo Pelliccione+Velasco (Lima-Brasilia)</t>
  </si>
  <si>
    <t>Volo Pelliccione+Velasco (Baltimore-Lima)</t>
  </si>
  <si>
    <t>Volo Pelliccione (Brasilia-Milano)</t>
  </si>
  <si>
    <t>Volo Velasco (Brasilia-Baltimore)</t>
  </si>
  <si>
    <t>Hotel + Extra x 2 (CC Bedeschi)</t>
  </si>
  <si>
    <t>Malpensa Express</t>
  </si>
  <si>
    <t xml:space="preserve">Fototessere </t>
  </si>
  <si>
    <t>Metropolitana</t>
  </si>
  <si>
    <t>Hotel+Extra Catino</t>
  </si>
  <si>
    <t>HW x Test</t>
  </si>
  <si>
    <t>Hotel+Extra Bettini</t>
  </si>
  <si>
    <t xml:space="preserve">4 Taxi + 2 Cene </t>
  </si>
  <si>
    <t>Parcheggio+Autostrada</t>
  </si>
  <si>
    <t>Skype</t>
  </si>
  <si>
    <t>Parcheggio+Taxi</t>
  </si>
  <si>
    <t>Manna</t>
  </si>
  <si>
    <t>03-06/09/12</t>
  </si>
  <si>
    <t>Kartoum (Sudan)</t>
  </si>
  <si>
    <t>10-15/09/12</t>
  </si>
  <si>
    <t>Mexico City (Messico)</t>
  </si>
  <si>
    <t>06-09/09/12</t>
  </si>
  <si>
    <t>09-11/09/12</t>
  </si>
  <si>
    <t>09-12/09/12</t>
  </si>
  <si>
    <t>16-20/09/12</t>
  </si>
  <si>
    <t>Hershey - HTCIA (USA)</t>
  </si>
  <si>
    <t>La Habana - Tecnicrim (Cuba)</t>
  </si>
  <si>
    <t>Singapore (Singapore)</t>
  </si>
  <si>
    <t>17-20/09/12</t>
  </si>
  <si>
    <t>Abu Dhabi (Emirati Arabi)</t>
  </si>
  <si>
    <t>22-28/09/12</t>
  </si>
  <si>
    <t>Praga (Rep. Ceca)</t>
  </si>
  <si>
    <t>23-25/09/12</t>
  </si>
  <si>
    <t>Extra Hotel x 2</t>
  </si>
  <si>
    <t>Cambio contanti</t>
  </si>
  <si>
    <t>Ticket Treno</t>
  </si>
  <si>
    <t>Legionowo - IALEIA (Polonia)</t>
  </si>
  <si>
    <t>Autostrada+Parcheggio</t>
  </si>
  <si>
    <t>2 Taxi + 2 Ticket treno</t>
  </si>
  <si>
    <t>2 Colazioni + 1 Pasto</t>
  </si>
  <si>
    <t>15 Pasti</t>
  </si>
  <si>
    <t>Ticket Malpensa</t>
  </si>
  <si>
    <t>Cena</t>
  </si>
  <si>
    <t>2 Cene + Varie</t>
  </si>
  <si>
    <t>2 Ticket Malpensa</t>
  </si>
  <si>
    <t>Hotel + Extra (Maanna+Milan)</t>
  </si>
  <si>
    <t>Tram</t>
  </si>
  <si>
    <t>Hotel (Scalo Francoforte)</t>
  </si>
  <si>
    <t>Varie (Scalo Egitto)</t>
  </si>
  <si>
    <t>Riemissione Volo USA-MEX</t>
  </si>
  <si>
    <t>Visto Pelliccione</t>
  </si>
  <si>
    <t>Volo Scarafile</t>
  </si>
  <si>
    <t>Soggiorno Velasco (BB anticipato)</t>
  </si>
  <si>
    <t>Soggiorno Pelliccione+Velasco (BB anticipato)</t>
  </si>
  <si>
    <t>Soggiorno Pelliccione+Velasco (CC Russo)</t>
  </si>
  <si>
    <t>Soggiorno Cornelli (CC Russo)</t>
  </si>
  <si>
    <t>Soggiorno Bettini+Catino (CC Russo)</t>
  </si>
  <si>
    <t>Soggiorno&amp;Pick-up Luppi+Catino (CC Russo)</t>
  </si>
  <si>
    <t>Soggiorno de Giovanni BANGKOK (CC Russo)</t>
  </si>
  <si>
    <t>Luci stand</t>
  </si>
  <si>
    <t>Ventilatore</t>
  </si>
  <si>
    <t>Tasse x PC</t>
  </si>
  <si>
    <t>Cambio contante</t>
  </si>
  <si>
    <t>Cene</t>
  </si>
  <si>
    <t>PC Demo</t>
  </si>
  <si>
    <t>03-06/10/12</t>
  </si>
  <si>
    <t>Addis Abeba (Etiopia)</t>
  </si>
  <si>
    <t>06-10/10/12</t>
  </si>
  <si>
    <t>Maglietta</t>
  </si>
  <si>
    <t>Woon</t>
  </si>
  <si>
    <t>10-12/10/12</t>
  </si>
  <si>
    <t>13-19/10/12</t>
  </si>
  <si>
    <t>ISS Washington (USA)</t>
  </si>
  <si>
    <t>Milipol Qatar (Doha)</t>
  </si>
  <si>
    <t>19-21/10/12</t>
  </si>
  <si>
    <t>New York (USA)</t>
  </si>
  <si>
    <t>Washington (USA) DEA</t>
  </si>
  <si>
    <t>Washington (USA) PHOEBE</t>
  </si>
  <si>
    <t>21-26/10/12</t>
  </si>
  <si>
    <t>21-28/10/12</t>
  </si>
  <si>
    <t>22-27/10/12</t>
  </si>
  <si>
    <t>Astana (Kazakistan)</t>
  </si>
  <si>
    <t>23-26/10/12</t>
  </si>
  <si>
    <t>24-25/10/12</t>
  </si>
  <si>
    <t>Londra (UK)</t>
  </si>
  <si>
    <t>28-31/10/12</t>
  </si>
  <si>
    <t>28/10-03/11/12</t>
  </si>
  <si>
    <t>2 Ticket Treno</t>
  </si>
  <si>
    <t xml:space="preserve">Tasse </t>
  </si>
  <si>
    <t>Esta</t>
  </si>
  <si>
    <t>Benzina+Autostrada</t>
  </si>
  <si>
    <t>6 Pasti</t>
  </si>
  <si>
    <t>Noleggio auto (extra)</t>
  </si>
  <si>
    <t>2 Parcheggio+Taxi</t>
  </si>
  <si>
    <t>Ticekt Treno</t>
  </si>
  <si>
    <t>Secure Bag</t>
  </si>
  <si>
    <t>Colazione+Pranzo</t>
  </si>
  <si>
    <t xml:space="preserve">Rimborso KM </t>
  </si>
  <si>
    <t xml:space="preserve">Cena </t>
  </si>
  <si>
    <t>2 Cene+Varie</t>
  </si>
  <si>
    <r>
      <t>Maanna (Milipol+</t>
    </r>
    <r>
      <rPr>
        <sz val="11"/>
        <color rgb="FF00B050"/>
        <rFont val="Calibri"/>
        <family val="2"/>
        <scheme val="minor"/>
      </rPr>
      <t>Libano x passaporto</t>
    </r>
    <r>
      <rPr>
        <sz val="11"/>
        <color theme="1"/>
        <rFont val="Calibri"/>
        <family val="2"/>
        <scheme val="minor"/>
      </rPr>
      <t>)</t>
    </r>
  </si>
  <si>
    <t>Doc. x passaporto</t>
  </si>
  <si>
    <t>Ricarica tel. X Bedeschi</t>
  </si>
  <si>
    <t>Re-booking biglietti aerei</t>
  </si>
  <si>
    <t>3 Biglietti Treno</t>
  </si>
  <si>
    <t>Lavanderia+Varie</t>
  </si>
  <si>
    <t xml:space="preserve"> Pranzo</t>
  </si>
  <si>
    <r>
      <rPr>
        <sz val="11"/>
        <color rgb="FF00B0F0"/>
        <rFont val="Calibri"/>
        <family val="2"/>
        <scheme val="minor"/>
      </rPr>
      <t>Singapore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Macao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KL</t>
    </r>
  </si>
  <si>
    <t>Biglietti aerei x Maglietta+Woon</t>
  </si>
  <si>
    <t>4 Cene</t>
  </si>
  <si>
    <t>Traghetto+Taxi</t>
  </si>
  <si>
    <t>Extra Hotel + Transfers</t>
  </si>
  <si>
    <t>Treno</t>
  </si>
  <si>
    <t>Convertitori</t>
  </si>
  <si>
    <t>Taxi+Metro+Parcheggi</t>
  </si>
  <si>
    <t>4 Pranzi/Cene</t>
  </si>
  <si>
    <t>2 Taxi+Metro</t>
  </si>
  <si>
    <t>Volo x 6</t>
  </si>
  <si>
    <t>Volo Daniel+Serge</t>
  </si>
  <si>
    <t>Scarafile Alessandro</t>
  </si>
  <si>
    <t>Catino Marco</t>
  </si>
  <si>
    <t>Woon Serge</t>
  </si>
  <si>
    <t>Saudi Arabia</t>
  </si>
  <si>
    <t>Maglietta Daniel</t>
  </si>
  <si>
    <t>Taipei/Macao</t>
  </si>
  <si>
    <t>04-08/11/12</t>
  </si>
  <si>
    <t>05-07/11/12</t>
  </si>
  <si>
    <t>05-08/11/12</t>
  </si>
  <si>
    <t>11-16/11/12</t>
  </si>
  <si>
    <t>17-21/11/12</t>
  </si>
  <si>
    <t>19-22/11/12</t>
  </si>
  <si>
    <t>17-28/11/12</t>
  </si>
  <si>
    <t>Mosca (Russia)</t>
  </si>
  <si>
    <t>26-30/11/2012</t>
  </si>
  <si>
    <t>26-29/11/2012</t>
  </si>
  <si>
    <t>30/11-13/12/2012</t>
  </si>
  <si>
    <t>Tel Aviv (Israele)</t>
  </si>
  <si>
    <t>Roma (Italia)</t>
  </si>
  <si>
    <t>Riyadh (Saudi Arabia)</t>
  </si>
  <si>
    <t>Volo Catino</t>
  </si>
  <si>
    <t>Volo Maglietta</t>
  </si>
  <si>
    <t>Treno Bettini</t>
  </si>
  <si>
    <t>Volo Woon</t>
  </si>
  <si>
    <t>Voli Maglietta+Woon</t>
  </si>
  <si>
    <t>Visto Catino</t>
  </si>
  <si>
    <t>Visti Scarafile+Maanna</t>
  </si>
  <si>
    <t>Volo Milan</t>
  </si>
  <si>
    <t>Voli Luppi+Scarafile</t>
  </si>
  <si>
    <t>Voli Vincenzetti+Milan+Russo</t>
  </si>
  <si>
    <t>Volo Bettini</t>
  </si>
  <si>
    <t>Voli Bettini+de Giovanni</t>
  </si>
  <si>
    <t>Voli Luppi+Cornelli</t>
  </si>
  <si>
    <t>Voli Luppi+de Giovanni</t>
  </si>
  <si>
    <t>Hotel x 2</t>
  </si>
  <si>
    <t>Praga</t>
  </si>
  <si>
    <t>ISS Kuala Lumpur</t>
  </si>
  <si>
    <t>Astana - Kazakistan</t>
  </si>
  <si>
    <t>Kuwait</t>
  </si>
  <si>
    <t>03-07/12/12</t>
  </si>
  <si>
    <t>03-06/12/12</t>
  </si>
  <si>
    <t>10-13/12/12</t>
  </si>
  <si>
    <t>11-13/12/12</t>
  </si>
  <si>
    <t xml:space="preserve">Bettini </t>
  </si>
  <si>
    <t xml:space="preserve">Valleri </t>
  </si>
  <si>
    <t xml:space="preserve">Pelliccione </t>
  </si>
  <si>
    <t xml:space="preserve">Vincenzetti </t>
  </si>
  <si>
    <t xml:space="preserve">Russo </t>
  </si>
  <si>
    <t>13-14/12/12</t>
  </si>
  <si>
    <t>Singapore (Scalo ISS KL)</t>
  </si>
  <si>
    <t>16-20/12/12</t>
  </si>
  <si>
    <t>17-22/12/12</t>
  </si>
  <si>
    <t>17-24/12/12</t>
  </si>
  <si>
    <t>17-19/12/12</t>
  </si>
  <si>
    <t>BB Anticipato+CC Russo</t>
  </si>
  <si>
    <t>CC Bedeschi</t>
  </si>
  <si>
    <t>Hotel prenotato da Esquire</t>
  </si>
  <si>
    <t>22-29/10/12</t>
  </si>
  <si>
    <t>CC DB Russo</t>
  </si>
  <si>
    <t>CC Russo (Bettini Singapore + Bettini/Maglietta/Woon KL)</t>
  </si>
  <si>
    <t>INTERPOL</t>
  </si>
  <si>
    <t>Pranzo/Cena</t>
  </si>
  <si>
    <t>Pranzi</t>
  </si>
  <si>
    <t>Pranzi/Cene</t>
  </si>
  <si>
    <t>Pasti</t>
  </si>
  <si>
    <t>Extra hotel (Luppi+Ornaghi)</t>
  </si>
  <si>
    <t>Taxi/Treno/Metro</t>
  </si>
  <si>
    <t>Extra Hotel (de Giovanni+Scarafile)</t>
  </si>
  <si>
    <t>Pasti/Taxi</t>
  </si>
  <si>
    <t>Taxi/Treno</t>
  </si>
  <si>
    <t>Marca passaporto</t>
  </si>
  <si>
    <t>Taxi/Pasti</t>
  </si>
  <si>
    <t>Carta DB Russo</t>
  </si>
  <si>
    <t>Carta credito</t>
  </si>
  <si>
    <t>Carta Russo</t>
  </si>
  <si>
    <t>CC Russo</t>
  </si>
  <si>
    <t>CC Russo (Hotel Scarafile/de Giovanni)</t>
  </si>
  <si>
    <t>BB anticipato (Russo/Vincenzetti)</t>
  </si>
  <si>
    <t>BB anticipato (Bettini, Valleri, Luppi, Pelliccione, Maglietta, Woon)</t>
  </si>
  <si>
    <t>Pagato dal partner</t>
  </si>
  <si>
    <t>Volo Russo/Vincenzetti</t>
  </si>
  <si>
    <t xml:space="preserve">Volo Pelliccione </t>
  </si>
  <si>
    <t>Volo Bettini/Pelliccione/Luppi/Valleri</t>
  </si>
  <si>
    <t>Volo Maglietta/Woon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</si>
</sst>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12">
    <font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FF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8" fontId="0" fillId="0" borderId="3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8" fontId="0" fillId="0" borderId="5" xfId="0" applyNumberForma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4" fontId="0" fillId="0" borderId="9" xfId="0" applyNumberForma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8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8" fontId="7" fillId="0" borderId="13" xfId="0" applyNumberFormat="1" applyFont="1" applyFill="1" applyBorder="1" applyAlignment="1">
      <alignment horizontal="center"/>
    </xf>
    <xf numFmtId="14" fontId="8" fillId="0" borderId="0" xfId="0" applyNumberFormat="1" applyFont="1" applyBorder="1"/>
    <xf numFmtId="14" fontId="8" fillId="0" borderId="0" xfId="0" applyNumberFormat="1" applyFont="1" applyBorder="1" applyAlignment="1">
      <alignment horizontal="right"/>
    </xf>
    <xf numFmtId="0" fontId="8" fillId="0" borderId="14" xfId="0" applyFont="1" applyFill="1" applyBorder="1"/>
    <xf numFmtId="0" fontId="0" fillId="0" borderId="0" xfId="0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8" fontId="9" fillId="0" borderId="5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8" fontId="10" fillId="0" borderId="5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8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8" fontId="0" fillId="0" borderId="3" xfId="0" applyNumberForma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8" fontId="9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8" fontId="6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8" fontId="4" fillId="0" borderId="5" xfId="0" applyNumberFormat="1" applyFont="1" applyFill="1" applyBorder="1" applyAlignment="1">
      <alignment horizontal="center"/>
    </xf>
    <xf numFmtId="8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8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8" fontId="11" fillId="0" borderId="3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8" fontId="11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workbookViewId="0">
      <selection activeCell="D16" sqref="D16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3.140625" customWidth="1"/>
    <col min="5" max="5" width="26.42578125" customWidth="1"/>
    <col min="6" max="6" width="15.7109375" customWidth="1"/>
    <col min="7" max="7" width="22" customWidth="1"/>
    <col min="8" max="8" width="19.28515625" customWidth="1"/>
    <col min="9" max="9" width="33.285156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10</v>
      </c>
      <c r="B2" s="8" t="s">
        <v>19</v>
      </c>
      <c r="C2" s="11" t="s">
        <v>8</v>
      </c>
      <c r="D2" s="15">
        <v>358.76</v>
      </c>
      <c r="E2" s="16" t="s">
        <v>69</v>
      </c>
      <c r="F2" s="28">
        <v>161</v>
      </c>
      <c r="G2" s="23" t="s">
        <v>32</v>
      </c>
      <c r="H2" s="33">
        <v>63.91</v>
      </c>
      <c r="I2" s="5" t="s">
        <v>54</v>
      </c>
    </row>
    <row r="3" spans="1:11" s="1" customFormat="1">
      <c r="A3" s="9"/>
      <c r="B3" s="9"/>
      <c r="C3" s="10"/>
      <c r="D3" s="17">
        <v>41.97</v>
      </c>
      <c r="E3" s="18" t="s">
        <v>70</v>
      </c>
      <c r="F3" s="29">
        <v>2.7</v>
      </c>
      <c r="G3" s="24" t="s">
        <v>31</v>
      </c>
      <c r="H3" s="34">
        <v>803.72</v>
      </c>
      <c r="I3" s="6" t="s">
        <v>79</v>
      </c>
    </row>
    <row r="4" spans="1:11" s="1" customFormat="1">
      <c r="A4" s="9"/>
      <c r="B4" s="9"/>
      <c r="C4" s="10"/>
      <c r="D4" s="17">
        <v>1.76</v>
      </c>
      <c r="E4" s="18" t="s">
        <v>72</v>
      </c>
      <c r="F4" s="29"/>
      <c r="G4" s="24"/>
      <c r="H4" s="34"/>
      <c r="I4" s="6"/>
    </row>
    <row r="5" spans="1:11" s="1" customFormat="1">
      <c r="A5" s="9"/>
      <c r="B5" s="9"/>
      <c r="C5" s="10" t="s">
        <v>9</v>
      </c>
      <c r="D5" s="17">
        <v>28.5</v>
      </c>
      <c r="E5" s="18" t="s">
        <v>76</v>
      </c>
      <c r="F5" s="29">
        <v>12.16</v>
      </c>
      <c r="G5" s="24" t="s">
        <v>35</v>
      </c>
      <c r="H5" s="34">
        <v>290.44</v>
      </c>
      <c r="I5" s="6" t="s">
        <v>80</v>
      </c>
    </row>
    <row r="6" spans="1:11" s="1" customFormat="1">
      <c r="A6" s="9"/>
      <c r="B6" s="9"/>
      <c r="C6" s="10"/>
      <c r="D6" s="17">
        <v>278.22000000000003</v>
      </c>
      <c r="E6" s="18" t="s">
        <v>75</v>
      </c>
      <c r="F6" s="29">
        <v>9</v>
      </c>
      <c r="G6" s="24" t="s">
        <v>81</v>
      </c>
      <c r="H6" s="34">
        <v>365.62</v>
      </c>
      <c r="I6" s="6" t="s">
        <v>80</v>
      </c>
    </row>
    <row r="7" spans="1:11" s="1" customFormat="1">
      <c r="A7" s="9"/>
      <c r="B7" s="9"/>
      <c r="C7" s="10"/>
      <c r="D7" s="17"/>
      <c r="E7" s="18"/>
      <c r="F7" s="29">
        <v>73</v>
      </c>
      <c r="G7" s="24" t="s">
        <v>34</v>
      </c>
      <c r="H7" s="34"/>
      <c r="I7" s="6"/>
    </row>
    <row r="8" spans="1:11" s="1" customFormat="1">
      <c r="A8" s="9"/>
      <c r="B8" s="9"/>
      <c r="C8" s="10"/>
      <c r="D8" s="17"/>
      <c r="E8" s="18"/>
      <c r="F8" s="29">
        <v>26</v>
      </c>
      <c r="G8" s="24" t="s">
        <v>82</v>
      </c>
      <c r="H8" s="34"/>
      <c r="I8" s="6"/>
    </row>
    <row r="9" spans="1:11" s="1" customFormat="1" ht="15.75">
      <c r="A9" s="9"/>
      <c r="B9" s="9"/>
      <c r="C9" s="10" t="s">
        <v>49</v>
      </c>
      <c r="D9" s="17"/>
      <c r="E9" s="18"/>
      <c r="F9" s="29"/>
      <c r="G9" s="24"/>
      <c r="H9" s="34">
        <v>738.5</v>
      </c>
      <c r="I9" s="6" t="s">
        <v>71</v>
      </c>
    </row>
    <row r="10" spans="1:11" s="1" customFormat="1">
      <c r="A10" s="9"/>
      <c r="B10" s="9"/>
      <c r="C10" s="10" t="s">
        <v>50</v>
      </c>
      <c r="D10" s="17"/>
      <c r="E10" s="18"/>
      <c r="F10" s="29"/>
      <c r="G10" s="24"/>
      <c r="H10" s="34">
        <v>2273.8000000000002</v>
      </c>
      <c r="I10" s="2" t="s">
        <v>56</v>
      </c>
      <c r="K10" s="4"/>
    </row>
    <row r="11" spans="1:11" s="1" customFormat="1">
      <c r="A11" s="10"/>
      <c r="B11" s="14"/>
      <c r="C11" s="10" t="s">
        <v>77</v>
      </c>
      <c r="D11" s="19"/>
      <c r="E11" s="6"/>
      <c r="F11" s="30"/>
      <c r="G11" s="25"/>
      <c r="H11" s="35">
        <v>538.04</v>
      </c>
      <c r="I11" s="2" t="s">
        <v>78</v>
      </c>
    </row>
    <row r="12" spans="1:11" s="1" customFormat="1">
      <c r="A12" s="10"/>
      <c r="B12" s="14"/>
      <c r="C12" s="10"/>
      <c r="D12" s="19"/>
      <c r="E12" s="6"/>
      <c r="F12" s="30"/>
      <c r="G12" s="25"/>
      <c r="H12" s="35"/>
      <c r="I12" s="2"/>
    </row>
    <row r="13" spans="1:11" s="1" customFormat="1">
      <c r="A13" s="10"/>
      <c r="B13" s="14"/>
      <c r="C13" s="10"/>
      <c r="D13" s="19"/>
      <c r="E13" s="6"/>
      <c r="F13" s="30"/>
      <c r="G13" s="25"/>
      <c r="H13" s="35"/>
      <c r="I13" s="2"/>
    </row>
    <row r="14" spans="1:11" s="1" customFormat="1">
      <c r="A14" s="12" t="s">
        <v>4</v>
      </c>
      <c r="B14" s="10"/>
      <c r="C14" s="10"/>
      <c r="D14" s="20">
        <f>SUM(D2:D12)</f>
        <v>709.21</v>
      </c>
      <c r="E14" s="6"/>
      <c r="F14" s="31">
        <f>SUM(F2:F12)</f>
        <v>283.86</v>
      </c>
      <c r="G14" s="26"/>
      <c r="H14" s="36">
        <f>SUM(H2:H13)</f>
        <v>5074.03</v>
      </c>
      <c r="I14" s="2"/>
    </row>
    <row r="15" spans="1:11" s="1" customFormat="1" ht="15.75" thickBot="1">
      <c r="A15" s="13" t="s">
        <v>5</v>
      </c>
      <c r="B15" s="39">
        <f>SUM(D14+F14+H14)</f>
        <v>6067.0999999999995</v>
      </c>
      <c r="C15" s="38"/>
      <c r="D15" s="21"/>
      <c r="E15" s="22"/>
      <c r="F15" s="32"/>
      <c r="G15" s="27"/>
      <c r="H15" s="37"/>
      <c r="I15" s="3"/>
    </row>
    <row r="16" spans="1:11" ht="30">
      <c r="A16" s="8" t="s">
        <v>13</v>
      </c>
      <c r="B16" s="8" t="s">
        <v>14</v>
      </c>
      <c r="C16" s="11" t="s">
        <v>11</v>
      </c>
      <c r="D16" s="15">
        <v>251</v>
      </c>
      <c r="E16" s="40" t="s">
        <v>38</v>
      </c>
      <c r="F16" s="28">
        <v>28.4</v>
      </c>
      <c r="G16" s="23" t="s">
        <v>31</v>
      </c>
      <c r="H16" s="33"/>
      <c r="I16" s="5"/>
    </row>
    <row r="17" spans="1:9">
      <c r="A17" s="9"/>
      <c r="B17" s="9"/>
      <c r="C17" s="10"/>
      <c r="D17" s="17">
        <v>68.47</v>
      </c>
      <c r="E17" s="18" t="s">
        <v>37</v>
      </c>
      <c r="F17" s="29">
        <v>46</v>
      </c>
      <c r="G17" s="24" t="s">
        <v>34</v>
      </c>
      <c r="H17" s="34"/>
      <c r="I17" s="6"/>
    </row>
    <row r="18" spans="1:9">
      <c r="A18" s="9"/>
      <c r="B18" s="9"/>
      <c r="C18" s="10"/>
      <c r="D18" s="17">
        <v>144</v>
      </c>
      <c r="E18" s="18" t="s">
        <v>39</v>
      </c>
      <c r="F18" s="29">
        <v>4.57</v>
      </c>
      <c r="G18" s="24" t="s">
        <v>35</v>
      </c>
      <c r="H18" s="34"/>
      <c r="I18" s="6"/>
    </row>
    <row r="19" spans="1:9">
      <c r="A19" s="9"/>
      <c r="B19" s="9"/>
      <c r="C19" s="10"/>
      <c r="D19" s="17">
        <v>53</v>
      </c>
      <c r="E19" s="18" t="s">
        <v>40</v>
      </c>
      <c r="F19" s="29"/>
      <c r="G19" s="24"/>
      <c r="H19" s="34"/>
      <c r="I19" s="6"/>
    </row>
    <row r="20" spans="1:9">
      <c r="A20" s="9"/>
      <c r="B20" s="9"/>
      <c r="C20" s="10" t="s">
        <v>12</v>
      </c>
      <c r="D20" s="17"/>
      <c r="E20" s="18"/>
      <c r="F20" s="29">
        <v>11.56</v>
      </c>
      <c r="G20" s="24" t="s">
        <v>35</v>
      </c>
      <c r="H20" s="34"/>
      <c r="I20" s="6"/>
    </row>
    <row r="21" spans="1:9">
      <c r="A21" s="9"/>
      <c r="B21" s="9"/>
      <c r="C21" s="10"/>
      <c r="D21" s="17"/>
      <c r="E21" s="18"/>
      <c r="F21" s="29">
        <v>4.2</v>
      </c>
      <c r="G21" s="24" t="s">
        <v>36</v>
      </c>
      <c r="H21" s="34"/>
      <c r="I21" s="6"/>
    </row>
    <row r="22" spans="1:9">
      <c r="A22" s="10"/>
      <c r="B22" s="14"/>
      <c r="C22" s="10"/>
      <c r="D22" s="19"/>
      <c r="E22" s="6"/>
      <c r="F22" s="30">
        <v>65</v>
      </c>
      <c r="G22" s="25" t="s">
        <v>34</v>
      </c>
      <c r="H22" s="35"/>
      <c r="I22" s="2"/>
    </row>
    <row r="23" spans="1:9" ht="15.75">
      <c r="A23" s="10"/>
      <c r="B23" s="14"/>
      <c r="C23" s="10" t="s">
        <v>49</v>
      </c>
      <c r="D23" s="19"/>
      <c r="E23" s="6"/>
      <c r="F23" s="30"/>
      <c r="G23" s="25"/>
      <c r="H23" s="35">
        <v>276.62</v>
      </c>
      <c r="I23" s="6" t="s">
        <v>51</v>
      </c>
    </row>
    <row r="24" spans="1:9">
      <c r="A24" s="10"/>
      <c r="B24" s="14"/>
      <c r="C24" s="10" t="s">
        <v>50</v>
      </c>
      <c r="D24" s="19"/>
      <c r="E24" s="6"/>
      <c r="F24" s="30"/>
      <c r="G24" s="25"/>
      <c r="H24" s="35">
        <v>605.86</v>
      </c>
      <c r="I24" s="2" t="s">
        <v>56</v>
      </c>
    </row>
    <row r="25" spans="1:9">
      <c r="A25" s="10"/>
      <c r="B25" s="14"/>
      <c r="C25" s="10"/>
      <c r="D25" s="19"/>
      <c r="E25" s="6"/>
      <c r="F25" s="30"/>
      <c r="G25" s="25"/>
      <c r="H25" s="35"/>
      <c r="I25" s="2"/>
    </row>
    <row r="26" spans="1:9">
      <c r="A26" s="12" t="s">
        <v>4</v>
      </c>
      <c r="B26" s="10"/>
      <c r="C26" s="10" t="s">
        <v>50</v>
      </c>
      <c r="D26" s="20">
        <f>SUM(D16:D25)</f>
        <v>516.47</v>
      </c>
      <c r="E26" s="6"/>
      <c r="F26" s="31">
        <f>SUM(F16:F25)</f>
        <v>159.73000000000002</v>
      </c>
      <c r="G26" s="26"/>
      <c r="H26" s="36">
        <f>SUM(H16:H25)</f>
        <v>882.48</v>
      </c>
      <c r="I26" s="2"/>
    </row>
    <row r="27" spans="1:9" ht="15.75" thickBot="1">
      <c r="A27" s="13" t="s">
        <v>5</v>
      </c>
      <c r="B27" s="39">
        <f>SUM(D26+F26+H26)</f>
        <v>1558.68</v>
      </c>
      <c r="C27" s="38"/>
      <c r="D27" s="21"/>
      <c r="E27" s="22"/>
      <c r="F27" s="32"/>
      <c r="G27" s="27"/>
      <c r="H27" s="37"/>
      <c r="I27" s="3"/>
    </row>
    <row r="28" spans="1:9">
      <c r="A28" s="8" t="s">
        <v>17</v>
      </c>
      <c r="B28" s="8" t="s">
        <v>20</v>
      </c>
      <c r="C28" s="11" t="s">
        <v>15</v>
      </c>
      <c r="D28" s="15">
        <v>233.63</v>
      </c>
      <c r="E28" s="16" t="s">
        <v>66</v>
      </c>
      <c r="F28" s="28">
        <v>20.45</v>
      </c>
      <c r="G28" s="23" t="s">
        <v>31</v>
      </c>
      <c r="H28" s="33">
        <v>358.31</v>
      </c>
      <c r="I28" s="5" t="s">
        <v>54</v>
      </c>
    </row>
    <row r="29" spans="1:9">
      <c r="A29" s="9"/>
      <c r="B29" s="9"/>
      <c r="C29" s="10"/>
      <c r="D29" s="17">
        <v>52.07</v>
      </c>
      <c r="E29" s="18" t="s">
        <v>65</v>
      </c>
      <c r="F29" s="29">
        <v>32.14</v>
      </c>
      <c r="G29" s="24" t="s">
        <v>35</v>
      </c>
      <c r="H29" s="34"/>
      <c r="I29" s="6"/>
    </row>
    <row r="30" spans="1:9">
      <c r="A30" s="9"/>
      <c r="B30" s="9"/>
      <c r="C30" s="10"/>
      <c r="D30" s="17">
        <v>10.44</v>
      </c>
      <c r="E30" s="18" t="s">
        <v>64</v>
      </c>
      <c r="F30" s="29">
        <v>4.3</v>
      </c>
      <c r="G30" s="24" t="s">
        <v>36</v>
      </c>
      <c r="H30" s="34"/>
      <c r="I30" s="6"/>
    </row>
    <row r="31" spans="1:9">
      <c r="A31" s="9"/>
      <c r="B31" s="9"/>
      <c r="C31" s="10"/>
      <c r="D31" s="17"/>
      <c r="E31" s="18"/>
      <c r="F31" s="29">
        <v>125</v>
      </c>
      <c r="G31" s="24" t="s">
        <v>34</v>
      </c>
      <c r="H31" s="34"/>
      <c r="I31" s="6"/>
    </row>
    <row r="32" spans="1:9">
      <c r="A32" s="9"/>
      <c r="B32" s="9"/>
      <c r="C32" s="10" t="s">
        <v>16</v>
      </c>
      <c r="D32" s="17">
        <v>35.159999999999997</v>
      </c>
      <c r="E32" s="18" t="s">
        <v>43</v>
      </c>
      <c r="F32" s="29">
        <v>124</v>
      </c>
      <c r="G32" s="24" t="s">
        <v>41</v>
      </c>
      <c r="H32" s="34">
        <v>283.02999999999997</v>
      </c>
      <c r="I32" s="6" t="s">
        <v>54</v>
      </c>
    </row>
    <row r="33" spans="1:9">
      <c r="A33" s="9"/>
      <c r="B33" s="9"/>
      <c r="C33" s="10"/>
      <c r="D33" s="17">
        <v>27.88</v>
      </c>
      <c r="E33" s="18" t="s">
        <v>37</v>
      </c>
      <c r="F33" s="29">
        <v>55.3</v>
      </c>
      <c r="G33" s="24" t="s">
        <v>42</v>
      </c>
      <c r="H33" s="34"/>
      <c r="I33" s="6"/>
    </row>
    <row r="34" spans="1:9">
      <c r="A34" s="9"/>
      <c r="B34" s="9"/>
      <c r="C34" s="10"/>
      <c r="D34" s="17"/>
      <c r="E34" s="18"/>
      <c r="F34" s="29"/>
      <c r="G34" s="24"/>
      <c r="H34" s="34"/>
      <c r="I34" s="6"/>
    </row>
    <row r="35" spans="1:9" ht="15.75">
      <c r="A35" s="9"/>
      <c r="B35" s="9"/>
      <c r="C35" s="10" t="s">
        <v>49</v>
      </c>
      <c r="D35" s="17"/>
      <c r="E35" s="18"/>
      <c r="F35" s="29"/>
      <c r="G35" s="24"/>
      <c r="H35" s="34">
        <v>3093.22</v>
      </c>
      <c r="I35" s="6" t="s">
        <v>53</v>
      </c>
    </row>
    <row r="36" spans="1:9">
      <c r="A36" s="10"/>
      <c r="B36" s="14"/>
      <c r="C36" s="10" t="s">
        <v>50</v>
      </c>
      <c r="D36" s="19"/>
      <c r="E36" s="6"/>
      <c r="F36" s="30"/>
      <c r="G36" s="25"/>
      <c r="H36" s="35">
        <v>1449.1</v>
      </c>
      <c r="I36" s="2" t="s">
        <v>58</v>
      </c>
    </row>
    <row r="37" spans="1:9" ht="30">
      <c r="A37" s="10"/>
      <c r="B37" s="14"/>
      <c r="C37" s="10"/>
      <c r="D37" s="19"/>
      <c r="E37" s="6"/>
      <c r="F37" s="30"/>
      <c r="G37" s="25"/>
      <c r="H37" s="43">
        <v>2275.77</v>
      </c>
      <c r="I37" s="44" t="s">
        <v>62</v>
      </c>
    </row>
    <row r="38" spans="1:9">
      <c r="A38" s="10"/>
      <c r="B38" s="14"/>
      <c r="C38" s="10"/>
      <c r="D38" s="19"/>
      <c r="E38" s="6"/>
      <c r="F38" s="30"/>
      <c r="G38" s="25"/>
      <c r="H38" s="35"/>
      <c r="I38" s="2"/>
    </row>
    <row r="39" spans="1:9">
      <c r="A39" s="12" t="s">
        <v>4</v>
      </c>
      <c r="B39" s="10"/>
      <c r="C39" s="10"/>
      <c r="D39" s="20">
        <f>SUM(D28:D37)</f>
        <v>359.17999999999995</v>
      </c>
      <c r="E39" s="6"/>
      <c r="F39" s="31">
        <f>SUM(F28:F37)</f>
        <v>361.19</v>
      </c>
      <c r="G39" s="26"/>
      <c r="H39" s="36">
        <f>SUM(H28:H38)</f>
        <v>7459.43</v>
      </c>
      <c r="I39" s="2"/>
    </row>
    <row r="40" spans="1:9" ht="15.75" thickBot="1">
      <c r="A40" s="13" t="s">
        <v>5</v>
      </c>
      <c r="B40" s="39">
        <f>SUM(D39+F39+H39)</f>
        <v>8179.8</v>
      </c>
      <c r="C40" s="38"/>
      <c r="D40" s="21"/>
      <c r="E40" s="22"/>
      <c r="F40" s="32"/>
      <c r="G40" s="27"/>
      <c r="H40" s="37"/>
      <c r="I40" s="3"/>
    </row>
    <row r="41" spans="1:9">
      <c r="A41" s="8" t="s">
        <v>23</v>
      </c>
      <c r="B41" s="8" t="s">
        <v>18</v>
      </c>
      <c r="C41" s="11" t="s">
        <v>21</v>
      </c>
      <c r="D41" s="15">
        <v>25</v>
      </c>
      <c r="E41" s="16" t="s">
        <v>33</v>
      </c>
      <c r="F41" s="28">
        <v>54</v>
      </c>
      <c r="G41" s="23" t="s">
        <v>34</v>
      </c>
      <c r="H41" s="33"/>
      <c r="I41" s="5"/>
    </row>
    <row r="42" spans="1:9">
      <c r="A42" s="9"/>
      <c r="B42" s="9"/>
      <c r="C42" s="10"/>
      <c r="D42" s="17"/>
      <c r="E42" s="18"/>
      <c r="F42" s="29">
        <v>10.71</v>
      </c>
      <c r="G42" s="24" t="s">
        <v>35</v>
      </c>
      <c r="H42" s="34"/>
      <c r="I42" s="6"/>
    </row>
    <row r="43" spans="1:9">
      <c r="A43" s="9" t="s">
        <v>24</v>
      </c>
      <c r="B43" s="9"/>
      <c r="C43" s="10" t="s">
        <v>22</v>
      </c>
      <c r="D43" s="17">
        <v>62.87</v>
      </c>
      <c r="E43" s="18" t="s">
        <v>44</v>
      </c>
      <c r="F43" s="29">
        <v>67</v>
      </c>
      <c r="G43" s="24" t="s">
        <v>47</v>
      </c>
      <c r="H43" s="34"/>
      <c r="I43" s="6"/>
    </row>
    <row r="44" spans="1:9">
      <c r="A44" s="9"/>
      <c r="B44" s="9"/>
      <c r="C44" s="10"/>
      <c r="D44" s="17">
        <v>321</v>
      </c>
      <c r="E44" s="24" t="s">
        <v>46</v>
      </c>
      <c r="F44" s="29">
        <v>39.4</v>
      </c>
      <c r="G44" s="24" t="s">
        <v>43</v>
      </c>
      <c r="H44" s="34">
        <v>453.17</v>
      </c>
      <c r="I44" s="6" t="s">
        <v>54</v>
      </c>
    </row>
    <row r="45" spans="1:9" ht="29.25" customHeight="1">
      <c r="A45" s="9"/>
      <c r="B45" s="9"/>
      <c r="C45" s="10"/>
      <c r="D45" s="17"/>
      <c r="E45" s="24"/>
      <c r="F45" s="29">
        <v>56.4</v>
      </c>
      <c r="G45" s="41" t="s">
        <v>48</v>
      </c>
      <c r="H45" s="34"/>
      <c r="I45" s="6"/>
    </row>
    <row r="46" spans="1:9">
      <c r="A46" s="9" t="s">
        <v>25</v>
      </c>
      <c r="B46" s="9"/>
      <c r="C46" s="10" t="s">
        <v>15</v>
      </c>
      <c r="D46" s="17">
        <v>38.83</v>
      </c>
      <c r="E46" s="24" t="s">
        <v>67</v>
      </c>
      <c r="F46" s="29">
        <v>7.3</v>
      </c>
      <c r="G46" s="24" t="s">
        <v>31</v>
      </c>
      <c r="H46" s="34">
        <v>211.78</v>
      </c>
      <c r="I46" s="6" t="s">
        <v>54</v>
      </c>
    </row>
    <row r="47" spans="1:9">
      <c r="A47" s="9"/>
      <c r="B47" s="9"/>
      <c r="C47" s="10"/>
      <c r="D47" s="17">
        <v>120.42</v>
      </c>
      <c r="E47" s="18" t="s">
        <v>68</v>
      </c>
      <c r="F47" s="29"/>
      <c r="G47" s="24"/>
      <c r="H47" s="34"/>
      <c r="I47" s="6"/>
    </row>
    <row r="48" spans="1:9">
      <c r="A48" s="10" t="s">
        <v>27</v>
      </c>
      <c r="B48" s="14"/>
      <c r="C48" s="10" t="s">
        <v>26</v>
      </c>
      <c r="D48" s="19">
        <v>18.48</v>
      </c>
      <c r="E48" s="6" t="s">
        <v>33</v>
      </c>
      <c r="F48" s="30">
        <v>152</v>
      </c>
      <c r="G48" s="25" t="s">
        <v>44</v>
      </c>
      <c r="H48" s="35">
        <v>429.14</v>
      </c>
      <c r="I48" s="2" t="s">
        <v>90</v>
      </c>
    </row>
    <row r="49" spans="1:9">
      <c r="A49" s="10"/>
      <c r="B49" s="14"/>
      <c r="C49" s="10"/>
      <c r="D49" s="19"/>
      <c r="E49" s="6"/>
      <c r="F49" s="30">
        <v>9.9</v>
      </c>
      <c r="G49" s="25" t="s">
        <v>73</v>
      </c>
      <c r="H49" s="35"/>
      <c r="I49" s="2"/>
    </row>
    <row r="50" spans="1:9">
      <c r="A50" s="10"/>
      <c r="B50" s="14"/>
      <c r="C50" s="10"/>
      <c r="D50" s="19"/>
      <c r="E50" s="6"/>
      <c r="F50" s="30">
        <v>65</v>
      </c>
      <c r="G50" s="25" t="s">
        <v>74</v>
      </c>
      <c r="H50" s="35"/>
      <c r="I50" s="2"/>
    </row>
    <row r="51" spans="1:9" ht="15.75">
      <c r="A51" s="10"/>
      <c r="B51" s="14"/>
      <c r="C51" s="10" t="s">
        <v>49</v>
      </c>
      <c r="D51" s="19"/>
      <c r="E51" s="6"/>
      <c r="F51" s="30"/>
      <c r="G51" s="25"/>
      <c r="H51" s="35">
        <v>3988.49</v>
      </c>
      <c r="I51" s="6" t="s">
        <v>55</v>
      </c>
    </row>
    <row r="52" spans="1:9">
      <c r="A52" s="10"/>
      <c r="B52" s="14"/>
      <c r="C52" s="10" t="s">
        <v>50</v>
      </c>
      <c r="D52" s="19"/>
      <c r="E52" s="6"/>
      <c r="F52" s="30"/>
      <c r="G52" s="25"/>
      <c r="H52" s="35">
        <v>554.54999999999995</v>
      </c>
      <c r="I52" s="2" t="s">
        <v>59</v>
      </c>
    </row>
    <row r="53" spans="1:9">
      <c r="A53" s="10"/>
      <c r="B53" s="14"/>
      <c r="C53" s="10"/>
      <c r="D53" s="19"/>
      <c r="E53" s="6"/>
      <c r="F53" s="30"/>
      <c r="G53" s="25"/>
      <c r="H53" s="35">
        <v>554.54999999999995</v>
      </c>
      <c r="I53" s="2" t="s">
        <v>60</v>
      </c>
    </row>
    <row r="54" spans="1:9">
      <c r="A54" s="10"/>
      <c r="B54" s="14"/>
      <c r="C54" s="10"/>
      <c r="D54" s="19"/>
      <c r="E54" s="6"/>
      <c r="F54" s="30"/>
      <c r="G54" s="25"/>
      <c r="H54" s="35"/>
      <c r="I54" s="42" t="s">
        <v>61</v>
      </c>
    </row>
    <row r="55" spans="1:9">
      <c r="A55" s="10"/>
      <c r="B55" s="14"/>
      <c r="C55" s="10"/>
      <c r="D55" s="19"/>
      <c r="E55" s="6"/>
      <c r="F55" s="30"/>
      <c r="G55" s="25"/>
      <c r="H55" s="35">
        <v>980.65</v>
      </c>
      <c r="I55" s="2" t="s">
        <v>63</v>
      </c>
    </row>
    <row r="56" spans="1:9">
      <c r="A56" s="10"/>
      <c r="B56" s="14"/>
      <c r="C56" s="10"/>
      <c r="D56" s="19"/>
      <c r="E56" s="6"/>
      <c r="F56" s="30"/>
      <c r="G56" s="25"/>
      <c r="H56" s="35"/>
      <c r="I56" s="2"/>
    </row>
    <row r="57" spans="1:9">
      <c r="A57" s="12" t="s">
        <v>4</v>
      </c>
      <c r="B57" s="10"/>
      <c r="C57" s="10"/>
      <c r="D57" s="20">
        <f>SUM(D41:D51)</f>
        <v>586.6</v>
      </c>
      <c r="E57" s="6"/>
      <c r="F57" s="31">
        <f>SUM(F41:F51)</f>
        <v>461.71000000000004</v>
      </c>
      <c r="G57" s="26"/>
      <c r="H57" s="36">
        <f>SUM(H41:H55)</f>
        <v>7172.33</v>
      </c>
      <c r="I57" s="2"/>
    </row>
    <row r="58" spans="1:9" ht="15.75" thickBot="1">
      <c r="A58" s="13" t="s">
        <v>5</v>
      </c>
      <c r="B58" s="39">
        <f>SUM(D57+F57+H57)</f>
        <v>8220.64</v>
      </c>
      <c r="C58" s="38"/>
      <c r="D58" s="21"/>
      <c r="E58" s="22"/>
      <c r="F58" s="32"/>
      <c r="G58" s="27"/>
      <c r="H58" s="37"/>
      <c r="I58" s="3"/>
    </row>
    <row r="59" spans="1:9">
      <c r="A59" s="8" t="s">
        <v>30</v>
      </c>
      <c r="B59" s="8" t="s">
        <v>29</v>
      </c>
      <c r="C59" s="11" t="s">
        <v>9</v>
      </c>
      <c r="D59" s="15">
        <v>43.98</v>
      </c>
      <c r="E59" s="16" t="s">
        <v>44</v>
      </c>
      <c r="F59" s="29">
        <v>12.16</v>
      </c>
      <c r="G59" s="24" t="s">
        <v>35</v>
      </c>
      <c r="H59" s="33">
        <v>36.18</v>
      </c>
      <c r="I59" s="5" t="s">
        <v>54</v>
      </c>
    </row>
    <row r="60" spans="1:9">
      <c r="A60" s="9"/>
      <c r="B60" s="9"/>
      <c r="C60" s="10"/>
      <c r="D60" s="17">
        <v>175.69</v>
      </c>
      <c r="E60" s="18" t="s">
        <v>75</v>
      </c>
      <c r="F60" s="29">
        <v>3.6</v>
      </c>
      <c r="G60" s="24" t="s">
        <v>36</v>
      </c>
      <c r="H60" s="34"/>
      <c r="I60" s="6"/>
    </row>
    <row r="61" spans="1:9">
      <c r="A61" s="9"/>
      <c r="B61" s="9"/>
      <c r="C61" s="10"/>
      <c r="D61" s="17"/>
      <c r="E61" s="18"/>
      <c r="F61" s="29">
        <v>97</v>
      </c>
      <c r="G61" s="24" t="s">
        <v>34</v>
      </c>
      <c r="H61" s="34"/>
      <c r="I61" s="6"/>
    </row>
    <row r="62" spans="1:9">
      <c r="A62" s="9"/>
      <c r="B62" s="9"/>
      <c r="C62" s="10"/>
      <c r="D62" s="17"/>
      <c r="E62" s="18"/>
      <c r="F62" s="29">
        <v>12.3</v>
      </c>
      <c r="G62" s="24" t="s">
        <v>31</v>
      </c>
      <c r="H62" s="34"/>
      <c r="I62" s="6"/>
    </row>
    <row r="63" spans="1:9">
      <c r="A63" s="9"/>
      <c r="B63" s="9"/>
      <c r="C63" s="10"/>
      <c r="D63" s="17"/>
      <c r="E63" s="18"/>
      <c r="F63" s="29">
        <v>42</v>
      </c>
      <c r="G63" s="24" t="s">
        <v>83</v>
      </c>
      <c r="H63" s="34"/>
      <c r="I63" s="6"/>
    </row>
    <row r="64" spans="1:9">
      <c r="A64" s="9"/>
      <c r="B64" s="9"/>
      <c r="C64" s="10" t="s">
        <v>28</v>
      </c>
      <c r="D64" s="17">
        <v>338.21</v>
      </c>
      <c r="E64" s="18" t="s">
        <v>44</v>
      </c>
      <c r="F64" s="29">
        <v>105</v>
      </c>
      <c r="G64" s="24" t="s">
        <v>34</v>
      </c>
      <c r="H64" s="34"/>
      <c r="I64" s="6"/>
    </row>
    <row r="65" spans="1:9">
      <c r="A65" s="9"/>
      <c r="B65" s="9"/>
      <c r="C65" s="10"/>
      <c r="D65" s="17">
        <v>180</v>
      </c>
      <c r="E65" s="18" t="s">
        <v>43</v>
      </c>
      <c r="F65" s="29">
        <v>7.61</v>
      </c>
      <c r="G65" s="24" t="s">
        <v>35</v>
      </c>
      <c r="H65" s="34"/>
      <c r="I65" s="6"/>
    </row>
    <row r="66" spans="1:9">
      <c r="A66" s="9"/>
      <c r="B66" s="9"/>
      <c r="C66" s="10"/>
      <c r="D66" s="17">
        <f>39</f>
        <v>39</v>
      </c>
      <c r="E66" s="18" t="s">
        <v>45</v>
      </c>
      <c r="F66" s="29"/>
      <c r="G66" s="24"/>
      <c r="H66" s="34"/>
      <c r="I66" s="6"/>
    </row>
    <row r="67" spans="1:9">
      <c r="A67" s="9"/>
      <c r="B67" s="9"/>
      <c r="C67" s="9" t="s">
        <v>22</v>
      </c>
      <c r="D67" s="17"/>
      <c r="E67" s="18"/>
      <c r="F67" s="29">
        <v>7.7</v>
      </c>
      <c r="G67" s="24" t="s">
        <v>31</v>
      </c>
      <c r="H67" s="34"/>
      <c r="I67" s="6"/>
    </row>
    <row r="68" spans="1:9">
      <c r="A68" s="9"/>
      <c r="B68" s="9"/>
      <c r="C68" s="10"/>
      <c r="D68" s="17"/>
      <c r="E68" s="18"/>
      <c r="F68" s="29"/>
      <c r="G68" s="24"/>
      <c r="H68" s="34"/>
      <c r="I68" s="6"/>
    </row>
    <row r="69" spans="1:9">
      <c r="A69" s="10"/>
      <c r="B69" s="14"/>
      <c r="C69" s="10" t="s">
        <v>49</v>
      </c>
      <c r="D69" s="19"/>
      <c r="E69" s="6"/>
      <c r="F69" s="30"/>
      <c r="G69" s="25"/>
      <c r="H69" s="35">
        <v>1244.31</v>
      </c>
      <c r="I69" s="2" t="s">
        <v>52</v>
      </c>
    </row>
    <row r="70" spans="1:9">
      <c r="A70" s="10"/>
      <c r="B70" s="14"/>
      <c r="C70" s="10" t="s">
        <v>50</v>
      </c>
      <c r="D70" s="19"/>
      <c r="E70" s="6"/>
      <c r="F70" s="30"/>
      <c r="G70" s="25"/>
      <c r="H70" s="35">
        <v>908.79</v>
      </c>
      <c r="I70" s="2" t="s">
        <v>57</v>
      </c>
    </row>
    <row r="71" spans="1:9">
      <c r="A71" s="10"/>
      <c r="B71" s="14"/>
      <c r="C71" s="10"/>
      <c r="D71" s="19"/>
      <c r="E71" s="6"/>
      <c r="F71" s="30"/>
      <c r="G71" s="25"/>
      <c r="H71" s="35"/>
      <c r="I71" s="2"/>
    </row>
    <row r="72" spans="1:9">
      <c r="A72" s="12" t="s">
        <v>4</v>
      </c>
      <c r="B72" s="10"/>
      <c r="C72" s="10"/>
      <c r="D72" s="20">
        <f>SUM(D59:D70)</f>
        <v>776.88</v>
      </c>
      <c r="E72" s="6"/>
      <c r="F72" s="31">
        <f>SUM(F59:F70)</f>
        <v>287.37</v>
      </c>
      <c r="G72" s="26"/>
      <c r="H72" s="36">
        <f>SUM(H59:H71)</f>
        <v>2189.2799999999997</v>
      </c>
      <c r="I72" s="2"/>
    </row>
    <row r="73" spans="1:9" ht="15.75" thickBot="1">
      <c r="A73" s="13" t="s">
        <v>5</v>
      </c>
      <c r="B73" s="39">
        <f>SUM(D72+F72+H72)</f>
        <v>3253.5299999999997</v>
      </c>
      <c r="C73" s="38"/>
      <c r="D73" s="21"/>
      <c r="E73" s="22"/>
      <c r="F73" s="32"/>
      <c r="G73" s="27"/>
      <c r="H73" s="37"/>
      <c r="I73" s="3"/>
    </row>
    <row r="77" spans="1:9">
      <c r="A77" t="s">
        <v>84</v>
      </c>
    </row>
    <row r="78" spans="1:9">
      <c r="A78" t="s">
        <v>85</v>
      </c>
    </row>
    <row r="79" spans="1:9">
      <c r="A79" t="s">
        <v>88</v>
      </c>
    </row>
    <row r="80" spans="1:9">
      <c r="A80" t="s">
        <v>89</v>
      </c>
    </row>
    <row r="81" spans="1:1">
      <c r="A81" t="s">
        <v>86</v>
      </c>
    </row>
    <row r="82" spans="1:1">
      <c r="A82" t="s">
        <v>87</v>
      </c>
    </row>
    <row r="84" spans="1:1" ht="0.75" customHeight="1"/>
    <row r="85" spans="1:1" hidden="1"/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D64" sqref="D64"/>
    </sheetView>
  </sheetViews>
  <sheetFormatPr defaultRowHeight="15"/>
  <cols>
    <col min="1" max="1" width="24.85546875" customWidth="1"/>
    <col min="2" max="2" width="22.85546875" customWidth="1"/>
    <col min="3" max="3" width="22.7109375" customWidth="1"/>
    <col min="4" max="4" width="20.140625" customWidth="1"/>
    <col min="5" max="5" width="18.85546875" customWidth="1"/>
    <col min="6" max="6" width="17.85546875" customWidth="1"/>
    <col min="7" max="7" width="15" customWidth="1"/>
    <col min="8" max="8" width="20" customWidth="1"/>
    <col min="9" max="9" width="40.28515625" customWidth="1"/>
  </cols>
  <sheetData>
    <row r="1" spans="1:9" ht="15.75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9">
      <c r="A2" s="8" t="s">
        <v>469</v>
      </c>
      <c r="B2" s="8" t="s">
        <v>481</v>
      </c>
      <c r="C2" s="8" t="s">
        <v>103</v>
      </c>
      <c r="D2" s="28">
        <f>473</f>
        <v>473</v>
      </c>
      <c r="E2" s="85" t="s">
        <v>534</v>
      </c>
      <c r="F2" s="15"/>
      <c r="G2" s="40"/>
      <c r="H2" s="33"/>
      <c r="I2" s="5"/>
    </row>
    <row r="3" spans="1:9">
      <c r="A3" s="9"/>
      <c r="B3" s="9" t="s">
        <v>523</v>
      </c>
      <c r="C3" s="9"/>
      <c r="D3" s="29"/>
      <c r="E3" s="24"/>
      <c r="F3" s="17"/>
      <c r="G3" s="18"/>
      <c r="H3" s="34"/>
      <c r="I3" s="6"/>
    </row>
    <row r="4" spans="1:9">
      <c r="A4" s="9"/>
      <c r="B4" s="9"/>
      <c r="C4" s="10" t="s">
        <v>97</v>
      </c>
      <c r="D4" s="29">
        <f>15+12.5+12+14+15+15</f>
        <v>83.5</v>
      </c>
      <c r="E4" s="24" t="s">
        <v>41</v>
      </c>
      <c r="F4" s="17">
        <f>116*2</f>
        <v>232</v>
      </c>
      <c r="G4" s="70" t="s">
        <v>456</v>
      </c>
      <c r="H4" s="64"/>
      <c r="I4" s="2"/>
    </row>
    <row r="5" spans="1:9">
      <c r="A5" s="9"/>
      <c r="B5" s="9"/>
      <c r="C5" s="9"/>
      <c r="D5" s="29">
        <f>30+5.2</f>
        <v>35.200000000000003</v>
      </c>
      <c r="E5" s="24" t="s">
        <v>524</v>
      </c>
      <c r="F5" s="17"/>
      <c r="G5" s="18"/>
      <c r="H5" s="34"/>
      <c r="I5" s="6"/>
    </row>
    <row r="6" spans="1:9">
      <c r="A6" s="9"/>
      <c r="B6" s="9"/>
      <c r="C6" s="9" t="s">
        <v>28</v>
      </c>
      <c r="D6" s="29"/>
      <c r="E6" s="24"/>
      <c r="F6" s="17"/>
      <c r="G6" s="18"/>
      <c r="H6" s="34"/>
      <c r="I6" s="6"/>
    </row>
    <row r="7" spans="1:9">
      <c r="A7" s="10"/>
      <c r="B7" s="14"/>
      <c r="C7" s="10"/>
      <c r="D7" s="30"/>
      <c r="E7" s="25"/>
      <c r="F7" s="19"/>
      <c r="G7" s="6"/>
      <c r="H7" s="34"/>
      <c r="I7" s="6"/>
    </row>
    <row r="8" spans="1:9">
      <c r="A8" s="10"/>
      <c r="B8" s="14"/>
      <c r="C8" s="9"/>
      <c r="D8" s="30"/>
      <c r="E8" s="25"/>
      <c r="F8" s="47"/>
      <c r="G8" s="86"/>
      <c r="H8" s="34"/>
      <c r="I8" s="6"/>
    </row>
    <row r="9" spans="1:9">
      <c r="A9" s="10"/>
      <c r="B9" s="14"/>
      <c r="C9" s="9" t="s">
        <v>49</v>
      </c>
      <c r="D9" s="30"/>
      <c r="E9" s="25"/>
      <c r="F9" s="19"/>
      <c r="G9" s="6"/>
      <c r="H9" s="34">
        <v>1903.7</v>
      </c>
      <c r="I9" s="6" t="s">
        <v>535</v>
      </c>
    </row>
    <row r="10" spans="1:9">
      <c r="A10" s="10"/>
      <c r="B10" s="14"/>
      <c r="C10" s="9" t="s">
        <v>50</v>
      </c>
      <c r="D10" s="30"/>
      <c r="E10" s="25"/>
      <c r="F10" s="19"/>
      <c r="G10" s="6"/>
      <c r="H10" s="34">
        <v>235</v>
      </c>
      <c r="I10" s="6" t="s">
        <v>485</v>
      </c>
    </row>
    <row r="11" spans="1:9">
      <c r="A11" s="10"/>
      <c r="B11" s="14"/>
      <c r="C11" s="9"/>
      <c r="D11" s="30"/>
      <c r="E11" s="25"/>
      <c r="F11" s="19"/>
      <c r="G11" s="6"/>
      <c r="H11" s="34"/>
      <c r="I11" s="6"/>
    </row>
    <row r="12" spans="1:9">
      <c r="A12" s="12" t="s">
        <v>4</v>
      </c>
      <c r="B12" s="10"/>
      <c r="C12" s="9"/>
      <c r="D12" s="20">
        <f>SUM(D2:D10)</f>
        <v>591.70000000000005</v>
      </c>
      <c r="E12" s="26"/>
      <c r="F12" s="20">
        <f>SUM(F2:F10)</f>
        <v>232</v>
      </c>
      <c r="G12" s="6"/>
      <c r="H12" s="20">
        <f>SUM(H2:H11)</f>
        <v>2138.6999999999998</v>
      </c>
      <c r="I12" s="2"/>
    </row>
    <row r="13" spans="1:9" ht="15.75" thickBot="1">
      <c r="A13" s="13" t="s">
        <v>5</v>
      </c>
      <c r="B13" s="39">
        <f>SUM(F12+D12+H12)</f>
        <v>2962.3999999999996</v>
      </c>
      <c r="C13" s="38"/>
      <c r="D13" s="32"/>
      <c r="E13" s="27"/>
      <c r="F13" s="21"/>
      <c r="G13" s="22"/>
      <c r="H13" s="37"/>
      <c r="I13" s="3"/>
    </row>
    <row r="14" spans="1:9">
      <c r="A14" s="9" t="s">
        <v>470</v>
      </c>
      <c r="B14" s="1" t="s">
        <v>480</v>
      </c>
      <c r="C14" s="9" t="s">
        <v>9</v>
      </c>
      <c r="D14" s="28">
        <f>3.2+8.28+6.32+8+10+6</f>
        <v>41.8</v>
      </c>
      <c r="E14" s="24" t="s">
        <v>41</v>
      </c>
      <c r="F14" s="15">
        <f>24.5</f>
        <v>24.5</v>
      </c>
      <c r="G14" s="16" t="s">
        <v>31</v>
      </c>
      <c r="H14" s="33">
        <v>569</v>
      </c>
      <c r="I14" s="5" t="s">
        <v>188</v>
      </c>
    </row>
    <row r="15" spans="1:9">
      <c r="A15" s="9"/>
      <c r="B15" s="1"/>
      <c r="C15" s="10"/>
      <c r="D15" s="29">
        <f>22.41+26.62+30.77+32.01</f>
        <v>111.81</v>
      </c>
      <c r="E15" s="24" t="s">
        <v>526</v>
      </c>
      <c r="F15" s="17">
        <v>87</v>
      </c>
      <c r="G15" s="18" t="s">
        <v>34</v>
      </c>
      <c r="H15" s="34"/>
      <c r="I15" s="6"/>
    </row>
    <row r="16" spans="1:9">
      <c r="A16" s="9"/>
      <c r="B16" s="1"/>
      <c r="C16" s="49" t="s">
        <v>22</v>
      </c>
      <c r="D16" s="29"/>
      <c r="E16" s="24"/>
      <c r="F16" s="17">
        <f>5.7+0.8+18.5+23</f>
        <v>48</v>
      </c>
      <c r="G16" s="18" t="s">
        <v>531</v>
      </c>
      <c r="H16" s="34"/>
      <c r="I16" s="6"/>
    </row>
    <row r="17" spans="1:9">
      <c r="A17" s="9"/>
      <c r="B17" s="1"/>
      <c r="C17" s="10"/>
      <c r="D17" s="29"/>
      <c r="E17" s="24"/>
      <c r="F17" s="17"/>
      <c r="G17" s="18"/>
      <c r="H17" s="34"/>
      <c r="I17" s="6"/>
    </row>
    <row r="18" spans="1:9">
      <c r="A18" s="9"/>
      <c r="B18" s="1"/>
      <c r="C18" s="10"/>
      <c r="D18" s="72"/>
      <c r="E18" s="73"/>
      <c r="F18" s="89"/>
      <c r="G18" s="88"/>
      <c r="H18" s="34"/>
      <c r="I18" s="6"/>
    </row>
    <row r="19" spans="1:9">
      <c r="A19" s="9"/>
      <c r="B19" s="1"/>
      <c r="C19" s="10"/>
      <c r="D19" s="29"/>
      <c r="E19" s="24"/>
      <c r="F19" s="17"/>
      <c r="G19" s="18"/>
      <c r="H19" s="34"/>
      <c r="I19" s="6"/>
    </row>
    <row r="20" spans="1:9">
      <c r="A20" s="9"/>
      <c r="B20" s="59"/>
      <c r="C20" s="9" t="s">
        <v>49</v>
      </c>
      <c r="D20" s="29"/>
      <c r="E20" s="24"/>
      <c r="F20" s="47"/>
      <c r="G20" s="48"/>
      <c r="H20" s="87">
        <v>620</v>
      </c>
      <c r="I20" s="6" t="s">
        <v>536</v>
      </c>
    </row>
    <row r="21" spans="1:9">
      <c r="A21" s="9"/>
      <c r="B21" s="59"/>
      <c r="C21" s="9" t="s">
        <v>50</v>
      </c>
      <c r="D21" s="29"/>
      <c r="E21" s="24"/>
      <c r="F21" s="47"/>
      <c r="G21" s="48"/>
      <c r="H21" s="34">
        <v>1931.78</v>
      </c>
      <c r="I21" s="6" t="s">
        <v>496</v>
      </c>
    </row>
    <row r="22" spans="1:9">
      <c r="A22" s="12" t="s">
        <v>4</v>
      </c>
      <c r="B22" s="10"/>
      <c r="C22" s="10"/>
      <c r="D22" s="31">
        <f>SUM(D14:D21)</f>
        <v>153.61000000000001</v>
      </c>
      <c r="E22" s="26"/>
      <c r="F22" s="20">
        <f>SUM(F14:F21)</f>
        <v>159.5</v>
      </c>
      <c r="G22" s="6"/>
      <c r="H22" s="36">
        <f>SUM(H14:H21)</f>
        <v>3120.7799999999997</v>
      </c>
      <c r="I22" s="2"/>
    </row>
    <row r="23" spans="1:9" ht="15.75" thickBot="1">
      <c r="A23" s="13" t="s">
        <v>5</v>
      </c>
      <c r="B23" s="39">
        <f>SUM(F22+D22+H22)</f>
        <v>3433.89</v>
      </c>
      <c r="C23" s="38"/>
      <c r="D23" s="32"/>
      <c r="E23" s="27"/>
      <c r="F23" s="21"/>
      <c r="G23" s="22"/>
      <c r="H23" s="37"/>
      <c r="I23" s="3"/>
    </row>
    <row r="24" spans="1:9">
      <c r="A24" s="9" t="s">
        <v>471</v>
      </c>
      <c r="B24" s="1" t="s">
        <v>302</v>
      </c>
      <c r="C24" s="9" t="s">
        <v>15</v>
      </c>
      <c r="D24" s="72"/>
      <c r="E24" s="73"/>
      <c r="F24" s="72"/>
      <c r="G24" s="73"/>
      <c r="H24" s="74"/>
      <c r="I24" s="75"/>
    </row>
    <row r="25" spans="1:9">
      <c r="A25" s="1"/>
      <c r="B25" s="78"/>
      <c r="C25" s="9"/>
      <c r="D25" s="72"/>
      <c r="E25" s="73"/>
      <c r="F25" s="72"/>
      <c r="G25" s="73"/>
      <c r="H25" s="34"/>
      <c r="I25" s="2"/>
    </row>
    <row r="26" spans="1:9">
      <c r="A26" s="1"/>
      <c r="B26" s="10"/>
      <c r="C26" s="9" t="s">
        <v>412</v>
      </c>
      <c r="D26" s="29"/>
      <c r="E26" s="24"/>
      <c r="F26" s="72"/>
      <c r="G26" s="73"/>
      <c r="H26" s="34"/>
      <c r="I26" s="2"/>
    </row>
    <row r="27" spans="1:9">
      <c r="A27" s="1"/>
      <c r="B27" s="77"/>
      <c r="C27" s="9"/>
      <c r="D27" s="79"/>
      <c r="E27" s="80"/>
      <c r="F27" s="17"/>
      <c r="G27" s="18"/>
      <c r="H27" s="34"/>
      <c r="I27" s="2"/>
    </row>
    <row r="28" spans="1:9">
      <c r="A28" s="1"/>
      <c r="B28" s="77"/>
      <c r="C28" s="9"/>
      <c r="D28" s="79"/>
      <c r="E28" s="80"/>
      <c r="F28" s="17"/>
      <c r="G28" s="18"/>
      <c r="H28" s="34"/>
      <c r="I28" s="2"/>
    </row>
    <row r="29" spans="1:9">
      <c r="A29" s="9"/>
      <c r="B29" s="59"/>
      <c r="C29" s="9" t="s">
        <v>49</v>
      </c>
      <c r="D29" s="29"/>
      <c r="E29" s="24"/>
      <c r="F29" s="17"/>
      <c r="G29" s="18"/>
      <c r="H29" s="87">
        <v>1112.6400000000001</v>
      </c>
      <c r="I29" s="103" t="s">
        <v>216</v>
      </c>
    </row>
    <row r="30" spans="1:9">
      <c r="A30" s="9"/>
      <c r="B30" s="59"/>
      <c r="C30" s="9" t="s">
        <v>50</v>
      </c>
      <c r="D30" s="29"/>
      <c r="E30" s="24"/>
      <c r="F30" s="17"/>
      <c r="G30" s="18"/>
      <c r="H30" s="34">
        <v>627.26</v>
      </c>
      <c r="I30" s="2" t="s">
        <v>395</v>
      </c>
    </row>
    <row r="31" spans="1:9">
      <c r="A31" s="9"/>
      <c r="B31" s="59"/>
      <c r="C31" s="9"/>
      <c r="D31" s="29"/>
      <c r="E31" s="24"/>
      <c r="F31" s="17"/>
      <c r="G31" s="18"/>
      <c r="H31" s="34">
        <v>219.11</v>
      </c>
      <c r="I31" s="2" t="s">
        <v>484</v>
      </c>
    </row>
    <row r="32" spans="1:9">
      <c r="A32" s="12" t="s">
        <v>4</v>
      </c>
      <c r="B32" s="10"/>
      <c r="C32" s="10"/>
      <c r="D32" s="31">
        <f>SUM(D24:D30)</f>
        <v>0</v>
      </c>
      <c r="E32" s="26"/>
      <c r="F32" s="20">
        <f>SUM(F24:F30)</f>
        <v>0</v>
      </c>
      <c r="G32" s="6"/>
      <c r="H32" s="36">
        <f>SUM(H24:H31)</f>
        <v>1959.0100000000002</v>
      </c>
      <c r="I32" s="2"/>
    </row>
    <row r="33" spans="1:9" ht="15.75" thickBot="1">
      <c r="A33" s="13" t="s">
        <v>5</v>
      </c>
      <c r="B33" s="39">
        <f>SUM(F32+D32+H32)</f>
        <v>1959.0100000000002</v>
      </c>
      <c r="C33" s="38"/>
      <c r="D33" s="32"/>
      <c r="E33" s="27"/>
      <c r="F33" s="21"/>
      <c r="G33" s="22"/>
      <c r="H33" s="37"/>
      <c r="I33" s="3"/>
    </row>
    <row r="34" spans="1:9">
      <c r="A34" s="9" t="s">
        <v>472</v>
      </c>
      <c r="B34" s="1" t="s">
        <v>476</v>
      </c>
      <c r="C34" s="9" t="s">
        <v>195</v>
      </c>
      <c r="D34" s="29"/>
      <c r="E34" s="24"/>
      <c r="F34" s="17"/>
      <c r="G34" s="18"/>
      <c r="H34" s="34"/>
      <c r="I34" s="6"/>
    </row>
    <row r="35" spans="1:9">
      <c r="A35" s="1"/>
      <c r="B35" s="10"/>
      <c r="C35" s="9"/>
      <c r="D35" s="29"/>
      <c r="E35" s="24"/>
      <c r="F35" s="17"/>
      <c r="G35" s="18"/>
      <c r="H35" s="34"/>
      <c r="I35" s="2"/>
    </row>
    <row r="36" spans="1:9">
      <c r="A36" s="1"/>
      <c r="B36" s="10"/>
      <c r="C36" s="9" t="s">
        <v>413</v>
      </c>
      <c r="D36" s="29"/>
      <c r="E36" s="24"/>
      <c r="F36" s="17"/>
      <c r="G36" s="18"/>
      <c r="H36" s="34"/>
      <c r="I36" s="2"/>
    </row>
    <row r="37" spans="1:9">
      <c r="A37" s="1"/>
      <c r="B37" s="10"/>
      <c r="C37" s="9"/>
      <c r="D37" s="29"/>
      <c r="E37" s="24"/>
      <c r="F37" s="17"/>
      <c r="G37" s="18"/>
      <c r="H37" s="34"/>
      <c r="I37" s="2"/>
    </row>
    <row r="38" spans="1:9">
      <c r="A38" s="1"/>
      <c r="B38" s="10"/>
      <c r="C38" s="9"/>
      <c r="D38" s="29"/>
      <c r="E38" s="24"/>
      <c r="F38" s="17"/>
      <c r="G38" s="18"/>
      <c r="H38" s="34"/>
      <c r="I38" s="2"/>
    </row>
    <row r="39" spans="1:9">
      <c r="A39" s="1"/>
      <c r="B39" s="10"/>
      <c r="C39" s="10"/>
      <c r="D39" s="29"/>
      <c r="E39" s="24"/>
      <c r="F39" s="17"/>
      <c r="G39" s="18"/>
      <c r="H39" s="34"/>
      <c r="I39" s="2"/>
    </row>
    <row r="40" spans="1:9">
      <c r="A40" s="9"/>
      <c r="B40" s="9"/>
      <c r="C40" s="9"/>
      <c r="D40" s="29"/>
      <c r="E40" s="24"/>
      <c r="F40" s="17"/>
      <c r="G40" s="18"/>
      <c r="H40" s="34"/>
      <c r="I40" s="2"/>
    </row>
    <row r="41" spans="1:9">
      <c r="A41" s="9"/>
      <c r="B41" s="9"/>
      <c r="C41" s="9"/>
      <c r="D41" s="29"/>
      <c r="E41" s="24"/>
      <c r="F41" s="17"/>
      <c r="G41" s="18"/>
      <c r="H41" s="34"/>
      <c r="I41" s="2"/>
    </row>
    <row r="42" spans="1:9">
      <c r="A42" s="9"/>
      <c r="B42" s="59"/>
      <c r="C42" s="9" t="s">
        <v>49</v>
      </c>
      <c r="D42" s="29"/>
      <c r="E42" s="24"/>
      <c r="F42" s="17"/>
      <c r="G42" s="18"/>
      <c r="H42" s="34">
        <v>3986.82</v>
      </c>
      <c r="I42" s="2" t="s">
        <v>537</v>
      </c>
    </row>
    <row r="43" spans="1:9">
      <c r="A43" s="9"/>
      <c r="B43" s="59"/>
      <c r="C43" s="9" t="s">
        <v>50</v>
      </c>
      <c r="D43" s="29"/>
      <c r="E43" s="24"/>
      <c r="F43" s="17"/>
      <c r="G43" s="18"/>
      <c r="H43" s="34">
        <v>726.83</v>
      </c>
      <c r="I43" s="2" t="s">
        <v>483</v>
      </c>
    </row>
    <row r="44" spans="1:9">
      <c r="A44" s="9"/>
      <c r="B44" s="59"/>
      <c r="C44" s="9"/>
      <c r="D44" s="29"/>
      <c r="E44" s="24"/>
      <c r="F44" s="17"/>
      <c r="G44" s="18"/>
      <c r="H44" s="34">
        <v>1778.56</v>
      </c>
      <c r="I44" s="2" t="s">
        <v>486</v>
      </c>
    </row>
    <row r="45" spans="1:9">
      <c r="A45" s="9"/>
      <c r="B45" s="59"/>
      <c r="C45" s="9"/>
      <c r="D45" s="29"/>
      <c r="E45" s="24"/>
      <c r="F45" s="17"/>
      <c r="G45" s="18"/>
      <c r="H45" s="34">
        <v>265.51</v>
      </c>
      <c r="I45" s="2" t="s">
        <v>488</v>
      </c>
    </row>
    <row r="46" spans="1:9">
      <c r="A46" s="12" t="s">
        <v>4</v>
      </c>
      <c r="B46" s="10"/>
      <c r="C46" s="10"/>
      <c r="D46" s="31">
        <f>SUM(D34:D43)</f>
        <v>0</v>
      </c>
      <c r="E46" s="26"/>
      <c r="F46" s="20">
        <f>SUM(F34:F43)</f>
        <v>0</v>
      </c>
      <c r="G46" s="6"/>
      <c r="H46" s="36">
        <f>SUM(H34:H44)</f>
        <v>6492.2100000000009</v>
      </c>
      <c r="I46" s="2"/>
    </row>
    <row r="47" spans="1:9" ht="15.75" thickBot="1">
      <c r="A47" s="13" t="s">
        <v>5</v>
      </c>
      <c r="B47" s="39">
        <f>SUM(F46+D46+H46)</f>
        <v>6492.2100000000009</v>
      </c>
      <c r="C47" s="38"/>
      <c r="D47" s="32"/>
      <c r="E47" s="27"/>
      <c r="F47" s="21"/>
      <c r="G47" s="22"/>
      <c r="H47" s="37"/>
      <c r="I47" s="3"/>
    </row>
    <row r="48" spans="1:9">
      <c r="A48" s="9" t="s">
        <v>473</v>
      </c>
      <c r="B48" s="10" t="s">
        <v>466</v>
      </c>
      <c r="C48" s="9" t="s">
        <v>15</v>
      </c>
      <c r="D48" s="28"/>
      <c r="E48" s="23"/>
      <c r="F48" s="15"/>
      <c r="G48" s="16"/>
      <c r="H48" s="33"/>
      <c r="I48" s="5"/>
    </row>
    <row r="49" spans="1:9">
      <c r="A49" s="9"/>
      <c r="B49" s="10"/>
      <c r="C49" s="9"/>
      <c r="D49" s="29"/>
      <c r="E49" s="24"/>
      <c r="F49" s="17"/>
      <c r="G49" s="18"/>
      <c r="H49" s="34"/>
      <c r="I49" s="6"/>
    </row>
    <row r="50" spans="1:9">
      <c r="A50" s="9" t="s">
        <v>474</v>
      </c>
      <c r="B50" s="10"/>
      <c r="C50" s="9" t="s">
        <v>26</v>
      </c>
      <c r="D50" s="29"/>
      <c r="E50" s="24"/>
      <c r="F50" s="17"/>
      <c r="G50" s="18"/>
      <c r="H50" s="34"/>
      <c r="I50" s="6"/>
    </row>
    <row r="51" spans="1:9">
      <c r="A51" s="9"/>
      <c r="B51" s="10"/>
      <c r="C51" s="10"/>
      <c r="D51" s="29"/>
      <c r="E51" s="24"/>
      <c r="F51" s="17"/>
      <c r="G51" s="18"/>
      <c r="H51" s="34"/>
      <c r="I51" s="6"/>
    </row>
    <row r="52" spans="1:9">
      <c r="A52" s="9" t="s">
        <v>475</v>
      </c>
      <c r="B52" s="10"/>
      <c r="C52" s="10" t="s">
        <v>22</v>
      </c>
      <c r="D52" s="29">
        <f>7.5+2.89+30.44+6.67</f>
        <v>47.5</v>
      </c>
      <c r="E52" s="24" t="s">
        <v>527</v>
      </c>
      <c r="F52" s="17">
        <f>24+19.4+22+73.45+4.7+25.8+5.5</f>
        <v>174.85000000000002</v>
      </c>
      <c r="G52" s="18" t="s">
        <v>531</v>
      </c>
      <c r="H52" s="34">
        <f>47.54+19.53+383.99</f>
        <v>451.06</v>
      </c>
      <c r="I52" s="6" t="s">
        <v>240</v>
      </c>
    </row>
    <row r="53" spans="1:9">
      <c r="A53" s="9"/>
      <c r="B53" s="9"/>
      <c r="C53" s="9"/>
      <c r="D53" s="29">
        <f>8.23+6.17+8.23+6.17</f>
        <v>28.800000000000004</v>
      </c>
      <c r="E53" s="24" t="s">
        <v>41</v>
      </c>
      <c r="F53" s="17"/>
      <c r="G53" s="18"/>
      <c r="H53" s="34">
        <f>409.44+343.84</f>
        <v>753.28</v>
      </c>
      <c r="I53" s="6" t="s">
        <v>188</v>
      </c>
    </row>
    <row r="54" spans="1:9">
      <c r="A54" s="9"/>
      <c r="B54" s="9"/>
      <c r="C54" s="9" t="s">
        <v>49</v>
      </c>
      <c r="D54" s="29"/>
      <c r="E54" s="24"/>
      <c r="F54" s="17"/>
      <c r="G54" s="18"/>
      <c r="H54" s="87">
        <v>2939.76</v>
      </c>
      <c r="I54" s="2" t="s">
        <v>539</v>
      </c>
    </row>
    <row r="55" spans="1:9">
      <c r="A55" s="9"/>
      <c r="B55" s="9"/>
      <c r="C55" s="9" t="s">
        <v>50</v>
      </c>
      <c r="D55" s="29"/>
      <c r="E55" s="24"/>
      <c r="F55" s="17"/>
      <c r="G55" s="18"/>
      <c r="H55" s="34">
        <v>804.75</v>
      </c>
      <c r="I55" s="2" t="s">
        <v>395</v>
      </c>
    </row>
    <row r="56" spans="1:9">
      <c r="A56" s="9"/>
      <c r="B56" s="59"/>
      <c r="C56" s="9"/>
      <c r="D56" s="29"/>
      <c r="E56" s="24"/>
      <c r="F56" s="17"/>
      <c r="G56" s="18"/>
      <c r="H56" s="34">
        <v>804.75</v>
      </c>
      <c r="I56" s="2" t="s">
        <v>132</v>
      </c>
    </row>
    <row r="57" spans="1:9">
      <c r="A57" s="9"/>
      <c r="B57" s="59"/>
      <c r="C57" s="9"/>
      <c r="D57" s="29"/>
      <c r="E57" s="24"/>
      <c r="F57" s="17"/>
      <c r="G57" s="18"/>
      <c r="H57" s="34">
        <f>386.56+647.31</f>
        <v>1033.8699999999999</v>
      </c>
      <c r="I57" s="2" t="s">
        <v>287</v>
      </c>
    </row>
    <row r="58" spans="1:9">
      <c r="A58" s="9"/>
      <c r="B58" s="59"/>
      <c r="C58" s="9"/>
      <c r="D58" s="29"/>
      <c r="E58" s="24"/>
      <c r="F58" s="17"/>
      <c r="G58" s="18"/>
      <c r="H58" s="34">
        <v>479.71</v>
      </c>
      <c r="I58" s="2" t="s">
        <v>489</v>
      </c>
    </row>
    <row r="59" spans="1:9">
      <c r="A59" s="12" t="s">
        <v>4</v>
      </c>
      <c r="B59" s="10"/>
      <c r="C59" s="10"/>
      <c r="D59" s="31">
        <f>SUM(D48:D57)</f>
        <v>76.300000000000011</v>
      </c>
      <c r="E59" s="26"/>
      <c r="F59" s="20">
        <f>SUM(F48:F57)</f>
        <v>174.85000000000002</v>
      </c>
      <c r="G59" s="6"/>
      <c r="H59" s="36">
        <f>SUM(H48:H58)</f>
        <v>7267.18</v>
      </c>
      <c r="I59" s="18"/>
    </row>
    <row r="60" spans="1:9" ht="15.75" thickBot="1">
      <c r="A60" s="13" t="s">
        <v>5</v>
      </c>
      <c r="B60" s="39">
        <f>SUM(F59+D59+H59)</f>
        <v>7518.33</v>
      </c>
      <c r="C60" s="38"/>
      <c r="D60" s="32"/>
      <c r="E60" s="27"/>
      <c r="F60" s="21"/>
      <c r="G60" s="22"/>
      <c r="H60" s="37"/>
      <c r="I60" s="2"/>
    </row>
    <row r="61" spans="1:9">
      <c r="A61" s="71">
        <v>41232</v>
      </c>
      <c r="B61" s="10" t="s">
        <v>317</v>
      </c>
      <c r="C61" s="9" t="s">
        <v>412</v>
      </c>
      <c r="D61" s="28"/>
      <c r="E61" s="23"/>
      <c r="F61" s="15"/>
      <c r="G61" s="16"/>
      <c r="H61" s="33"/>
      <c r="I61" s="5"/>
    </row>
    <row r="62" spans="1:9">
      <c r="A62" s="9"/>
      <c r="B62" s="10"/>
      <c r="C62" s="9"/>
      <c r="D62" s="29"/>
      <c r="E62" s="24"/>
      <c r="F62" s="17"/>
      <c r="G62" s="18"/>
      <c r="H62" s="34"/>
      <c r="I62" s="6"/>
    </row>
    <row r="63" spans="1:9">
      <c r="A63" s="9"/>
      <c r="B63" s="10"/>
      <c r="C63" s="9" t="s">
        <v>413</v>
      </c>
      <c r="D63" s="29">
        <f>27.9+29.37</f>
        <v>57.269999999999996</v>
      </c>
      <c r="E63" s="24" t="s">
        <v>407</v>
      </c>
      <c r="F63" s="17"/>
      <c r="G63" s="18"/>
      <c r="H63" s="34">
        <v>89.67</v>
      </c>
      <c r="I63" s="2" t="s">
        <v>174</v>
      </c>
    </row>
    <row r="64" spans="1:9">
      <c r="A64" s="9"/>
      <c r="B64" s="59"/>
      <c r="C64" s="9"/>
      <c r="D64" s="29">
        <f>3.72</f>
        <v>3.72</v>
      </c>
      <c r="E64" s="24" t="s">
        <v>41</v>
      </c>
      <c r="F64" s="17"/>
      <c r="G64" s="18"/>
      <c r="H64" s="34"/>
      <c r="I64" s="2"/>
    </row>
    <row r="65" spans="1:9">
      <c r="A65" s="9"/>
      <c r="B65" s="59"/>
      <c r="C65" s="9"/>
      <c r="D65" s="29"/>
      <c r="E65" s="24"/>
      <c r="F65" s="17"/>
      <c r="G65" s="18"/>
      <c r="H65" s="34"/>
      <c r="I65" s="2"/>
    </row>
    <row r="66" spans="1:9">
      <c r="A66" s="9"/>
      <c r="B66" s="59"/>
      <c r="C66" s="9"/>
      <c r="D66" s="29"/>
      <c r="E66" s="24"/>
      <c r="F66" s="17"/>
      <c r="G66" s="18"/>
      <c r="H66" s="34"/>
      <c r="I66" s="2"/>
    </row>
    <row r="67" spans="1:9">
      <c r="A67" s="9"/>
      <c r="B67" s="59"/>
      <c r="C67" s="9" t="s">
        <v>49</v>
      </c>
      <c r="D67" s="29"/>
      <c r="E67" s="24"/>
      <c r="F67" s="17"/>
      <c r="G67" s="18"/>
      <c r="H67" s="34">
        <v>1778.42</v>
      </c>
      <c r="I67" s="111" t="s">
        <v>538</v>
      </c>
    </row>
    <row r="68" spans="1:9">
      <c r="A68" s="9"/>
      <c r="B68" s="59"/>
      <c r="C68" s="9" t="s">
        <v>50</v>
      </c>
      <c r="D68" s="29"/>
      <c r="E68" s="24"/>
      <c r="F68" s="47"/>
      <c r="G68" s="48"/>
      <c r="H68" s="34">
        <f>2034.16+154</f>
        <v>2188.16</v>
      </c>
      <c r="I68" s="18" t="s">
        <v>487</v>
      </c>
    </row>
    <row r="69" spans="1:9">
      <c r="A69" s="9"/>
      <c r="B69" s="59"/>
      <c r="C69" s="9"/>
      <c r="D69" s="29"/>
      <c r="E69" s="24"/>
      <c r="F69" s="47"/>
      <c r="G69" s="48"/>
      <c r="H69" s="34"/>
      <c r="I69" s="18"/>
    </row>
    <row r="70" spans="1:9">
      <c r="A70" s="12" t="s">
        <v>4</v>
      </c>
      <c r="B70" s="10"/>
      <c r="C70" s="10"/>
      <c r="D70" s="31">
        <f>SUM(D61:D68)</f>
        <v>60.989999999999995</v>
      </c>
      <c r="E70" s="26"/>
      <c r="F70" s="20">
        <f>SUM(F61:F68)</f>
        <v>0</v>
      </c>
      <c r="G70" s="6"/>
      <c r="H70" s="36">
        <f>SUM(H61:H68)</f>
        <v>4056.25</v>
      </c>
      <c r="I70" s="18"/>
    </row>
    <row r="71" spans="1:9" ht="15.75" thickBot="1">
      <c r="A71" s="13" t="s">
        <v>5</v>
      </c>
      <c r="B71" s="39">
        <f>SUM(F70+D70+H70)</f>
        <v>4117.24</v>
      </c>
      <c r="C71" s="38"/>
      <c r="D71" s="32"/>
      <c r="E71" s="27"/>
      <c r="F71" s="21"/>
      <c r="G71" s="22"/>
      <c r="H71" s="37"/>
      <c r="I71" s="2"/>
    </row>
    <row r="72" spans="1:9">
      <c r="A72" s="71" t="s">
        <v>477</v>
      </c>
      <c r="B72" s="10" t="s">
        <v>311</v>
      </c>
      <c r="C72" s="9" t="s">
        <v>248</v>
      </c>
      <c r="D72" s="15">
        <v>6.07</v>
      </c>
      <c r="E72" s="16" t="s">
        <v>31</v>
      </c>
      <c r="F72" s="15">
        <f>9.2+1.1</f>
        <v>10.299999999999999</v>
      </c>
      <c r="G72" s="16" t="s">
        <v>31</v>
      </c>
      <c r="H72" s="28">
        <v>484</v>
      </c>
      <c r="I72" s="40" t="s">
        <v>188</v>
      </c>
    </row>
    <row r="73" spans="1:9">
      <c r="A73" s="9"/>
      <c r="B73" s="9"/>
      <c r="C73" s="10"/>
      <c r="D73" s="29"/>
      <c r="E73" s="24"/>
      <c r="F73" s="17">
        <v>9.4499999999999993</v>
      </c>
      <c r="G73" s="18" t="s">
        <v>72</v>
      </c>
      <c r="H73" s="29"/>
      <c r="I73" s="6"/>
    </row>
    <row r="74" spans="1:9">
      <c r="A74" s="9"/>
      <c r="B74" s="59"/>
      <c r="C74" s="9"/>
      <c r="D74" s="29"/>
      <c r="E74" s="24"/>
      <c r="F74" s="17">
        <v>20</v>
      </c>
      <c r="G74" s="18" t="s">
        <v>74</v>
      </c>
      <c r="H74" s="29"/>
      <c r="I74" s="6"/>
    </row>
    <row r="75" spans="1:9">
      <c r="A75" s="9"/>
      <c r="B75" s="59"/>
      <c r="C75" s="10"/>
      <c r="D75" s="29"/>
      <c r="E75" s="24"/>
      <c r="F75" s="17"/>
      <c r="G75" s="18"/>
      <c r="H75" s="29"/>
      <c r="I75" s="6"/>
    </row>
    <row r="76" spans="1:9">
      <c r="A76" s="9"/>
      <c r="B76" s="59"/>
      <c r="C76" s="9" t="s">
        <v>49</v>
      </c>
      <c r="D76" s="29"/>
      <c r="E76" s="24"/>
      <c r="F76" s="17"/>
      <c r="G76" s="18"/>
      <c r="H76" s="29">
        <v>850</v>
      </c>
      <c r="I76" s="6" t="s">
        <v>518</v>
      </c>
    </row>
    <row r="77" spans="1:9">
      <c r="A77" s="9"/>
      <c r="B77" s="59"/>
      <c r="C77" s="9" t="s">
        <v>50</v>
      </c>
      <c r="D77" s="29"/>
      <c r="E77" s="24"/>
      <c r="F77" s="17"/>
      <c r="G77" s="18"/>
      <c r="H77" s="29">
        <f>303.49+168</f>
        <v>471.49</v>
      </c>
      <c r="I77" s="2" t="s">
        <v>490</v>
      </c>
    </row>
    <row r="78" spans="1:9">
      <c r="A78" s="12" t="s">
        <v>4</v>
      </c>
      <c r="B78" s="10"/>
      <c r="C78" s="9"/>
      <c r="D78" s="31">
        <f>SUM(D72:D77)</f>
        <v>6.07</v>
      </c>
      <c r="E78" s="26"/>
      <c r="F78" s="20">
        <f>SUM(F72:F77)</f>
        <v>39.75</v>
      </c>
      <c r="G78" s="6"/>
      <c r="H78" s="31">
        <f>SUM(H72:H77)</f>
        <v>1805.49</v>
      </c>
      <c r="I78" s="18"/>
    </row>
    <row r="79" spans="1:9" ht="15.75" thickBot="1">
      <c r="A79" s="13" t="s">
        <v>5</v>
      </c>
      <c r="B79" s="39">
        <f>SUM(F78+D78+H78)</f>
        <v>1851.31</v>
      </c>
      <c r="C79" s="38"/>
      <c r="D79" s="32"/>
      <c r="E79" s="27"/>
      <c r="F79" s="21"/>
      <c r="G79" s="22"/>
      <c r="H79" s="68"/>
      <c r="I79" s="3"/>
    </row>
    <row r="80" spans="1:9">
      <c r="A80" s="71" t="s">
        <v>477</v>
      </c>
      <c r="B80" s="10" t="s">
        <v>314</v>
      </c>
      <c r="C80" s="9" t="s">
        <v>247</v>
      </c>
      <c r="D80" s="15">
        <f>113.95+69.14+72.4+42.1+3.98</f>
        <v>301.57000000000005</v>
      </c>
      <c r="E80" s="110" t="s">
        <v>527</v>
      </c>
      <c r="F80" s="15">
        <f>13.1</f>
        <v>13.1</v>
      </c>
      <c r="G80" s="16" t="s">
        <v>110</v>
      </c>
      <c r="H80" s="28">
        <v>226.32</v>
      </c>
      <c r="I80" s="5" t="s">
        <v>188</v>
      </c>
    </row>
    <row r="81" spans="1:9">
      <c r="A81" s="9"/>
      <c r="B81" s="9"/>
      <c r="C81" s="10"/>
      <c r="D81" s="29">
        <f>8.14+8.88+35.87</f>
        <v>52.89</v>
      </c>
      <c r="E81" s="24" t="s">
        <v>41</v>
      </c>
      <c r="F81" s="17"/>
      <c r="G81" s="18"/>
      <c r="H81" s="29"/>
      <c r="I81" s="6"/>
    </row>
    <row r="82" spans="1:9">
      <c r="A82" s="9"/>
      <c r="B82" s="59"/>
      <c r="C82" s="9" t="s">
        <v>463</v>
      </c>
      <c r="D82" s="29"/>
      <c r="E82" s="24"/>
      <c r="F82" s="17"/>
      <c r="G82" s="18"/>
      <c r="H82" s="29"/>
      <c r="I82" s="6"/>
    </row>
    <row r="83" spans="1:9">
      <c r="A83" s="9"/>
      <c r="B83" s="59"/>
      <c r="C83" s="10"/>
      <c r="D83" s="29"/>
      <c r="E83" s="24"/>
      <c r="F83" s="17"/>
      <c r="G83" s="18"/>
      <c r="H83" s="29"/>
      <c r="I83" s="2"/>
    </row>
    <row r="84" spans="1:9">
      <c r="A84" s="9"/>
      <c r="B84" s="59"/>
      <c r="C84" s="9" t="s">
        <v>49</v>
      </c>
      <c r="D84" s="29"/>
      <c r="E84" s="24"/>
      <c r="F84" s="17"/>
      <c r="G84" s="18"/>
      <c r="H84" s="29">
        <v>1273.01</v>
      </c>
      <c r="I84" s="2" t="s">
        <v>538</v>
      </c>
    </row>
    <row r="85" spans="1:9">
      <c r="A85" s="9"/>
      <c r="B85" s="59"/>
      <c r="C85" s="9" t="s">
        <v>50</v>
      </c>
      <c r="D85" s="29"/>
      <c r="E85" s="24"/>
      <c r="F85" s="17"/>
      <c r="G85" s="18"/>
      <c r="H85" s="29">
        <v>4454.28</v>
      </c>
      <c r="I85" s="2" t="s">
        <v>491</v>
      </c>
    </row>
    <row r="86" spans="1:9">
      <c r="A86" s="12" t="s">
        <v>4</v>
      </c>
      <c r="B86" s="10"/>
      <c r="C86" s="10"/>
      <c r="D86" s="31">
        <f>SUM(D80:D85)</f>
        <v>354.46000000000004</v>
      </c>
      <c r="E86" s="26"/>
      <c r="F86" s="20">
        <f>SUM(F80:F85)</f>
        <v>13.1</v>
      </c>
      <c r="G86" s="6"/>
      <c r="H86" s="31">
        <f>SUM(H80:H85)</f>
        <v>5953.61</v>
      </c>
      <c r="I86" s="18"/>
    </row>
    <row r="87" spans="1:9" ht="15.75" thickBot="1">
      <c r="A87" s="13" t="s">
        <v>5</v>
      </c>
      <c r="B87" s="39">
        <f>SUM(F86+D86+H86)</f>
        <v>6321.17</v>
      </c>
      <c r="C87" s="38"/>
      <c r="D87" s="32"/>
      <c r="E87" s="27"/>
      <c r="F87" s="21"/>
      <c r="G87" s="22"/>
      <c r="H87" s="68"/>
      <c r="I87" s="3"/>
    </row>
    <row r="88" spans="1:9">
      <c r="A88" s="71" t="s">
        <v>478</v>
      </c>
      <c r="B88" s="10" t="s">
        <v>468</v>
      </c>
      <c r="C88" s="9" t="s">
        <v>467</v>
      </c>
      <c r="D88" s="104"/>
      <c r="E88" s="104"/>
      <c r="F88" s="15"/>
      <c r="G88" s="16"/>
      <c r="H88" s="28"/>
      <c r="I88" s="5"/>
    </row>
    <row r="89" spans="1:9">
      <c r="A89" s="9"/>
      <c r="B89" s="9" t="s">
        <v>468</v>
      </c>
      <c r="C89" s="10"/>
      <c r="D89" s="104"/>
      <c r="E89" s="104"/>
      <c r="F89" s="17"/>
      <c r="G89" s="70"/>
      <c r="H89" s="29"/>
      <c r="I89" s="6"/>
    </row>
    <row r="90" spans="1:9">
      <c r="A90" s="9"/>
      <c r="B90" s="59"/>
      <c r="C90" s="9" t="s">
        <v>465</v>
      </c>
      <c r="D90" s="29"/>
      <c r="E90" s="24"/>
      <c r="F90" s="17"/>
      <c r="G90" s="70"/>
      <c r="H90" s="29"/>
      <c r="I90" s="6"/>
    </row>
    <row r="91" spans="1:9">
      <c r="A91" s="71"/>
      <c r="B91" s="10"/>
      <c r="C91" s="9"/>
      <c r="D91" s="29"/>
      <c r="E91" s="24"/>
      <c r="F91" s="17"/>
      <c r="G91" s="70"/>
      <c r="H91" s="29"/>
      <c r="I91" s="6"/>
    </row>
    <row r="92" spans="1:9">
      <c r="A92" s="9"/>
      <c r="B92" s="59"/>
      <c r="C92" s="10"/>
      <c r="D92" s="29"/>
      <c r="E92" s="24"/>
      <c r="F92" s="17"/>
      <c r="G92" s="70"/>
      <c r="H92" s="29"/>
      <c r="I92" s="6"/>
    </row>
    <row r="93" spans="1:9">
      <c r="A93" s="9"/>
      <c r="B93" s="59"/>
      <c r="C93" s="9" t="s">
        <v>49</v>
      </c>
      <c r="D93" s="29"/>
      <c r="E93" s="24"/>
      <c r="F93" s="17"/>
      <c r="G93" s="18"/>
      <c r="H93" s="29">
        <v>1068.83</v>
      </c>
      <c r="I93" s="2" t="s">
        <v>518</v>
      </c>
    </row>
    <row r="94" spans="1:9">
      <c r="A94" s="9"/>
      <c r="B94" s="59"/>
      <c r="C94" s="9" t="s">
        <v>50</v>
      </c>
      <c r="D94" s="29"/>
      <c r="E94" s="24"/>
      <c r="F94" s="17"/>
      <c r="G94" s="18"/>
      <c r="H94" s="29">
        <v>4074.1</v>
      </c>
      <c r="I94" s="2" t="s">
        <v>487</v>
      </c>
    </row>
    <row r="95" spans="1:9">
      <c r="A95" s="12" t="s">
        <v>4</v>
      </c>
      <c r="B95" s="10"/>
      <c r="C95" s="9"/>
      <c r="D95" s="31">
        <f>SUM(D88:D94)</f>
        <v>0</v>
      </c>
      <c r="E95" s="26"/>
      <c r="F95" s="20">
        <f>SUM(F88:F94)</f>
        <v>0</v>
      </c>
      <c r="G95" s="6"/>
      <c r="H95" s="31">
        <f>SUM(H88:H94)</f>
        <v>5142.93</v>
      </c>
      <c r="I95" s="18"/>
    </row>
    <row r="96" spans="1:9" ht="15.75" thickBot="1">
      <c r="A96" s="13" t="s">
        <v>5</v>
      </c>
      <c r="B96" s="39">
        <f>SUM(F95+D95+H95)</f>
        <v>5142.93</v>
      </c>
      <c r="C96" s="38"/>
      <c r="D96" s="32"/>
      <c r="E96" s="27"/>
      <c r="F96" s="21"/>
      <c r="G96" s="22"/>
      <c r="H96" s="68"/>
      <c r="I96" s="3"/>
    </row>
    <row r="97" spans="1:9">
      <c r="A97" s="71" t="s">
        <v>479</v>
      </c>
      <c r="B97" s="10" t="s">
        <v>482</v>
      </c>
      <c r="C97" s="9" t="s">
        <v>464</v>
      </c>
      <c r="D97" s="15">
        <f>3.6+5.1+4.89+6.31+4.07+4.7+5.32+60.53+4.5+4.12+4.12+6.38+5.15+3.91+5.16+5.16</f>
        <v>133.02000000000001</v>
      </c>
      <c r="E97" s="110" t="s">
        <v>534</v>
      </c>
      <c r="F97" s="15">
        <f>15+11</f>
        <v>26</v>
      </c>
      <c r="G97" s="16" t="s">
        <v>532</v>
      </c>
      <c r="H97" s="28"/>
      <c r="I97" s="5"/>
    </row>
    <row r="98" spans="1:9">
      <c r="A98" s="9"/>
      <c r="B98" s="9"/>
      <c r="C98" s="10"/>
      <c r="D98" s="104"/>
      <c r="E98" s="104"/>
      <c r="F98" s="17"/>
      <c r="G98" s="18"/>
      <c r="H98" s="29"/>
      <c r="I98" s="6"/>
    </row>
    <row r="99" spans="1:9">
      <c r="A99" s="9"/>
      <c r="B99" s="59"/>
      <c r="C99" s="9"/>
      <c r="D99" s="29"/>
      <c r="E99" s="24"/>
      <c r="F99" s="17"/>
      <c r="G99" s="18"/>
      <c r="H99" s="29"/>
      <c r="I99" s="6"/>
    </row>
    <row r="100" spans="1:9">
      <c r="A100" s="71"/>
      <c r="B100" s="10"/>
      <c r="C100" s="9"/>
      <c r="D100" s="29"/>
      <c r="E100" s="24"/>
      <c r="F100" s="17"/>
      <c r="G100" s="18"/>
      <c r="H100" s="29"/>
      <c r="I100" s="6"/>
    </row>
    <row r="101" spans="1:9">
      <c r="A101" s="71"/>
      <c r="B101" s="10"/>
      <c r="C101" s="9" t="s">
        <v>49</v>
      </c>
      <c r="D101" s="104"/>
      <c r="E101" s="104"/>
      <c r="F101" s="17"/>
      <c r="G101" s="18"/>
      <c r="H101" s="29">
        <v>2185.29</v>
      </c>
      <c r="I101" s="2" t="s">
        <v>538</v>
      </c>
    </row>
    <row r="102" spans="1:9">
      <c r="A102" s="9"/>
      <c r="B102" s="9"/>
      <c r="C102" s="10" t="s">
        <v>50</v>
      </c>
      <c r="D102" s="29"/>
      <c r="E102" s="24"/>
      <c r="F102" s="17"/>
      <c r="G102" s="18"/>
      <c r="H102" s="29">
        <v>503.59</v>
      </c>
      <c r="I102" s="2" t="s">
        <v>483</v>
      </c>
    </row>
    <row r="103" spans="1:9">
      <c r="A103" s="9"/>
      <c r="B103" s="9"/>
      <c r="C103" s="10"/>
      <c r="D103" s="29"/>
      <c r="E103" s="24"/>
      <c r="F103" s="17"/>
      <c r="G103" s="18"/>
      <c r="H103" s="29">
        <v>226.3</v>
      </c>
      <c r="I103" s="2" t="s">
        <v>488</v>
      </c>
    </row>
    <row r="104" spans="1:9">
      <c r="A104" s="12" t="s">
        <v>4</v>
      </c>
      <c r="B104" s="10"/>
      <c r="C104" s="10"/>
      <c r="D104" s="31">
        <f>SUM(D97:D102)</f>
        <v>133.02000000000001</v>
      </c>
      <c r="E104" s="26"/>
      <c r="F104" s="20">
        <f>SUM(F97:F102)</f>
        <v>26</v>
      </c>
      <c r="G104" s="6"/>
      <c r="H104" s="31">
        <f>SUM(H97:H102)</f>
        <v>2688.88</v>
      </c>
      <c r="I104" s="18"/>
    </row>
    <row r="105" spans="1:9" ht="15.75" thickBot="1">
      <c r="A105" s="13" t="s">
        <v>5</v>
      </c>
      <c r="B105" s="39">
        <f>SUM(F104+D104+H104)</f>
        <v>2847.9</v>
      </c>
      <c r="C105" s="38"/>
      <c r="D105" s="32"/>
      <c r="E105" s="27"/>
      <c r="F105" s="21"/>
      <c r="G105" s="22"/>
      <c r="H105" s="68"/>
      <c r="I105" s="3"/>
    </row>
    <row r="106" spans="1:9">
      <c r="A106" s="59"/>
      <c r="B106" s="60"/>
      <c r="C106" s="60"/>
      <c r="E106" s="62"/>
      <c r="F106" s="61"/>
    </row>
    <row r="107" spans="1:9" ht="15.75" thickBot="1"/>
    <row r="108" spans="1:9" ht="20.25" thickBot="1">
      <c r="A108" s="51" t="s">
        <v>191</v>
      </c>
      <c r="B108" s="52">
        <f>SUM(B13+B23+B33+B47+B60+B71+B79+B87+B96+B105)</f>
        <v>42646.390000000007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B4" sqref="B4"/>
    </sheetView>
  </sheetViews>
  <sheetFormatPr defaultRowHeight="15"/>
  <cols>
    <col min="1" max="1" width="24.85546875" customWidth="1"/>
    <col min="2" max="2" width="22.85546875" customWidth="1"/>
    <col min="3" max="3" width="22.7109375" customWidth="1"/>
    <col min="4" max="4" width="20.140625" customWidth="1"/>
    <col min="5" max="5" width="18.85546875" customWidth="1"/>
    <col min="6" max="6" width="17.85546875" customWidth="1"/>
    <col min="7" max="7" width="22" customWidth="1"/>
    <col min="8" max="8" width="20" customWidth="1"/>
    <col min="9" max="9" width="35.5703125" customWidth="1"/>
  </cols>
  <sheetData>
    <row r="1" spans="1:9" ht="15.75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9">
      <c r="A2" s="8" t="s">
        <v>503</v>
      </c>
      <c r="B2" s="8" t="s">
        <v>498</v>
      </c>
      <c r="C2" s="8" t="s">
        <v>97</v>
      </c>
      <c r="D2" s="28">
        <f>12.27+17.85+25.84+8.36</f>
        <v>64.319999999999993</v>
      </c>
      <c r="E2" s="85" t="s">
        <v>526</v>
      </c>
      <c r="F2" s="15"/>
      <c r="G2" s="40"/>
      <c r="H2" s="33">
        <v>228.69</v>
      </c>
      <c r="I2" s="5" t="s">
        <v>174</v>
      </c>
    </row>
    <row r="3" spans="1:9">
      <c r="A3" s="10"/>
      <c r="B3" s="105"/>
      <c r="C3" s="9"/>
      <c r="D3" s="29">
        <f>24.1</f>
        <v>24.1</v>
      </c>
      <c r="E3" s="24" t="s">
        <v>41</v>
      </c>
      <c r="F3" s="17"/>
      <c r="G3" s="18"/>
      <c r="H3" s="34"/>
      <c r="I3" s="6"/>
    </row>
    <row r="4" spans="1:9">
      <c r="A4" s="9"/>
      <c r="B4" s="9"/>
      <c r="C4" s="10"/>
      <c r="D4" s="29">
        <v>5.97</v>
      </c>
      <c r="E4" s="24" t="s">
        <v>72</v>
      </c>
      <c r="F4" s="17"/>
      <c r="G4" s="18"/>
      <c r="H4" s="64"/>
      <c r="I4" s="2"/>
    </row>
    <row r="5" spans="1:9">
      <c r="A5" s="10"/>
      <c r="B5" s="14"/>
      <c r="C5" s="9"/>
      <c r="D5" s="30"/>
      <c r="E5" s="25"/>
      <c r="F5" s="47"/>
      <c r="G5" s="86"/>
      <c r="H5" s="34"/>
      <c r="I5" s="6"/>
    </row>
    <row r="6" spans="1:9">
      <c r="A6" s="10"/>
      <c r="B6" s="14"/>
      <c r="C6" s="9" t="s">
        <v>49</v>
      </c>
      <c r="D6" s="30"/>
      <c r="E6" s="25"/>
      <c r="F6" s="19"/>
      <c r="G6" s="6"/>
      <c r="H6" s="34"/>
      <c r="I6" s="6" t="s">
        <v>542</v>
      </c>
    </row>
    <row r="7" spans="1:9">
      <c r="A7" s="10"/>
      <c r="B7" s="14"/>
      <c r="C7" s="9" t="s">
        <v>50</v>
      </c>
      <c r="D7" s="30"/>
      <c r="E7" s="25"/>
      <c r="F7" s="19"/>
      <c r="G7" s="6"/>
      <c r="H7" s="34">
        <v>185.32</v>
      </c>
      <c r="I7" s="6" t="s">
        <v>164</v>
      </c>
    </row>
    <row r="8" spans="1:9">
      <c r="A8" s="10"/>
      <c r="B8" s="14"/>
      <c r="C8" s="9"/>
      <c r="D8" s="30"/>
      <c r="E8" s="25"/>
      <c r="F8" s="19"/>
      <c r="G8" s="6"/>
      <c r="H8" s="34"/>
      <c r="I8" s="6"/>
    </row>
    <row r="9" spans="1:9">
      <c r="A9" s="12" t="s">
        <v>4</v>
      </c>
      <c r="B9" s="10"/>
      <c r="C9" s="9"/>
      <c r="D9" s="20">
        <f>SUM(D2:D7)</f>
        <v>94.389999999999986</v>
      </c>
      <c r="E9" s="26"/>
      <c r="F9" s="20">
        <f>SUM(F2:F7)</f>
        <v>0</v>
      </c>
      <c r="G9" s="6"/>
      <c r="H9" s="20">
        <f>SUM(H2:H8)</f>
        <v>414.01</v>
      </c>
      <c r="I9" s="2"/>
    </row>
    <row r="10" spans="1:9" ht="15.75" thickBot="1">
      <c r="A10" s="13" t="s">
        <v>5</v>
      </c>
      <c r="B10" s="39">
        <f>SUM(F9+D9+H9)</f>
        <v>508.4</v>
      </c>
      <c r="C10" s="38"/>
      <c r="D10" s="32"/>
      <c r="E10" s="27"/>
      <c r="F10" s="21"/>
      <c r="G10" s="22"/>
      <c r="H10" s="37"/>
      <c r="I10" s="3"/>
    </row>
    <row r="11" spans="1:9">
      <c r="A11" s="9" t="s">
        <v>502</v>
      </c>
      <c r="B11" s="1" t="s">
        <v>258</v>
      </c>
      <c r="C11" s="9" t="s">
        <v>8</v>
      </c>
      <c r="D11" s="28"/>
      <c r="E11" s="24"/>
      <c r="F11" s="15"/>
      <c r="G11" s="16"/>
      <c r="H11" s="33"/>
      <c r="I11" s="5"/>
    </row>
    <row r="12" spans="1:9">
      <c r="A12" s="9"/>
      <c r="B12" s="1"/>
      <c r="C12" s="10"/>
      <c r="D12" s="29"/>
      <c r="E12" s="24"/>
      <c r="F12" s="17"/>
      <c r="G12" s="18"/>
      <c r="H12" s="34"/>
      <c r="I12" s="6"/>
    </row>
    <row r="13" spans="1:9">
      <c r="A13" s="9"/>
      <c r="B13" s="1"/>
      <c r="C13" s="113" t="s">
        <v>413</v>
      </c>
      <c r="D13" s="29"/>
      <c r="E13" s="24"/>
      <c r="F13" s="17"/>
      <c r="G13" s="18"/>
      <c r="H13" s="34"/>
      <c r="I13" s="6"/>
    </row>
    <row r="14" spans="1:9">
      <c r="A14" s="9"/>
      <c r="B14" s="1"/>
      <c r="C14" s="10"/>
      <c r="D14" s="29"/>
      <c r="E14" s="24"/>
      <c r="F14" s="17"/>
      <c r="G14" s="18"/>
      <c r="H14" s="34"/>
      <c r="I14" s="6"/>
    </row>
    <row r="15" spans="1:9">
      <c r="A15" s="9"/>
      <c r="B15" s="1"/>
      <c r="C15" s="10"/>
      <c r="D15" s="29"/>
      <c r="E15" s="24"/>
      <c r="F15" s="17"/>
      <c r="G15" s="18"/>
      <c r="H15" s="34"/>
      <c r="I15" s="6"/>
    </row>
    <row r="16" spans="1:9">
      <c r="A16" s="9"/>
      <c r="B16" s="59"/>
      <c r="C16" s="9" t="s">
        <v>49</v>
      </c>
      <c r="D16" s="29"/>
      <c r="E16" s="24"/>
      <c r="F16" s="47"/>
      <c r="G16" s="48"/>
      <c r="H16" s="87"/>
      <c r="I16" s="6"/>
    </row>
    <row r="17" spans="1:9">
      <c r="A17" s="9"/>
      <c r="B17" s="59"/>
      <c r="C17" s="69" t="s">
        <v>50</v>
      </c>
      <c r="D17" s="29"/>
      <c r="E17" s="24"/>
      <c r="F17" s="47"/>
      <c r="G17" s="48"/>
      <c r="H17" s="34">
        <f>76.28+124.09+1476.65</f>
        <v>1677.02</v>
      </c>
      <c r="I17" s="6" t="s">
        <v>544</v>
      </c>
    </row>
    <row r="18" spans="1:9">
      <c r="A18" s="12" t="s">
        <v>4</v>
      </c>
      <c r="B18" s="10"/>
      <c r="C18" s="10"/>
      <c r="D18" s="31">
        <f>SUM(D11:D17)</f>
        <v>0</v>
      </c>
      <c r="E18" s="26"/>
      <c r="F18" s="20">
        <f>SUM(F11:F17)</f>
        <v>0</v>
      </c>
      <c r="G18" s="6"/>
      <c r="H18" s="36">
        <f>SUM(H11:H17)</f>
        <v>1677.02</v>
      </c>
      <c r="I18" s="2"/>
    </row>
    <row r="19" spans="1:9" ht="15.75" thickBot="1">
      <c r="A19" s="13" t="s">
        <v>5</v>
      </c>
      <c r="B19" s="39">
        <f>SUM(F18+D18+H18)</f>
        <v>1677.02</v>
      </c>
      <c r="C19" s="38"/>
      <c r="D19" s="32"/>
      <c r="E19" s="27"/>
      <c r="F19" s="21"/>
      <c r="G19" s="22"/>
      <c r="H19" s="37"/>
      <c r="I19" s="3"/>
    </row>
    <row r="20" spans="1:9">
      <c r="A20" s="59" t="s">
        <v>504</v>
      </c>
      <c r="B20" s="11" t="s">
        <v>499</v>
      </c>
      <c r="C20" s="108" t="s">
        <v>506</v>
      </c>
      <c r="D20" s="90">
        <f>27.12+35.73</f>
        <v>62.849999999999994</v>
      </c>
      <c r="E20" s="91" t="s">
        <v>456</v>
      </c>
      <c r="F20" s="90">
        <f>8.67*2</f>
        <v>17.34</v>
      </c>
      <c r="G20" s="91" t="s">
        <v>35</v>
      </c>
      <c r="H20" s="87">
        <v>490.35</v>
      </c>
      <c r="I20" s="103" t="s">
        <v>188</v>
      </c>
    </row>
    <row r="21" spans="1:9">
      <c r="A21" s="59"/>
      <c r="B21" s="10"/>
      <c r="C21" s="60"/>
      <c r="D21" s="90">
        <f>52.14</f>
        <v>52.14</v>
      </c>
      <c r="E21" s="91" t="s">
        <v>386</v>
      </c>
      <c r="F21" s="90">
        <f>45.8+2.7</f>
        <v>48.5</v>
      </c>
      <c r="G21" s="91" t="s">
        <v>381</v>
      </c>
      <c r="H21" s="87"/>
      <c r="I21" s="103"/>
    </row>
    <row r="22" spans="1:9">
      <c r="A22" s="59"/>
      <c r="B22" s="10"/>
      <c r="C22" s="60" t="s">
        <v>507</v>
      </c>
      <c r="D22" s="90">
        <f>15.17+89.12</f>
        <v>104.29</v>
      </c>
      <c r="E22" s="91" t="s">
        <v>407</v>
      </c>
      <c r="F22" s="90">
        <f>23.9+14+11+22</f>
        <v>70.900000000000006</v>
      </c>
      <c r="G22" s="91" t="s">
        <v>532</v>
      </c>
      <c r="H22" s="87">
        <v>159.16999999999999</v>
      </c>
      <c r="I22" s="103" t="s">
        <v>240</v>
      </c>
    </row>
    <row r="23" spans="1:9">
      <c r="A23" s="59"/>
      <c r="B23" s="10"/>
      <c r="C23" s="60"/>
      <c r="D23" s="90"/>
      <c r="E23" s="91"/>
      <c r="F23" s="90">
        <v>40.29</v>
      </c>
      <c r="G23" s="91" t="s">
        <v>533</v>
      </c>
      <c r="H23" s="87"/>
      <c r="I23" s="103"/>
    </row>
    <row r="24" spans="1:9">
      <c r="A24" s="59"/>
      <c r="B24" s="10"/>
      <c r="C24" s="60" t="s">
        <v>9</v>
      </c>
      <c r="D24" s="90">
        <f>64.53</f>
        <v>64.53</v>
      </c>
      <c r="E24" s="91" t="s">
        <v>386</v>
      </c>
      <c r="F24" s="90"/>
      <c r="G24" s="91"/>
      <c r="H24" s="87">
        <v>64.28</v>
      </c>
      <c r="I24" s="103" t="s">
        <v>240</v>
      </c>
    </row>
    <row r="25" spans="1:9">
      <c r="A25" s="59"/>
      <c r="B25" s="10"/>
      <c r="C25" s="60" t="s">
        <v>508</v>
      </c>
      <c r="D25" s="90">
        <f>8.85+8.51+10.01+7+7+5+8.78+6.78+10.36+7.58+6.95+4.52</f>
        <v>91.339999999999989</v>
      </c>
      <c r="E25" s="91" t="s">
        <v>532</v>
      </c>
      <c r="F25" s="90">
        <f>15+11+17</f>
        <v>43</v>
      </c>
      <c r="G25" s="91" t="s">
        <v>532</v>
      </c>
      <c r="H25" s="87">
        <v>215.72</v>
      </c>
      <c r="I25" s="103" t="s">
        <v>240</v>
      </c>
    </row>
    <row r="26" spans="1:9">
      <c r="A26" s="59"/>
      <c r="B26" s="10"/>
      <c r="C26" s="60"/>
      <c r="D26" s="90"/>
      <c r="E26" s="91"/>
      <c r="F26" s="90">
        <f>7.95+5.7</f>
        <v>13.65</v>
      </c>
      <c r="G26" s="91" t="s">
        <v>527</v>
      </c>
      <c r="H26" s="87"/>
      <c r="I26" s="103"/>
    </row>
    <row r="27" spans="1:9">
      <c r="A27" s="59"/>
      <c r="B27" s="10"/>
      <c r="C27" s="60" t="s">
        <v>412</v>
      </c>
      <c r="D27" s="90"/>
      <c r="E27" s="91"/>
      <c r="F27" s="90"/>
      <c r="G27" s="91"/>
      <c r="H27" s="87"/>
      <c r="I27" s="103"/>
    </row>
    <row r="28" spans="1:9">
      <c r="A28" s="59"/>
      <c r="B28" s="9"/>
      <c r="C28" s="60" t="s">
        <v>413</v>
      </c>
      <c r="D28" s="72"/>
      <c r="E28" s="73"/>
      <c r="F28" s="72"/>
      <c r="G28" s="73"/>
      <c r="H28" s="74"/>
      <c r="I28" s="75"/>
    </row>
    <row r="29" spans="1:9">
      <c r="A29" s="59" t="s">
        <v>505</v>
      </c>
      <c r="B29" s="10"/>
      <c r="C29" s="60" t="s">
        <v>509</v>
      </c>
      <c r="D29" s="90">
        <f>1.86+8.59</f>
        <v>10.45</v>
      </c>
      <c r="E29" s="91" t="s">
        <v>72</v>
      </c>
      <c r="F29" s="72"/>
      <c r="G29" s="73"/>
      <c r="H29" s="87">
        <f>21.67+693.23</f>
        <v>714.9</v>
      </c>
      <c r="I29" s="103" t="s">
        <v>188</v>
      </c>
    </row>
    <row r="30" spans="1:9">
      <c r="A30" s="1" t="s">
        <v>505</v>
      </c>
      <c r="B30" s="10"/>
      <c r="C30" s="60" t="s">
        <v>510</v>
      </c>
      <c r="D30" s="72"/>
      <c r="E30" s="73"/>
      <c r="F30" s="72"/>
      <c r="G30" s="73"/>
      <c r="H30" s="34"/>
      <c r="I30" s="2"/>
    </row>
    <row r="31" spans="1:9">
      <c r="A31" s="1"/>
      <c r="B31" s="10"/>
      <c r="C31" s="18"/>
      <c r="D31" s="29"/>
      <c r="E31" s="24"/>
      <c r="F31" s="72"/>
      <c r="G31" s="73"/>
      <c r="H31" s="34"/>
      <c r="I31" s="2"/>
    </row>
    <row r="32" spans="1:9">
      <c r="A32" s="1"/>
      <c r="B32" s="10"/>
      <c r="C32" s="18"/>
      <c r="D32" s="79"/>
      <c r="E32" s="80"/>
      <c r="F32" s="17"/>
      <c r="G32" s="18"/>
      <c r="H32" s="34"/>
      <c r="I32" s="2"/>
    </row>
    <row r="33" spans="1:9">
      <c r="A33" s="1"/>
      <c r="B33" s="9"/>
      <c r="C33" s="18"/>
      <c r="D33" s="79"/>
      <c r="E33" s="80"/>
      <c r="F33" s="17"/>
      <c r="G33" s="18"/>
      <c r="H33" s="34"/>
      <c r="I33" s="2"/>
    </row>
    <row r="34" spans="1:9">
      <c r="A34" s="59"/>
      <c r="B34" s="9"/>
      <c r="C34" s="18" t="s">
        <v>49</v>
      </c>
      <c r="D34" s="29"/>
      <c r="E34" s="24"/>
      <c r="F34" s="17"/>
      <c r="G34" s="18"/>
      <c r="H34" s="87">
        <v>898.56</v>
      </c>
      <c r="I34" s="103" t="s">
        <v>540</v>
      </c>
    </row>
    <row r="35" spans="1:9" ht="30">
      <c r="A35" s="59"/>
      <c r="B35" s="9"/>
      <c r="C35" s="18"/>
      <c r="D35" s="29"/>
      <c r="E35" s="24"/>
      <c r="F35" s="17"/>
      <c r="G35" s="18"/>
      <c r="H35" s="34">
        <v>4479.0200000000004</v>
      </c>
      <c r="I35" s="112" t="s">
        <v>541</v>
      </c>
    </row>
    <row r="36" spans="1:9">
      <c r="A36" s="59"/>
      <c r="B36" s="9"/>
      <c r="C36" s="18" t="s">
        <v>50</v>
      </c>
      <c r="D36" s="29"/>
      <c r="E36" s="24"/>
      <c r="F36" s="17"/>
      <c r="G36" s="18"/>
      <c r="H36" s="34">
        <f>5562.44</f>
        <v>5562.44</v>
      </c>
      <c r="I36" s="2" t="s">
        <v>543</v>
      </c>
    </row>
    <row r="37" spans="1:9">
      <c r="A37" s="59"/>
      <c r="B37" s="9"/>
      <c r="C37" s="18"/>
      <c r="D37" s="29"/>
      <c r="E37" s="24"/>
      <c r="F37" s="17"/>
      <c r="G37" s="18"/>
      <c r="H37" s="34">
        <f>1288.41+3388.23</f>
        <v>4676.6400000000003</v>
      </c>
      <c r="I37" s="2" t="s">
        <v>545</v>
      </c>
    </row>
    <row r="38" spans="1:9">
      <c r="A38" s="59"/>
      <c r="B38" s="9"/>
      <c r="C38" s="18"/>
      <c r="D38" s="29"/>
      <c r="E38" s="24"/>
      <c r="F38" s="17"/>
      <c r="G38" s="18"/>
      <c r="H38" s="34">
        <f>367.14</f>
        <v>367.14</v>
      </c>
      <c r="I38" s="2" t="s">
        <v>546</v>
      </c>
    </row>
    <row r="39" spans="1:9">
      <c r="A39" s="59"/>
      <c r="B39" s="9"/>
      <c r="C39" s="18"/>
      <c r="D39" s="29"/>
      <c r="E39" s="24"/>
      <c r="F39" s="17"/>
      <c r="G39" s="18"/>
      <c r="H39" s="34"/>
      <c r="I39" s="2"/>
    </row>
    <row r="40" spans="1:9">
      <c r="A40" s="106" t="s">
        <v>4</v>
      </c>
      <c r="B40" s="10"/>
      <c r="C40" s="2"/>
      <c r="D40" s="31">
        <f>SUM(D20:D36)</f>
        <v>385.59999999999997</v>
      </c>
      <c r="E40" s="26"/>
      <c r="F40" s="20">
        <f>SUM(F20:F36)</f>
        <v>233.68</v>
      </c>
      <c r="G40" s="6"/>
      <c r="H40" s="36">
        <f>SUM(H20:H38)</f>
        <v>17628.219999999998</v>
      </c>
      <c r="I40" s="2"/>
    </row>
    <row r="41" spans="1:9" ht="15.75" thickBot="1">
      <c r="A41" s="107" t="s">
        <v>5</v>
      </c>
      <c r="B41" s="39">
        <f>SUM(F40+D40+H40)</f>
        <v>18247.499999999996</v>
      </c>
      <c r="C41" s="3"/>
      <c r="D41" s="32"/>
      <c r="E41" s="27"/>
      <c r="F41" s="21"/>
      <c r="G41" s="22"/>
      <c r="H41" s="37"/>
      <c r="I41" s="3"/>
    </row>
    <row r="42" spans="1:9">
      <c r="A42" s="9" t="s">
        <v>511</v>
      </c>
      <c r="B42" s="11" t="s">
        <v>512</v>
      </c>
      <c r="C42" s="108" t="s">
        <v>506</v>
      </c>
      <c r="D42" s="29">
        <f>9.18+18.86+52.65</f>
        <v>80.69</v>
      </c>
      <c r="E42" s="24" t="s">
        <v>72</v>
      </c>
      <c r="F42" s="17"/>
      <c r="G42" s="18"/>
      <c r="H42" s="34"/>
      <c r="I42" s="6"/>
    </row>
    <row r="43" spans="1:9">
      <c r="A43" s="1"/>
      <c r="B43" s="10"/>
      <c r="C43" s="60" t="s">
        <v>507</v>
      </c>
      <c r="D43" s="29">
        <f>8.03</f>
        <v>8.0299999999999994</v>
      </c>
      <c r="E43" s="24" t="s">
        <v>72</v>
      </c>
      <c r="F43" s="17"/>
      <c r="G43" s="18"/>
      <c r="H43" s="34">
        <v>93.49</v>
      </c>
      <c r="I43" s="2" t="s">
        <v>240</v>
      </c>
    </row>
    <row r="44" spans="1:9">
      <c r="A44" s="1"/>
      <c r="B44" s="10"/>
      <c r="C44" s="60" t="s">
        <v>9</v>
      </c>
      <c r="D44" s="29">
        <f>3.47+36.85</f>
        <v>40.32</v>
      </c>
      <c r="E44" s="24" t="s">
        <v>72</v>
      </c>
      <c r="F44" s="17"/>
      <c r="G44" s="18"/>
      <c r="H44" s="34"/>
      <c r="I44" s="2"/>
    </row>
    <row r="45" spans="1:9">
      <c r="A45" s="1"/>
      <c r="B45" s="10"/>
      <c r="C45" s="60" t="s">
        <v>508</v>
      </c>
      <c r="D45" s="29">
        <f>14.3+21.78+16.61+17.62+23.33+5.83+19+5.49+1.57+4.7</f>
        <v>130.22999999999999</v>
      </c>
      <c r="E45" s="24" t="s">
        <v>531</v>
      </c>
      <c r="F45" s="17"/>
      <c r="G45" s="18"/>
      <c r="H45" s="34">
        <v>647.04</v>
      </c>
      <c r="I45" s="2" t="s">
        <v>240</v>
      </c>
    </row>
    <row r="46" spans="1:9">
      <c r="A46" s="1"/>
      <c r="B46" s="10"/>
      <c r="C46" s="9"/>
      <c r="D46" s="29"/>
      <c r="E46" s="24"/>
      <c r="F46" s="17"/>
      <c r="G46" s="18"/>
      <c r="H46" s="34"/>
      <c r="I46" s="2"/>
    </row>
    <row r="47" spans="1:9">
      <c r="A47" s="1"/>
      <c r="B47" s="10"/>
      <c r="C47" s="10"/>
      <c r="D47" s="29"/>
      <c r="E47" s="24"/>
      <c r="F47" s="17"/>
      <c r="G47" s="18"/>
      <c r="H47" s="34"/>
      <c r="I47" s="2"/>
    </row>
    <row r="48" spans="1:9">
      <c r="A48" s="9"/>
      <c r="B48" s="9"/>
      <c r="C48" s="9"/>
      <c r="D48" s="29"/>
      <c r="E48" s="24"/>
      <c r="F48" s="17"/>
      <c r="G48" s="18"/>
      <c r="H48" s="34"/>
      <c r="I48" s="2"/>
    </row>
    <row r="49" spans="1:9">
      <c r="A49" s="9"/>
      <c r="B49" s="9"/>
      <c r="C49" s="9"/>
      <c r="D49" s="29"/>
      <c r="E49" s="24"/>
      <c r="F49" s="17"/>
      <c r="G49" s="18"/>
      <c r="H49" s="34"/>
      <c r="I49" s="2"/>
    </row>
    <row r="50" spans="1:9">
      <c r="A50" s="9"/>
      <c r="B50" s="59"/>
      <c r="C50" s="9" t="s">
        <v>49</v>
      </c>
      <c r="D50" s="29"/>
      <c r="E50" s="24"/>
      <c r="F50" s="17"/>
      <c r="G50" s="18"/>
      <c r="H50" s="34">
        <v>1170.28</v>
      </c>
      <c r="I50" s="2" t="s">
        <v>518</v>
      </c>
    </row>
    <row r="51" spans="1:9">
      <c r="A51" s="9"/>
      <c r="B51" s="59"/>
      <c r="C51" s="9" t="s">
        <v>50</v>
      </c>
      <c r="D51" s="29"/>
      <c r="E51" s="24"/>
      <c r="F51" s="17"/>
      <c r="G51" s="18"/>
      <c r="H51" s="34"/>
      <c r="I51" s="2"/>
    </row>
    <row r="52" spans="1:9">
      <c r="A52" s="9"/>
      <c r="B52" s="59"/>
      <c r="C52" s="9"/>
      <c r="D52" s="29"/>
      <c r="E52" s="24"/>
      <c r="F52" s="17"/>
      <c r="G52" s="18"/>
      <c r="H52" s="34"/>
      <c r="I52" s="2"/>
    </row>
    <row r="53" spans="1:9">
      <c r="A53" s="12" t="s">
        <v>4</v>
      </c>
      <c r="B53" s="10"/>
      <c r="C53" s="10"/>
      <c r="D53" s="31">
        <f>SUM(D42:D51)</f>
        <v>259.27</v>
      </c>
      <c r="E53" s="26"/>
      <c r="F53" s="20">
        <f>SUM(F42:F51)</f>
        <v>0</v>
      </c>
      <c r="G53" s="6"/>
      <c r="H53" s="36">
        <f>SUM(H42:H51)</f>
        <v>1910.81</v>
      </c>
      <c r="I53" s="2"/>
    </row>
    <row r="54" spans="1:9" ht="15.75" thickBot="1">
      <c r="A54" s="13" t="s">
        <v>5</v>
      </c>
      <c r="B54" s="39">
        <f>SUM(F53+D53+H53)</f>
        <v>2170.08</v>
      </c>
      <c r="C54" s="38"/>
      <c r="D54" s="32"/>
      <c r="E54" s="27"/>
      <c r="F54" s="21"/>
      <c r="G54" s="22"/>
      <c r="H54" s="37"/>
      <c r="I54" s="3"/>
    </row>
    <row r="55" spans="1:9">
      <c r="A55" s="59" t="s">
        <v>513</v>
      </c>
      <c r="B55" s="11" t="s">
        <v>172</v>
      </c>
      <c r="C55" s="8" t="s">
        <v>26</v>
      </c>
      <c r="D55" s="33">
        <f>16.54+3.9+5.01+4.7</f>
        <v>30.149999999999995</v>
      </c>
      <c r="E55" s="23" t="s">
        <v>531</v>
      </c>
      <c r="F55" s="15">
        <f>41.3</f>
        <v>41.3</v>
      </c>
      <c r="G55" s="16" t="s">
        <v>34</v>
      </c>
      <c r="H55" s="33">
        <f>823.91+197.82</f>
        <v>1021.73</v>
      </c>
      <c r="I55" s="5" t="s">
        <v>188</v>
      </c>
    </row>
    <row r="56" spans="1:9">
      <c r="A56" s="59"/>
      <c r="B56" s="10"/>
      <c r="C56" s="9"/>
      <c r="D56" s="34"/>
      <c r="E56" s="24"/>
      <c r="F56" s="17">
        <f>174*2</f>
        <v>348</v>
      </c>
      <c r="G56" s="18" t="s">
        <v>35</v>
      </c>
      <c r="H56" s="34"/>
      <c r="I56" s="6"/>
    </row>
    <row r="57" spans="1:9">
      <c r="A57" s="59"/>
      <c r="B57" s="10"/>
      <c r="C57" s="9" t="s">
        <v>97</v>
      </c>
      <c r="D57" s="34"/>
      <c r="E57" s="24"/>
      <c r="F57" s="17"/>
      <c r="G57" s="18"/>
      <c r="H57" s="34">
        <v>759</v>
      </c>
      <c r="I57" s="6" t="s">
        <v>188</v>
      </c>
    </row>
    <row r="58" spans="1:9">
      <c r="A58" s="1"/>
      <c r="B58" s="10"/>
      <c r="C58" s="10"/>
      <c r="D58" s="34"/>
      <c r="E58" s="24"/>
      <c r="F58" s="17"/>
      <c r="G58" s="18"/>
      <c r="H58" s="34"/>
      <c r="I58" s="6"/>
    </row>
    <row r="59" spans="1:9">
      <c r="A59" s="59"/>
      <c r="B59" s="9"/>
      <c r="C59" s="9"/>
      <c r="D59" s="34"/>
      <c r="E59" s="24"/>
      <c r="F59" s="17"/>
      <c r="G59" s="18"/>
      <c r="H59" s="34"/>
      <c r="I59" s="6"/>
    </row>
    <row r="60" spans="1:9">
      <c r="A60" s="59"/>
      <c r="B60" s="9"/>
      <c r="C60" s="9" t="s">
        <v>49</v>
      </c>
      <c r="D60" s="34"/>
      <c r="E60" s="24"/>
      <c r="F60" s="17"/>
      <c r="G60" s="18"/>
      <c r="H60" s="87"/>
      <c r="I60" s="2"/>
    </row>
    <row r="61" spans="1:9">
      <c r="A61" s="59"/>
      <c r="B61" s="9"/>
      <c r="C61" s="9" t="s">
        <v>50</v>
      </c>
      <c r="D61" s="34"/>
      <c r="E61" s="24"/>
      <c r="F61" s="17"/>
      <c r="G61" s="18"/>
      <c r="H61" s="34">
        <v>1525.24</v>
      </c>
      <c r="I61" s="2" t="s">
        <v>56</v>
      </c>
    </row>
    <row r="62" spans="1:9">
      <c r="A62" s="59"/>
      <c r="B62" s="9"/>
      <c r="C62" s="9"/>
      <c r="D62" s="34"/>
      <c r="E62" s="24"/>
      <c r="F62" s="17"/>
      <c r="G62" s="18"/>
      <c r="H62" s="34"/>
      <c r="I62" s="2"/>
    </row>
    <row r="63" spans="1:9">
      <c r="A63" s="59"/>
      <c r="B63" s="9"/>
      <c r="C63" s="9"/>
      <c r="D63" s="34"/>
      <c r="E63" s="24"/>
      <c r="F63" s="17"/>
      <c r="G63" s="18"/>
      <c r="H63" s="34"/>
      <c r="I63" s="2"/>
    </row>
    <row r="64" spans="1:9">
      <c r="A64" s="59"/>
      <c r="B64" s="9"/>
      <c r="C64" s="9"/>
      <c r="D64" s="34"/>
      <c r="E64" s="24"/>
      <c r="F64" s="17"/>
      <c r="G64" s="18"/>
      <c r="H64" s="34"/>
      <c r="I64" s="2"/>
    </row>
    <row r="65" spans="1:9">
      <c r="A65" s="106" t="s">
        <v>4</v>
      </c>
      <c r="B65" s="10"/>
      <c r="C65" s="10"/>
      <c r="D65" s="36">
        <f>SUM(D55:D63)</f>
        <v>30.149999999999995</v>
      </c>
      <c r="E65" s="26"/>
      <c r="F65" s="20">
        <f>SUM(F55:F63)</f>
        <v>389.3</v>
      </c>
      <c r="G65" s="6"/>
      <c r="H65" s="36">
        <f>SUM(H55:H64)</f>
        <v>3305.9700000000003</v>
      </c>
      <c r="I65" s="18"/>
    </row>
    <row r="66" spans="1:9" ht="15.75" thickBot="1">
      <c r="A66" s="107" t="s">
        <v>5</v>
      </c>
      <c r="B66" s="39">
        <f>SUM(F65+D65+H65)</f>
        <v>3725.42</v>
      </c>
      <c r="C66" s="38"/>
      <c r="D66" s="109"/>
      <c r="E66" s="27"/>
      <c r="F66" s="21"/>
      <c r="G66" s="22"/>
      <c r="H66" s="37"/>
      <c r="I66" s="2"/>
    </row>
    <row r="67" spans="1:9">
      <c r="A67" s="71" t="s">
        <v>514</v>
      </c>
      <c r="B67" s="10" t="s">
        <v>500</v>
      </c>
      <c r="C67" s="9" t="s">
        <v>22</v>
      </c>
      <c r="D67" s="28">
        <f>11.62+38.78</f>
        <v>50.4</v>
      </c>
      <c r="E67" s="23" t="s">
        <v>527</v>
      </c>
      <c r="F67" s="15">
        <f>36.1+5+28+3+20.9+5+4+27.8+40+93</f>
        <v>262.8</v>
      </c>
      <c r="G67" s="16" t="s">
        <v>531</v>
      </c>
      <c r="H67" s="33">
        <f>692.42+349.2</f>
        <v>1041.6199999999999</v>
      </c>
      <c r="I67" s="5" t="s">
        <v>530</v>
      </c>
    </row>
    <row r="68" spans="1:9">
      <c r="A68" s="9" t="s">
        <v>515</v>
      </c>
      <c r="B68" s="10"/>
      <c r="C68" s="9" t="s">
        <v>15</v>
      </c>
      <c r="D68" s="29"/>
      <c r="E68" s="24"/>
      <c r="F68" s="17">
        <v>90</v>
      </c>
      <c r="G68" s="18" t="s">
        <v>34</v>
      </c>
      <c r="H68" s="34"/>
      <c r="I68" s="6"/>
    </row>
    <row r="69" spans="1:9">
      <c r="A69" s="9"/>
      <c r="B69" s="10"/>
      <c r="C69" s="9"/>
      <c r="D69" s="29"/>
      <c r="E69" s="24"/>
      <c r="F69" s="17"/>
      <c r="G69" s="18"/>
      <c r="H69" s="34"/>
      <c r="I69" s="2"/>
    </row>
    <row r="70" spans="1:9">
      <c r="A70" s="9"/>
      <c r="B70" s="59"/>
      <c r="C70" s="9"/>
      <c r="D70" s="29"/>
      <c r="E70" s="24"/>
      <c r="F70" s="17"/>
      <c r="G70" s="18"/>
      <c r="H70" s="34"/>
      <c r="I70" s="2"/>
    </row>
    <row r="71" spans="1:9">
      <c r="A71" s="9"/>
      <c r="B71" s="59"/>
      <c r="C71" s="9"/>
      <c r="D71" s="29"/>
      <c r="E71" s="24"/>
      <c r="F71" s="17"/>
      <c r="G71" s="18"/>
      <c r="H71" s="34"/>
      <c r="I71" s="2"/>
    </row>
    <row r="72" spans="1:9">
      <c r="A72" s="9"/>
      <c r="B72" s="59"/>
      <c r="C72" s="9" t="s">
        <v>49</v>
      </c>
      <c r="D72" s="29"/>
      <c r="E72" s="24"/>
      <c r="F72" s="17"/>
      <c r="G72" s="18"/>
      <c r="H72" s="34">
        <v>4285.92</v>
      </c>
      <c r="I72" s="2" t="s">
        <v>538</v>
      </c>
    </row>
    <row r="73" spans="1:9">
      <c r="A73" s="9"/>
      <c r="B73" s="59"/>
      <c r="C73" s="9" t="s">
        <v>50</v>
      </c>
      <c r="D73" s="29"/>
      <c r="E73" s="24"/>
      <c r="F73" s="47"/>
      <c r="G73" s="48"/>
      <c r="H73" s="34">
        <f>1498.64+1437.16</f>
        <v>2935.8</v>
      </c>
      <c r="I73" s="18" t="s">
        <v>56</v>
      </c>
    </row>
    <row r="74" spans="1:9">
      <c r="A74" s="9"/>
      <c r="B74" s="59"/>
      <c r="C74" s="9"/>
      <c r="D74" s="29"/>
      <c r="E74" s="24"/>
      <c r="F74" s="47"/>
      <c r="G74" s="48"/>
      <c r="H74" s="34"/>
      <c r="I74" s="18"/>
    </row>
    <row r="75" spans="1:9">
      <c r="A75" s="12" t="s">
        <v>4</v>
      </c>
      <c r="B75" s="10"/>
      <c r="C75" s="10"/>
      <c r="D75" s="31">
        <f>SUM(D67:D73)</f>
        <v>50.4</v>
      </c>
      <c r="E75" s="26"/>
      <c r="F75" s="20">
        <f>SUM(F67:F73)</f>
        <v>352.8</v>
      </c>
      <c r="G75" s="6"/>
      <c r="H75" s="36">
        <f>SUM(H67:H73)</f>
        <v>8263.34</v>
      </c>
      <c r="I75" s="18"/>
    </row>
    <row r="76" spans="1:9" ht="15.75" thickBot="1">
      <c r="A76" s="13" t="s">
        <v>5</v>
      </c>
      <c r="B76" s="39">
        <f>SUM(F75+D75+H75)</f>
        <v>8666.5400000000009</v>
      </c>
      <c r="C76" s="38"/>
      <c r="D76" s="32"/>
      <c r="E76" s="27"/>
      <c r="F76" s="21"/>
      <c r="G76" s="22"/>
      <c r="H76" s="37"/>
      <c r="I76" s="2"/>
    </row>
    <row r="77" spans="1:9">
      <c r="A77" s="71" t="s">
        <v>516</v>
      </c>
      <c r="B77" s="10" t="s">
        <v>501</v>
      </c>
      <c r="C77" s="9" t="s">
        <v>195</v>
      </c>
      <c r="D77" s="104"/>
      <c r="E77" s="104"/>
      <c r="F77" s="15">
        <f>24+11+90</f>
        <v>125</v>
      </c>
      <c r="G77" s="16" t="s">
        <v>532</v>
      </c>
      <c r="H77" s="28">
        <v>659.51</v>
      </c>
      <c r="I77" s="40" t="s">
        <v>188</v>
      </c>
    </row>
    <row r="78" spans="1:9">
      <c r="A78" s="9"/>
      <c r="B78" s="9"/>
      <c r="C78" s="10"/>
      <c r="D78" s="29"/>
      <c r="E78" s="24"/>
      <c r="F78" s="17">
        <v>3.1</v>
      </c>
      <c r="G78" s="18" t="s">
        <v>122</v>
      </c>
      <c r="H78" s="29"/>
      <c r="I78" s="6"/>
    </row>
    <row r="79" spans="1:9">
      <c r="A79" s="9"/>
      <c r="B79" s="59"/>
      <c r="C79" s="9"/>
      <c r="D79" s="29"/>
      <c r="E79" s="24"/>
      <c r="F79" s="17"/>
      <c r="G79" s="18"/>
      <c r="H79" s="29"/>
      <c r="I79" s="6"/>
    </row>
    <row r="80" spans="1:9">
      <c r="A80" s="9"/>
      <c r="B80" s="59"/>
      <c r="C80" s="10"/>
      <c r="D80" s="29"/>
      <c r="E80" s="24"/>
      <c r="F80" s="17"/>
      <c r="G80" s="18"/>
      <c r="H80" s="29"/>
      <c r="I80" s="6"/>
    </row>
    <row r="81" spans="1:9">
      <c r="A81" s="9"/>
      <c r="B81" s="59"/>
      <c r="C81" s="9" t="s">
        <v>49</v>
      </c>
      <c r="D81" s="29"/>
      <c r="E81" s="24"/>
      <c r="F81" s="17"/>
      <c r="G81" s="18"/>
      <c r="H81" s="29"/>
      <c r="I81" s="6"/>
    </row>
    <row r="82" spans="1:9">
      <c r="A82" s="9"/>
      <c r="B82" s="59"/>
      <c r="C82" s="9" t="s">
        <v>50</v>
      </c>
      <c r="D82" s="29"/>
      <c r="E82" s="24"/>
      <c r="F82" s="17"/>
      <c r="G82" s="18"/>
      <c r="H82" s="29">
        <f>388.05+471.43</f>
        <v>859.48</v>
      </c>
      <c r="I82" s="2" t="s">
        <v>164</v>
      </c>
    </row>
    <row r="83" spans="1:9">
      <c r="A83" s="12" t="s">
        <v>4</v>
      </c>
      <c r="B83" s="10"/>
      <c r="C83" s="9"/>
      <c r="D83" s="31">
        <f>SUM(D77:D82)</f>
        <v>0</v>
      </c>
      <c r="E83" s="26"/>
      <c r="F83" s="20">
        <f>SUM(F77:F82)</f>
        <v>128.1</v>
      </c>
      <c r="G83" s="6"/>
      <c r="H83" s="31">
        <f>SUM(H77:H82)</f>
        <v>1518.99</v>
      </c>
      <c r="I83" s="18"/>
    </row>
    <row r="84" spans="1:9" ht="15.75" thickBot="1">
      <c r="A84" s="13" t="s">
        <v>5</v>
      </c>
      <c r="B84" s="39">
        <f>SUM(F83+D83+H83)</f>
        <v>1647.09</v>
      </c>
      <c r="C84" s="38"/>
      <c r="D84" s="32"/>
      <c r="E84" s="27"/>
      <c r="F84" s="21"/>
      <c r="G84" s="22"/>
      <c r="H84" s="68"/>
      <c r="I84" s="3"/>
    </row>
    <row r="85" spans="1:9">
      <c r="A85" s="59"/>
      <c r="B85" s="60"/>
      <c r="C85" s="60"/>
      <c r="E85" s="62"/>
      <c r="F85" s="61"/>
    </row>
    <row r="86" spans="1:9" ht="15.75" thickBot="1"/>
    <row r="87" spans="1:9" ht="20.25" thickBot="1">
      <c r="A87" s="51" t="s">
        <v>191</v>
      </c>
      <c r="B87" s="52">
        <f>SUM(B10+B19+B41+B54+B66+B76+B84)</f>
        <v>36642.049999999996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opLeftCell="A67" workbookViewId="0">
      <selection activeCell="B105" sqref="B105"/>
    </sheetView>
  </sheetViews>
  <sheetFormatPr defaultRowHeight="15"/>
  <cols>
    <col min="1" max="1" width="24.5703125" customWidth="1"/>
    <col min="2" max="2" width="29.140625" customWidth="1"/>
    <col min="3" max="3" width="19.140625" customWidth="1"/>
    <col min="4" max="4" width="13.140625" customWidth="1"/>
    <col min="5" max="5" width="26.42578125" customWidth="1"/>
    <col min="6" max="6" width="15.7109375" customWidth="1"/>
    <col min="7" max="7" width="22" customWidth="1"/>
    <col min="8" max="8" width="19.28515625" customWidth="1"/>
    <col min="9" max="9" width="36.285156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91</v>
      </c>
      <c r="B2" s="8" t="s">
        <v>92</v>
      </c>
      <c r="C2" s="11" t="s">
        <v>93</v>
      </c>
      <c r="D2" s="15">
        <v>35</v>
      </c>
      <c r="E2" s="16" t="s">
        <v>41</v>
      </c>
      <c r="F2" s="28">
        <v>29</v>
      </c>
      <c r="G2" s="23" t="s">
        <v>119</v>
      </c>
      <c r="H2" s="33">
        <v>318.14999999999998</v>
      </c>
      <c r="I2" s="5" t="s">
        <v>121</v>
      </c>
    </row>
    <row r="3" spans="1:11" s="1" customFormat="1">
      <c r="A3" s="9"/>
      <c r="B3" s="9"/>
      <c r="C3" s="10"/>
      <c r="D3" s="17">
        <v>24.1</v>
      </c>
      <c r="E3" s="18" t="s">
        <v>120</v>
      </c>
      <c r="F3" s="29">
        <v>36</v>
      </c>
      <c r="G3" s="24" t="s">
        <v>34</v>
      </c>
      <c r="H3" s="34"/>
      <c r="I3" s="6"/>
    </row>
    <row r="4" spans="1:11" s="1" customFormat="1">
      <c r="A4" s="9"/>
      <c r="B4" s="9"/>
      <c r="C4" s="10"/>
      <c r="D4" s="17">
        <v>110.2</v>
      </c>
      <c r="E4" s="18" t="s">
        <v>111</v>
      </c>
      <c r="F4" s="29">
        <v>2.1</v>
      </c>
      <c r="G4" s="24" t="s">
        <v>36</v>
      </c>
      <c r="H4" s="34"/>
      <c r="I4" s="6"/>
    </row>
    <row r="5" spans="1:11" s="1" customFormat="1">
      <c r="A5" s="9"/>
      <c r="B5" s="9"/>
      <c r="C5" s="9" t="s">
        <v>50</v>
      </c>
      <c r="D5" s="17"/>
      <c r="E5" s="18"/>
      <c r="F5" s="29"/>
      <c r="G5" s="24"/>
      <c r="H5" s="34">
        <v>154.09</v>
      </c>
      <c r="I5" s="2" t="s">
        <v>134</v>
      </c>
      <c r="K5" s="4"/>
    </row>
    <row r="6" spans="1:11" s="1" customFormat="1">
      <c r="A6" s="10"/>
      <c r="B6" s="14"/>
      <c r="C6" s="10"/>
      <c r="D6" s="19"/>
      <c r="E6" s="6"/>
      <c r="F6" s="30"/>
      <c r="G6" s="25"/>
      <c r="H6" s="35"/>
      <c r="I6" s="2"/>
    </row>
    <row r="7" spans="1:11" s="1" customFormat="1">
      <c r="A7" s="12" t="s">
        <v>4</v>
      </c>
      <c r="B7" s="10"/>
      <c r="C7" s="10"/>
      <c r="D7" s="20">
        <f>SUM(D2:D6)</f>
        <v>169.3</v>
      </c>
      <c r="E7" s="6"/>
      <c r="F7" s="31">
        <f>SUM(F2:F6)</f>
        <v>67.099999999999994</v>
      </c>
      <c r="G7" s="26"/>
      <c r="H7" s="36">
        <f>SUM(H2:H6)</f>
        <v>472.24</v>
      </c>
      <c r="I7" s="2"/>
    </row>
    <row r="8" spans="1:11" s="1" customFormat="1" ht="15.75" thickBot="1">
      <c r="A8" s="13" t="s">
        <v>5</v>
      </c>
      <c r="B8" s="39">
        <f>SUM(D7+F7+H7)</f>
        <v>708.64</v>
      </c>
      <c r="C8" s="38"/>
      <c r="D8" s="21"/>
      <c r="E8" s="22"/>
      <c r="F8" s="32"/>
      <c r="G8" s="27"/>
      <c r="H8" s="37"/>
      <c r="I8" s="3"/>
    </row>
    <row r="9" spans="1:11">
      <c r="A9" s="8" t="s">
        <v>94</v>
      </c>
      <c r="B9" s="8" t="s">
        <v>96</v>
      </c>
      <c r="C9" s="8" t="s">
        <v>22</v>
      </c>
      <c r="D9" s="15">
        <v>60</v>
      </c>
      <c r="E9" s="40" t="s">
        <v>41</v>
      </c>
      <c r="F9" s="28">
        <f>21.5+20.2</f>
        <v>41.7</v>
      </c>
      <c r="G9" s="23" t="s">
        <v>39</v>
      </c>
      <c r="H9" s="33"/>
      <c r="I9" s="5"/>
    </row>
    <row r="10" spans="1:11">
      <c r="A10" s="9"/>
      <c r="B10" s="9"/>
      <c r="C10" s="10"/>
      <c r="D10" s="17">
        <v>17.3</v>
      </c>
      <c r="E10" s="18" t="s">
        <v>110</v>
      </c>
      <c r="F10" s="29"/>
      <c r="G10" s="24"/>
      <c r="H10" s="34"/>
      <c r="I10" s="6"/>
    </row>
    <row r="11" spans="1:11">
      <c r="A11" s="9"/>
      <c r="B11" s="9"/>
      <c r="C11" s="10"/>
      <c r="D11" s="17">
        <v>2.5</v>
      </c>
      <c r="E11" s="18" t="s">
        <v>140</v>
      </c>
      <c r="F11" s="29"/>
      <c r="G11" s="24"/>
      <c r="H11" s="34"/>
      <c r="I11" s="6"/>
    </row>
    <row r="12" spans="1:11">
      <c r="A12" s="10"/>
      <c r="B12" s="14"/>
      <c r="C12" s="10" t="s">
        <v>49</v>
      </c>
      <c r="D12" s="19"/>
      <c r="E12" s="6"/>
      <c r="F12" s="30"/>
      <c r="G12" s="25"/>
      <c r="H12" s="35">
        <v>346.3</v>
      </c>
      <c r="I12" s="6" t="s">
        <v>124</v>
      </c>
    </row>
    <row r="13" spans="1:11">
      <c r="A13" s="10"/>
      <c r="B13" s="14"/>
      <c r="C13" s="9" t="s">
        <v>50</v>
      </c>
      <c r="D13" s="19"/>
      <c r="E13" s="6"/>
      <c r="F13" s="30"/>
      <c r="G13" s="25"/>
      <c r="H13" s="35">
        <v>617.99</v>
      </c>
      <c r="I13" s="2" t="s">
        <v>132</v>
      </c>
    </row>
    <row r="14" spans="1:11">
      <c r="A14" s="10"/>
      <c r="B14" s="14"/>
      <c r="C14" s="10"/>
      <c r="D14" s="19"/>
      <c r="E14" s="6"/>
      <c r="F14" s="30"/>
      <c r="G14" s="25"/>
      <c r="H14" s="35"/>
      <c r="I14" s="2"/>
    </row>
    <row r="15" spans="1:11">
      <c r="A15" s="12" t="s">
        <v>4</v>
      </c>
      <c r="B15" s="10"/>
      <c r="C15" s="10"/>
      <c r="D15" s="20">
        <f>SUM(D9:D14)</f>
        <v>79.8</v>
      </c>
      <c r="E15" s="6"/>
      <c r="F15" s="31">
        <f>SUM(F9:F14)</f>
        <v>41.7</v>
      </c>
      <c r="G15" s="26"/>
      <c r="H15" s="36">
        <f>SUM(H9:H14)</f>
        <v>964.29</v>
      </c>
      <c r="I15" s="2"/>
    </row>
    <row r="16" spans="1:11" ht="15.75" thickBot="1">
      <c r="A16" s="13" t="s">
        <v>5</v>
      </c>
      <c r="B16" s="39">
        <f>SUM(D15+F15+H15)</f>
        <v>1085.79</v>
      </c>
      <c r="C16" s="38"/>
      <c r="D16" s="21"/>
      <c r="E16" s="22"/>
      <c r="F16" s="32"/>
      <c r="G16" s="27"/>
      <c r="H16" s="37"/>
      <c r="I16" s="3"/>
    </row>
    <row r="17" spans="1:9">
      <c r="A17" s="8" t="s">
        <v>94</v>
      </c>
      <c r="B17" s="8" t="s">
        <v>95</v>
      </c>
      <c r="C17" s="11" t="s">
        <v>26</v>
      </c>
      <c r="D17" s="15">
        <v>13.59</v>
      </c>
      <c r="E17" s="16" t="s">
        <v>110</v>
      </c>
      <c r="F17" s="29">
        <v>40</v>
      </c>
      <c r="G17" s="24" t="s">
        <v>112</v>
      </c>
      <c r="H17" s="33">
        <v>422.58</v>
      </c>
      <c r="I17" s="5" t="s">
        <v>90</v>
      </c>
    </row>
    <row r="18" spans="1:9">
      <c r="A18" s="9"/>
      <c r="B18" s="9"/>
      <c r="C18" s="10"/>
      <c r="D18" s="17"/>
      <c r="E18" s="18"/>
      <c r="F18" s="29">
        <v>26</v>
      </c>
      <c r="G18" s="24" t="s">
        <v>39</v>
      </c>
      <c r="H18" s="34"/>
      <c r="I18" s="6"/>
    </row>
    <row r="19" spans="1:9">
      <c r="A19" s="9"/>
      <c r="B19" s="9"/>
      <c r="C19" s="9" t="s">
        <v>97</v>
      </c>
      <c r="D19" s="17"/>
      <c r="E19" s="18"/>
      <c r="F19" s="29">
        <v>15</v>
      </c>
      <c r="G19" s="24" t="s">
        <v>74</v>
      </c>
      <c r="H19" s="34">
        <v>478.01</v>
      </c>
      <c r="I19" s="6" t="s">
        <v>188</v>
      </c>
    </row>
    <row r="20" spans="1:9">
      <c r="A20" s="9"/>
      <c r="B20" s="9"/>
      <c r="C20" s="10"/>
      <c r="D20" s="17"/>
      <c r="E20" s="18"/>
      <c r="F20" s="29"/>
      <c r="G20" s="24"/>
      <c r="H20" s="34"/>
      <c r="I20" s="6"/>
    </row>
    <row r="21" spans="1:9">
      <c r="A21" s="9"/>
      <c r="B21" s="9"/>
      <c r="C21" s="10"/>
      <c r="D21" s="17"/>
      <c r="E21" s="18"/>
      <c r="F21" s="29"/>
      <c r="G21" s="24"/>
      <c r="H21" s="34"/>
      <c r="I21" s="6"/>
    </row>
    <row r="22" spans="1:9">
      <c r="A22" s="10"/>
      <c r="B22" s="14"/>
      <c r="C22" s="9" t="s">
        <v>50</v>
      </c>
      <c r="D22" s="19"/>
      <c r="E22" s="6"/>
      <c r="F22" s="30"/>
      <c r="G22" s="25"/>
      <c r="H22" s="35">
        <v>998.72</v>
      </c>
      <c r="I22" s="2" t="s">
        <v>135</v>
      </c>
    </row>
    <row r="23" spans="1:9">
      <c r="A23" s="10"/>
      <c r="B23" s="14"/>
      <c r="C23" s="10"/>
      <c r="D23" s="19"/>
      <c r="E23" s="6"/>
      <c r="F23" s="30"/>
      <c r="G23" s="25"/>
      <c r="H23" s="35"/>
      <c r="I23" s="2"/>
    </row>
    <row r="24" spans="1:9">
      <c r="A24" s="12" t="s">
        <v>4</v>
      </c>
      <c r="B24" s="10"/>
      <c r="C24" s="10"/>
      <c r="D24" s="20">
        <f>SUM(D17:D22)</f>
        <v>13.59</v>
      </c>
      <c r="E24" s="6"/>
      <c r="F24" s="31">
        <f>SUM(F17:F22)</f>
        <v>81</v>
      </c>
      <c r="G24" s="26"/>
      <c r="H24" s="36">
        <f>SUM(H17:H23)</f>
        <v>1899.31</v>
      </c>
      <c r="I24" s="2"/>
    </row>
    <row r="25" spans="1:9" ht="15.75" thickBot="1">
      <c r="A25" s="13" t="s">
        <v>5</v>
      </c>
      <c r="B25" s="39">
        <f>SUM(D24+F24+H24)</f>
        <v>1993.8999999999999</v>
      </c>
      <c r="C25" s="38"/>
      <c r="D25" s="21"/>
      <c r="E25" s="22"/>
      <c r="F25" s="32"/>
      <c r="G25" s="27"/>
      <c r="H25" s="37"/>
      <c r="I25" s="3"/>
    </row>
    <row r="26" spans="1:9">
      <c r="A26" s="8" t="s">
        <v>99</v>
      </c>
      <c r="B26" s="8" t="s">
        <v>98</v>
      </c>
      <c r="C26" s="11" t="s">
        <v>9</v>
      </c>
      <c r="D26" s="15"/>
      <c r="E26" s="16"/>
      <c r="F26" s="28">
        <v>58</v>
      </c>
      <c r="G26" s="23" t="s">
        <v>34</v>
      </c>
      <c r="H26" s="33">
        <v>30.63</v>
      </c>
      <c r="I26" s="5" t="s">
        <v>108</v>
      </c>
    </row>
    <row r="27" spans="1:9">
      <c r="A27" s="9"/>
      <c r="B27" s="9"/>
      <c r="C27" s="10"/>
      <c r="D27" s="17"/>
      <c r="E27" s="18"/>
      <c r="F27" s="29">
        <v>20.5</v>
      </c>
      <c r="G27" s="24" t="s">
        <v>109</v>
      </c>
      <c r="H27" s="34"/>
      <c r="I27" s="6"/>
    </row>
    <row r="28" spans="1:9">
      <c r="A28" s="9"/>
      <c r="B28" s="9"/>
      <c r="C28" s="10" t="s">
        <v>15</v>
      </c>
      <c r="D28" s="17">
        <v>27</v>
      </c>
      <c r="E28" s="18" t="s">
        <v>107</v>
      </c>
      <c r="F28" s="29">
        <v>50</v>
      </c>
      <c r="G28" s="24" t="s">
        <v>35</v>
      </c>
      <c r="H28" s="34"/>
      <c r="I28" s="6"/>
    </row>
    <row r="29" spans="1:9">
      <c r="A29" s="9"/>
      <c r="B29" s="9"/>
      <c r="C29" s="10"/>
      <c r="D29" s="17"/>
      <c r="E29" s="24"/>
      <c r="F29" s="29">
        <v>8.8000000000000007</v>
      </c>
      <c r="G29" s="24" t="s">
        <v>36</v>
      </c>
      <c r="H29" s="34"/>
      <c r="I29" s="6"/>
    </row>
    <row r="30" spans="1:9">
      <c r="A30" s="9"/>
      <c r="B30" s="9"/>
      <c r="C30" s="10"/>
      <c r="D30" s="17"/>
      <c r="E30" s="24"/>
      <c r="F30" s="29">
        <v>20</v>
      </c>
      <c r="G30" s="41" t="s">
        <v>34</v>
      </c>
      <c r="H30" s="34"/>
      <c r="I30" s="6"/>
    </row>
    <row r="31" spans="1:9">
      <c r="A31" s="10"/>
      <c r="B31" s="14"/>
      <c r="C31" s="9" t="s">
        <v>49</v>
      </c>
      <c r="D31" s="19"/>
      <c r="E31" s="6"/>
      <c r="F31" s="30"/>
      <c r="G31" s="25"/>
      <c r="H31" s="34">
        <v>183</v>
      </c>
      <c r="I31" s="6" t="s">
        <v>124</v>
      </c>
    </row>
    <row r="32" spans="1:9">
      <c r="A32" s="10"/>
      <c r="B32" s="14"/>
      <c r="C32" s="10" t="s">
        <v>50</v>
      </c>
      <c r="D32" s="19"/>
      <c r="E32" s="6"/>
      <c r="F32" s="30"/>
      <c r="G32" s="25"/>
      <c r="H32" s="35">
        <v>1293.0999999999999</v>
      </c>
      <c r="I32" s="2" t="s">
        <v>133</v>
      </c>
    </row>
    <row r="33" spans="1:9">
      <c r="A33" s="10"/>
      <c r="B33" s="14"/>
      <c r="C33" s="10"/>
      <c r="D33" s="19"/>
      <c r="E33" s="6"/>
      <c r="F33" s="30"/>
      <c r="G33" s="25"/>
      <c r="H33" s="35"/>
      <c r="I33" s="2"/>
    </row>
    <row r="34" spans="1:9">
      <c r="A34" s="10"/>
      <c r="B34" s="14"/>
      <c r="C34" s="10"/>
      <c r="D34" s="19"/>
      <c r="E34" s="6"/>
      <c r="F34" s="30"/>
      <c r="G34" s="25"/>
      <c r="H34" s="35"/>
      <c r="I34" s="2"/>
    </row>
    <row r="35" spans="1:9">
      <c r="A35" s="12" t="s">
        <v>4</v>
      </c>
      <c r="B35" s="10"/>
      <c r="C35" s="10"/>
      <c r="D35" s="20">
        <f>SUM(D26:D31)</f>
        <v>27</v>
      </c>
      <c r="E35" s="6"/>
      <c r="F35" s="31">
        <f>SUM(F26:F31)</f>
        <v>157.30000000000001</v>
      </c>
      <c r="G35" s="26"/>
      <c r="H35" s="36">
        <f>SUM(H26:H33)</f>
        <v>1506.73</v>
      </c>
      <c r="I35" s="2"/>
    </row>
    <row r="36" spans="1:9" ht="15.75" thickBot="1">
      <c r="A36" s="13" t="s">
        <v>5</v>
      </c>
      <c r="B36" s="39">
        <f>SUM(D35+F35+H35)</f>
        <v>1691.03</v>
      </c>
      <c r="C36" s="38"/>
      <c r="D36" s="21"/>
      <c r="E36" s="22"/>
      <c r="F36" s="32"/>
      <c r="G36" s="27"/>
      <c r="H36" s="37"/>
      <c r="I36" s="3"/>
    </row>
    <row r="37" spans="1:9">
      <c r="A37" s="8" t="s">
        <v>101</v>
      </c>
      <c r="B37" s="8" t="s">
        <v>100</v>
      </c>
      <c r="C37" s="11" t="s">
        <v>28</v>
      </c>
      <c r="D37" s="15">
        <v>4.5999999999999996</v>
      </c>
      <c r="E37" s="16" t="s">
        <v>110</v>
      </c>
      <c r="F37" s="29">
        <v>40.799999999999997</v>
      </c>
      <c r="G37" s="24" t="s">
        <v>34</v>
      </c>
      <c r="H37" s="33"/>
      <c r="I37" s="5"/>
    </row>
    <row r="38" spans="1:9">
      <c r="A38" s="9"/>
      <c r="B38" s="9"/>
      <c r="C38" s="10"/>
      <c r="D38" s="17"/>
      <c r="E38" s="18"/>
      <c r="F38" s="29">
        <v>50.3</v>
      </c>
      <c r="G38" s="24" t="s">
        <v>110</v>
      </c>
      <c r="H38" s="34"/>
      <c r="I38" s="6"/>
    </row>
    <row r="39" spans="1:9">
      <c r="A39" s="9"/>
      <c r="B39" s="9"/>
      <c r="C39" s="10"/>
      <c r="D39" s="17"/>
      <c r="E39" s="18"/>
      <c r="F39" s="29">
        <v>2.8</v>
      </c>
      <c r="G39" s="24" t="s">
        <v>36</v>
      </c>
      <c r="H39" s="34"/>
      <c r="I39" s="6"/>
    </row>
    <row r="40" spans="1:9">
      <c r="A40" s="9"/>
      <c r="B40" s="9"/>
      <c r="C40" s="10"/>
      <c r="D40" s="17"/>
      <c r="E40" s="18"/>
      <c r="F40" s="29">
        <v>17</v>
      </c>
      <c r="G40" s="24" t="s">
        <v>35</v>
      </c>
      <c r="H40" s="34"/>
      <c r="I40" s="6"/>
    </row>
    <row r="41" spans="1:9">
      <c r="A41" s="9"/>
      <c r="B41" s="9"/>
      <c r="C41" s="10" t="s">
        <v>9</v>
      </c>
      <c r="D41" s="17">
        <v>26.36</v>
      </c>
      <c r="E41" s="18" t="s">
        <v>110</v>
      </c>
      <c r="F41" s="29">
        <f>22+30</f>
        <v>52</v>
      </c>
      <c r="G41" s="24" t="s">
        <v>154</v>
      </c>
      <c r="H41" s="34"/>
      <c r="I41" s="6"/>
    </row>
    <row r="42" spans="1:9">
      <c r="A42" s="9"/>
      <c r="B42" s="9"/>
      <c r="C42" s="10"/>
      <c r="D42" s="17"/>
      <c r="E42" s="18"/>
      <c r="F42" s="29">
        <v>5.4</v>
      </c>
      <c r="G42" s="24" t="s">
        <v>36</v>
      </c>
      <c r="H42" s="34"/>
      <c r="I42" s="6"/>
    </row>
    <row r="43" spans="1:9">
      <c r="A43" s="9"/>
      <c r="B43" s="9"/>
      <c r="C43" s="10"/>
      <c r="D43" s="17"/>
      <c r="E43" s="18"/>
      <c r="F43" s="29"/>
      <c r="G43" s="24"/>
      <c r="H43" s="34"/>
      <c r="I43" s="6"/>
    </row>
    <row r="44" spans="1:9">
      <c r="A44" s="9"/>
      <c r="B44" s="9"/>
      <c r="C44" s="10" t="s">
        <v>26</v>
      </c>
      <c r="D44" s="17"/>
      <c r="E44" s="18"/>
      <c r="F44" s="29">
        <v>40</v>
      </c>
      <c r="G44" s="24" t="s">
        <v>112</v>
      </c>
      <c r="H44" s="34"/>
      <c r="I44" s="6"/>
    </row>
    <row r="45" spans="1:9">
      <c r="A45" s="9"/>
      <c r="B45" s="9"/>
      <c r="C45" s="10"/>
      <c r="D45" s="17"/>
      <c r="E45" s="18"/>
      <c r="F45" s="29">
        <v>28</v>
      </c>
      <c r="G45" s="24" t="s">
        <v>34</v>
      </c>
      <c r="H45" s="34"/>
      <c r="I45" s="6"/>
    </row>
    <row r="46" spans="1:9">
      <c r="A46" s="9"/>
      <c r="B46" s="9"/>
      <c r="D46" s="17"/>
      <c r="E46" s="18"/>
      <c r="F46" s="29">
        <v>20.9</v>
      </c>
      <c r="G46" s="24" t="s">
        <v>36</v>
      </c>
      <c r="H46" s="34"/>
      <c r="I46" s="6"/>
    </row>
    <row r="47" spans="1:9">
      <c r="A47" s="9"/>
      <c r="B47" s="9"/>
      <c r="D47" s="17"/>
      <c r="E47" s="18"/>
      <c r="F47" s="29">
        <v>60.72</v>
      </c>
      <c r="G47" s="24" t="s">
        <v>35</v>
      </c>
      <c r="H47" s="34"/>
      <c r="I47" s="6"/>
    </row>
    <row r="48" spans="1:9">
      <c r="A48" s="9"/>
      <c r="B48" s="9"/>
      <c r="D48" s="17"/>
      <c r="E48" s="18"/>
      <c r="F48" s="29">
        <v>29</v>
      </c>
      <c r="G48" s="24" t="s">
        <v>110</v>
      </c>
      <c r="H48" s="34"/>
      <c r="I48" s="6"/>
    </row>
    <row r="49" spans="1:9">
      <c r="A49" s="9"/>
      <c r="B49" s="9"/>
      <c r="D49" s="17"/>
      <c r="E49" s="18"/>
      <c r="F49" s="29">
        <v>100</v>
      </c>
      <c r="G49" s="24" t="s">
        <v>113</v>
      </c>
      <c r="H49" s="34"/>
      <c r="I49" s="6"/>
    </row>
    <row r="50" spans="1:9">
      <c r="A50" s="9"/>
      <c r="B50" s="9"/>
      <c r="C50" s="9" t="s">
        <v>102</v>
      </c>
      <c r="D50" s="17">
        <v>117.72</v>
      </c>
      <c r="E50" s="18" t="s">
        <v>110</v>
      </c>
      <c r="F50" s="29">
        <v>22</v>
      </c>
      <c r="G50" s="24" t="s">
        <v>106</v>
      </c>
      <c r="H50" s="34"/>
      <c r="I50" s="6"/>
    </row>
    <row r="51" spans="1:9">
      <c r="A51" s="9"/>
      <c r="B51" s="9"/>
      <c r="C51" s="10"/>
      <c r="D51" s="17"/>
      <c r="E51" s="18"/>
      <c r="F51" s="29">
        <v>45.9</v>
      </c>
      <c r="G51" s="24" t="s">
        <v>39</v>
      </c>
      <c r="H51" s="34"/>
      <c r="I51" s="6"/>
    </row>
    <row r="52" spans="1:9">
      <c r="A52" s="9"/>
      <c r="B52" s="9"/>
      <c r="C52" s="10"/>
      <c r="D52" s="17"/>
      <c r="E52" s="18"/>
      <c r="F52" s="29"/>
      <c r="G52" s="24"/>
      <c r="H52" s="34"/>
      <c r="I52" s="6"/>
    </row>
    <row r="53" spans="1:9">
      <c r="A53" s="9"/>
      <c r="B53" s="9"/>
      <c r="C53" s="9" t="s">
        <v>103</v>
      </c>
      <c r="D53" s="17">
        <v>90.3</v>
      </c>
      <c r="E53" s="18" t="s">
        <v>136</v>
      </c>
      <c r="F53" s="29">
        <v>7.7</v>
      </c>
      <c r="G53" s="24" t="s">
        <v>122</v>
      </c>
      <c r="H53" s="34">
        <v>1616.94</v>
      </c>
      <c r="I53" s="6" t="s">
        <v>54</v>
      </c>
    </row>
    <row r="54" spans="1:9">
      <c r="A54" s="9"/>
      <c r="B54" s="9"/>
      <c r="C54" s="10"/>
      <c r="D54" s="17">
        <v>959.18</v>
      </c>
      <c r="E54" s="18" t="s">
        <v>137</v>
      </c>
      <c r="F54" s="29">
        <v>29.9</v>
      </c>
      <c r="G54" s="24" t="s">
        <v>41</v>
      </c>
      <c r="H54" s="34"/>
      <c r="I54" s="6"/>
    </row>
    <row r="55" spans="1:9">
      <c r="A55" s="9"/>
      <c r="B55" s="9"/>
      <c r="C55" s="10"/>
      <c r="D55" s="17"/>
      <c r="E55" s="18"/>
      <c r="F55" s="29">
        <v>7</v>
      </c>
      <c r="G55" s="24" t="s">
        <v>123</v>
      </c>
      <c r="H55" s="34"/>
      <c r="I55" s="6"/>
    </row>
    <row r="56" spans="1:9">
      <c r="A56" s="9"/>
      <c r="B56" s="9"/>
      <c r="C56" s="10" t="s">
        <v>8</v>
      </c>
      <c r="D56" s="17"/>
      <c r="E56" s="18"/>
      <c r="F56" s="29">
        <v>22</v>
      </c>
      <c r="G56" s="24" t="s">
        <v>106</v>
      </c>
      <c r="H56" s="34">
        <v>821.83</v>
      </c>
      <c r="I56" s="6" t="s">
        <v>80</v>
      </c>
    </row>
    <row r="57" spans="1:9">
      <c r="A57" s="9"/>
      <c r="B57" s="9"/>
      <c r="C57" s="10"/>
      <c r="D57" s="17"/>
      <c r="E57" s="18"/>
      <c r="F57" s="29">
        <v>22</v>
      </c>
      <c r="G57" s="24" t="s">
        <v>39</v>
      </c>
      <c r="H57" s="34"/>
      <c r="I57" s="6"/>
    </row>
    <row r="58" spans="1:9">
      <c r="A58" s="9"/>
      <c r="B58" s="9"/>
      <c r="C58" s="10"/>
      <c r="D58" s="17"/>
      <c r="E58" s="18"/>
      <c r="F58" s="29"/>
      <c r="G58" s="24"/>
      <c r="H58" s="34"/>
      <c r="I58" s="6"/>
    </row>
    <row r="59" spans="1:9">
      <c r="A59" s="9"/>
      <c r="B59" s="9"/>
      <c r="C59" s="10"/>
      <c r="D59" s="17"/>
      <c r="E59" s="18"/>
      <c r="F59" s="29"/>
      <c r="G59" s="24"/>
      <c r="H59" s="34"/>
      <c r="I59" s="6"/>
    </row>
    <row r="60" spans="1:9">
      <c r="A60" s="9"/>
      <c r="B60" s="9"/>
      <c r="C60" s="10"/>
      <c r="D60" s="17"/>
      <c r="E60" s="18"/>
      <c r="F60" s="29"/>
      <c r="G60" s="24"/>
      <c r="H60" s="34"/>
      <c r="I60" s="6"/>
    </row>
    <row r="61" spans="1:9">
      <c r="A61" s="9"/>
      <c r="B61" s="9"/>
      <c r="C61" s="10" t="s">
        <v>21</v>
      </c>
      <c r="D61" s="17"/>
      <c r="E61" s="18"/>
      <c r="F61" s="29">
        <v>28.36</v>
      </c>
      <c r="G61" s="24" t="s">
        <v>35</v>
      </c>
      <c r="H61" s="34"/>
      <c r="I61" s="6"/>
    </row>
    <row r="62" spans="1:9">
      <c r="A62" s="9"/>
      <c r="B62" s="9"/>
      <c r="C62" s="10"/>
      <c r="D62" s="17"/>
      <c r="E62" s="18"/>
      <c r="F62" s="29">
        <v>30.6</v>
      </c>
      <c r="G62" s="24" t="s">
        <v>34</v>
      </c>
      <c r="H62" s="34"/>
      <c r="I62" s="6"/>
    </row>
    <row r="63" spans="1:9">
      <c r="A63" s="9"/>
      <c r="B63" s="9"/>
      <c r="C63" s="10"/>
      <c r="D63" s="17"/>
      <c r="E63" s="18"/>
      <c r="F63" s="29">
        <v>3.6</v>
      </c>
      <c r="G63" s="24" t="s">
        <v>36</v>
      </c>
      <c r="H63" s="34"/>
      <c r="I63" s="6"/>
    </row>
    <row r="64" spans="1:9">
      <c r="A64" s="9"/>
      <c r="B64" s="9"/>
      <c r="C64" s="10"/>
      <c r="D64" s="17"/>
      <c r="E64" s="18"/>
      <c r="F64" s="29"/>
      <c r="G64" s="24"/>
      <c r="H64" s="34"/>
      <c r="I64" s="6"/>
    </row>
    <row r="65" spans="1:11" ht="30">
      <c r="A65" s="10"/>
      <c r="B65" s="14"/>
      <c r="C65" s="10" t="s">
        <v>49</v>
      </c>
      <c r="D65" s="19"/>
      <c r="E65" s="6"/>
      <c r="F65" s="30"/>
      <c r="G65" s="25"/>
      <c r="H65" s="34">
        <v>6353.86</v>
      </c>
      <c r="I65" s="6" t="s">
        <v>125</v>
      </c>
    </row>
    <row r="66" spans="1:11">
      <c r="A66" s="10"/>
      <c r="B66" s="14"/>
      <c r="C66" s="10"/>
      <c r="D66" s="19"/>
      <c r="E66" s="6"/>
      <c r="F66" s="30"/>
      <c r="G66" s="25"/>
      <c r="H66" s="35">
        <v>93.09</v>
      </c>
      <c r="I66" s="2" t="s">
        <v>126</v>
      </c>
    </row>
    <row r="67" spans="1:11">
      <c r="A67" s="10"/>
      <c r="B67" s="14"/>
      <c r="C67" s="9" t="s">
        <v>50</v>
      </c>
      <c r="D67" s="19"/>
      <c r="E67" s="6"/>
      <c r="F67" s="30"/>
      <c r="G67" s="25"/>
      <c r="H67" s="35">
        <v>1508.08</v>
      </c>
      <c r="I67" s="2" t="s">
        <v>128</v>
      </c>
    </row>
    <row r="68" spans="1:11">
      <c r="A68" s="10"/>
      <c r="B68" s="14"/>
      <c r="C68" s="10"/>
      <c r="D68" s="19"/>
      <c r="E68" s="6"/>
      <c r="F68" s="30"/>
      <c r="G68" s="25"/>
      <c r="H68" s="35">
        <v>100</v>
      </c>
      <c r="I68" s="2" t="s">
        <v>129</v>
      </c>
    </row>
    <row r="69" spans="1:11">
      <c r="A69" s="10"/>
      <c r="B69" s="14"/>
      <c r="C69" s="10"/>
      <c r="D69" s="19"/>
      <c r="E69" s="6"/>
      <c r="F69" s="30"/>
      <c r="G69" s="25"/>
      <c r="H69" s="35">
        <v>180</v>
      </c>
      <c r="I69" s="2" t="s">
        <v>130</v>
      </c>
    </row>
    <row r="70" spans="1:11" ht="30">
      <c r="A70" s="10"/>
      <c r="B70" s="14"/>
      <c r="C70" s="10"/>
      <c r="D70" s="19"/>
      <c r="E70" s="6"/>
      <c r="F70" s="30"/>
      <c r="G70" s="25"/>
      <c r="H70" s="35">
        <v>3770.85</v>
      </c>
      <c r="I70" s="6" t="s">
        <v>131</v>
      </c>
    </row>
    <row r="71" spans="1:11">
      <c r="A71" s="10"/>
      <c r="B71" s="14"/>
      <c r="C71" s="10"/>
      <c r="D71" s="19"/>
      <c r="E71" s="6"/>
      <c r="F71" s="30"/>
      <c r="G71" s="25"/>
      <c r="H71" s="35"/>
      <c r="I71" s="2"/>
    </row>
    <row r="72" spans="1:11">
      <c r="A72" s="12" t="s">
        <v>4</v>
      </c>
      <c r="B72" s="10"/>
      <c r="C72" s="10"/>
      <c r="D72" s="20">
        <f>SUM(D37:D67)</f>
        <v>1198.1599999999999</v>
      </c>
      <c r="E72" s="6"/>
      <c r="F72" s="31">
        <f>SUM(F37:F67)</f>
        <v>665.98</v>
      </c>
      <c r="G72" s="26"/>
      <c r="H72" s="36">
        <f>SUM(H37:H71)</f>
        <v>14444.65</v>
      </c>
      <c r="I72" s="2"/>
    </row>
    <row r="73" spans="1:11" ht="15.75" thickBot="1">
      <c r="A73" s="13" t="s">
        <v>5</v>
      </c>
      <c r="B73" s="39">
        <f>SUM(D72+F72+H72)</f>
        <v>16308.789999999999</v>
      </c>
      <c r="C73" s="38"/>
      <c r="D73" s="21"/>
      <c r="E73" s="22"/>
      <c r="F73" s="32"/>
      <c r="G73" s="27"/>
      <c r="H73" s="37"/>
      <c r="I73" s="3"/>
    </row>
    <row r="74" spans="1:11" s="1" customFormat="1">
      <c r="A74" s="8" t="s">
        <v>104</v>
      </c>
      <c r="B74" s="8" t="s">
        <v>105</v>
      </c>
      <c r="C74" s="11" t="s">
        <v>93</v>
      </c>
      <c r="D74" s="15">
        <v>73.67</v>
      </c>
      <c r="E74" s="16" t="s">
        <v>111</v>
      </c>
      <c r="F74" s="28"/>
      <c r="G74" s="23"/>
      <c r="H74" s="33">
        <v>20.71</v>
      </c>
      <c r="I74" s="5" t="s">
        <v>54</v>
      </c>
    </row>
    <row r="75" spans="1:11" s="1" customFormat="1">
      <c r="A75" s="9"/>
      <c r="B75" s="9"/>
      <c r="C75" s="10"/>
      <c r="D75" s="17">
        <v>50.93</v>
      </c>
      <c r="E75" s="18" t="s">
        <v>39</v>
      </c>
      <c r="F75" s="29"/>
      <c r="G75" s="24"/>
      <c r="H75" s="34"/>
      <c r="I75" s="6"/>
    </row>
    <row r="76" spans="1:11" s="1" customFormat="1">
      <c r="A76" s="9"/>
      <c r="B76" s="9"/>
      <c r="C76" s="10" t="s">
        <v>49</v>
      </c>
      <c r="D76" s="17"/>
      <c r="E76" s="18"/>
      <c r="F76" s="29"/>
      <c r="G76" s="24"/>
      <c r="H76" s="34">
        <v>285</v>
      </c>
      <c r="I76" s="6" t="s">
        <v>127</v>
      </c>
    </row>
    <row r="77" spans="1:11" s="1" customFormat="1">
      <c r="A77" s="9"/>
      <c r="B77" s="9"/>
      <c r="C77" s="9" t="s">
        <v>50</v>
      </c>
      <c r="D77" s="17"/>
      <c r="E77" s="18"/>
      <c r="F77" s="29"/>
      <c r="G77" s="24"/>
      <c r="H77" s="34">
        <v>214.51</v>
      </c>
      <c r="I77" s="2" t="s">
        <v>134</v>
      </c>
      <c r="K77" s="4"/>
    </row>
    <row r="78" spans="1:11" s="1" customFormat="1">
      <c r="A78" s="10"/>
      <c r="B78" s="14"/>
      <c r="C78" s="10"/>
      <c r="D78" s="19"/>
      <c r="E78" s="6"/>
      <c r="F78" s="30"/>
      <c r="G78" s="25"/>
      <c r="H78" s="35"/>
      <c r="I78" s="2"/>
    </row>
    <row r="79" spans="1:11" s="1" customFormat="1">
      <c r="A79" s="12" t="s">
        <v>4</v>
      </c>
      <c r="B79" s="10"/>
      <c r="C79" s="10"/>
      <c r="D79" s="20">
        <f>SUM(D74:D77)</f>
        <v>124.6</v>
      </c>
      <c r="E79" s="6"/>
      <c r="F79" s="31">
        <f>SUM(F74:F77)</f>
        <v>0</v>
      </c>
      <c r="G79" s="26"/>
      <c r="H79" s="36">
        <f>SUM(H74:H78)</f>
        <v>520.22</v>
      </c>
      <c r="I79" s="2"/>
    </row>
    <row r="80" spans="1:11" s="1" customFormat="1" ht="15.75" thickBot="1">
      <c r="A80" s="13" t="s">
        <v>5</v>
      </c>
      <c r="B80" s="39">
        <f>SUM(D79+F79+H79)</f>
        <v>644.82000000000005</v>
      </c>
      <c r="C80" s="38"/>
      <c r="D80" s="21"/>
      <c r="E80" s="22"/>
      <c r="F80" s="32"/>
      <c r="G80" s="27"/>
      <c r="H80" s="37"/>
      <c r="I80" s="3"/>
    </row>
    <row r="81" spans="1:11" s="1" customFormat="1">
      <c r="A81" s="45" t="s">
        <v>115</v>
      </c>
      <c r="B81" s="8" t="s">
        <v>114</v>
      </c>
      <c r="C81" s="11" t="s">
        <v>28</v>
      </c>
      <c r="D81" s="15">
        <v>12.5</v>
      </c>
      <c r="E81" s="16" t="s">
        <v>117</v>
      </c>
      <c r="F81" s="28">
        <v>40.799999999999997</v>
      </c>
      <c r="G81" s="23" t="s">
        <v>34</v>
      </c>
      <c r="H81" s="33">
        <v>16.38</v>
      </c>
      <c r="I81" s="5" t="s">
        <v>118</v>
      </c>
    </row>
    <row r="82" spans="1:11" s="1" customFormat="1">
      <c r="A82" s="9"/>
      <c r="B82" s="9"/>
      <c r="C82" s="10"/>
      <c r="D82" s="17">
        <v>5.3</v>
      </c>
      <c r="E82" s="18" t="s">
        <v>40</v>
      </c>
      <c r="F82" s="29">
        <v>25.99</v>
      </c>
      <c r="G82" s="24" t="s">
        <v>116</v>
      </c>
      <c r="H82" s="34"/>
      <c r="I82" s="6"/>
    </row>
    <row r="83" spans="1:11" s="1" customFormat="1">
      <c r="A83" s="9"/>
      <c r="B83" s="9"/>
      <c r="C83" s="10"/>
      <c r="D83" s="17">
        <v>18.579999999999998</v>
      </c>
      <c r="E83" s="18" t="s">
        <v>117</v>
      </c>
      <c r="F83" s="29">
        <v>17</v>
      </c>
      <c r="G83" s="24" t="s">
        <v>35</v>
      </c>
      <c r="H83" s="34"/>
      <c r="I83" s="6"/>
    </row>
    <row r="84" spans="1:11" s="1" customFormat="1">
      <c r="A84" s="9"/>
      <c r="B84" s="9"/>
      <c r="C84" s="10"/>
      <c r="D84" s="17"/>
      <c r="E84" s="18"/>
      <c r="F84" s="29"/>
      <c r="G84" s="24"/>
      <c r="H84" s="34"/>
      <c r="I84" s="6" t="s">
        <v>138</v>
      </c>
    </row>
    <row r="85" spans="1:11" s="1" customFormat="1">
      <c r="A85" s="9"/>
      <c r="B85" s="9"/>
      <c r="C85" s="9" t="s">
        <v>50</v>
      </c>
      <c r="D85" s="17"/>
      <c r="E85" s="18"/>
      <c r="F85" s="29"/>
      <c r="G85" s="24"/>
      <c r="H85" s="34">
        <v>2076.67</v>
      </c>
      <c r="I85" s="2" t="s">
        <v>139</v>
      </c>
      <c r="K85" s="4"/>
    </row>
    <row r="86" spans="1:11" s="1" customFormat="1">
      <c r="A86" s="10"/>
      <c r="B86" s="14"/>
      <c r="C86" s="10"/>
      <c r="D86" s="19"/>
      <c r="E86" s="6"/>
      <c r="F86" s="30"/>
      <c r="G86" s="25"/>
      <c r="H86" s="35"/>
      <c r="I86" s="2"/>
    </row>
    <row r="87" spans="1:11" s="1" customFormat="1">
      <c r="A87" s="10"/>
      <c r="B87" s="14"/>
      <c r="C87" s="10"/>
      <c r="D87" s="19"/>
      <c r="E87" s="6"/>
      <c r="F87" s="30"/>
      <c r="G87" s="25"/>
      <c r="H87" s="35"/>
      <c r="I87" s="2"/>
    </row>
    <row r="88" spans="1:11" s="1" customFormat="1">
      <c r="A88" s="10"/>
      <c r="B88" s="14"/>
      <c r="C88" s="10"/>
      <c r="D88" s="19"/>
      <c r="E88" s="6"/>
      <c r="F88" s="30"/>
      <c r="G88" s="25"/>
      <c r="H88" s="35"/>
      <c r="I88" s="2"/>
    </row>
    <row r="89" spans="1:11" s="1" customFormat="1">
      <c r="A89" s="12" t="s">
        <v>4</v>
      </c>
      <c r="B89" s="10"/>
      <c r="C89" s="10"/>
      <c r="D89" s="20">
        <f>SUM(D81:D87)</f>
        <v>36.379999999999995</v>
      </c>
      <c r="E89" s="6"/>
      <c r="F89" s="31">
        <f>SUM(F81:F87)</f>
        <v>83.789999999999992</v>
      </c>
      <c r="G89" s="26"/>
      <c r="H89" s="36">
        <f>SUM(H81:H88)</f>
        <v>2093.0500000000002</v>
      </c>
      <c r="I89" s="2"/>
    </row>
    <row r="90" spans="1:11" s="1" customFormat="1" ht="15.75" thickBot="1">
      <c r="A90" s="13" t="s">
        <v>5</v>
      </c>
      <c r="B90" s="39">
        <f>SUM(D89+F89+H89)</f>
        <v>2213.2200000000003</v>
      </c>
      <c r="C90" s="38"/>
      <c r="D90" s="21"/>
      <c r="E90" s="22"/>
      <c r="F90" s="32"/>
      <c r="G90" s="27"/>
      <c r="H90" s="37"/>
      <c r="I90" s="3"/>
    </row>
  </sheetData>
  <mergeCells count="3">
    <mergeCell ref="D1:E1"/>
    <mergeCell ref="F1:G1"/>
    <mergeCell ref="H1:I1"/>
  </mergeCells>
  <pageMargins left="0.31496062992125984" right="0.31496062992125984" top="0.35433070866141736" bottom="0.35433070866141736" header="0.31496062992125984" footer="0.31496062992125984"/>
  <pageSetup paperSize="9" scale="4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>
      <selection activeCell="B37" sqref="B37"/>
    </sheetView>
  </sheetViews>
  <sheetFormatPr defaultRowHeight="15"/>
  <cols>
    <col min="1" max="1" width="18.85546875" bestFit="1" customWidth="1"/>
    <col min="2" max="2" width="29" bestFit="1" customWidth="1"/>
    <col min="3" max="3" width="19.42578125" customWidth="1"/>
    <col min="4" max="4" width="25.5703125" customWidth="1"/>
    <col min="5" max="5" width="14.140625" bestFit="1" customWidth="1"/>
    <col min="6" max="6" width="16.5703125" customWidth="1"/>
    <col min="7" max="7" width="20.140625" customWidth="1"/>
    <col min="8" max="8" width="25.5703125" customWidth="1"/>
    <col min="9" max="9" width="28.1406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141</v>
      </c>
      <c r="B2" s="8" t="s">
        <v>142</v>
      </c>
      <c r="C2" s="11" t="s">
        <v>22</v>
      </c>
      <c r="D2" s="15"/>
      <c r="E2" s="16"/>
      <c r="F2" s="28">
        <f>16+12+12</f>
        <v>40</v>
      </c>
      <c r="G2" s="23" t="s">
        <v>47</v>
      </c>
      <c r="H2" s="33"/>
      <c r="I2" s="5"/>
    </row>
    <row r="3" spans="1:11" s="1" customFormat="1">
      <c r="A3" s="9"/>
      <c r="B3" s="9"/>
      <c r="C3" s="10"/>
      <c r="D3" s="17"/>
      <c r="E3" s="18"/>
      <c r="F3" s="29">
        <v>22</v>
      </c>
      <c r="G3" s="24" t="s">
        <v>106</v>
      </c>
      <c r="H3" s="34"/>
      <c r="I3" s="6"/>
    </row>
    <row r="4" spans="1:11" s="1" customFormat="1">
      <c r="A4" s="9"/>
      <c r="B4" s="9"/>
      <c r="C4" s="10"/>
      <c r="D4" s="17"/>
      <c r="E4" s="18"/>
      <c r="F4" s="29">
        <v>21</v>
      </c>
      <c r="G4" s="24" t="s">
        <v>110</v>
      </c>
      <c r="H4" s="34"/>
      <c r="I4" s="6"/>
    </row>
    <row r="5" spans="1:11" s="1" customFormat="1">
      <c r="A5" s="9"/>
      <c r="B5" s="9"/>
      <c r="C5" s="9" t="s">
        <v>26</v>
      </c>
      <c r="D5" s="17">
        <v>21</v>
      </c>
      <c r="E5" s="18" t="s">
        <v>39</v>
      </c>
      <c r="F5" s="29">
        <v>23.53</v>
      </c>
      <c r="G5" s="24" t="s">
        <v>39</v>
      </c>
      <c r="H5" s="34"/>
      <c r="I5" s="2"/>
      <c r="K5" s="4"/>
    </row>
    <row r="6" spans="1:11" s="1" customFormat="1">
      <c r="A6" s="9"/>
      <c r="B6" s="9"/>
      <c r="C6" s="9"/>
      <c r="D6" s="17"/>
      <c r="E6" s="18"/>
      <c r="F6" s="29">
        <v>144.74</v>
      </c>
      <c r="G6" s="24" t="s">
        <v>163</v>
      </c>
      <c r="H6" s="34"/>
      <c r="I6" s="2"/>
      <c r="K6" s="4"/>
    </row>
    <row r="7" spans="1:11" s="1" customFormat="1">
      <c r="A7" s="9"/>
      <c r="B7" s="9"/>
      <c r="C7" s="9" t="s">
        <v>49</v>
      </c>
      <c r="D7" s="17"/>
      <c r="E7" s="18"/>
      <c r="F7" s="29"/>
      <c r="G7" s="24"/>
      <c r="H7" s="34">
        <v>309.02</v>
      </c>
      <c r="I7" s="46" t="s">
        <v>149</v>
      </c>
      <c r="K7" s="4"/>
    </row>
    <row r="8" spans="1:11" s="1" customFormat="1">
      <c r="A8" s="9"/>
      <c r="B8" s="9"/>
      <c r="C8" s="9" t="s">
        <v>50</v>
      </c>
      <c r="D8" s="17"/>
      <c r="E8" s="18"/>
      <c r="F8" s="29"/>
      <c r="G8" s="24"/>
      <c r="H8" s="34">
        <v>982.34</v>
      </c>
      <c r="I8" s="2" t="s">
        <v>56</v>
      </c>
      <c r="K8" s="4"/>
    </row>
    <row r="9" spans="1:11" s="1" customFormat="1">
      <c r="A9" s="10"/>
      <c r="B9" s="14"/>
      <c r="C9" s="10"/>
      <c r="D9" s="19"/>
      <c r="E9" s="6"/>
      <c r="F9" s="30"/>
      <c r="G9" s="25"/>
      <c r="H9" s="35"/>
      <c r="I9" s="2"/>
    </row>
    <row r="10" spans="1:11" s="1" customFormat="1">
      <c r="A10" s="12" t="s">
        <v>4</v>
      </c>
      <c r="B10" s="10"/>
      <c r="C10" s="10"/>
      <c r="D10" s="20">
        <f>SUM(D2:D9)</f>
        <v>21</v>
      </c>
      <c r="E10" s="6"/>
      <c r="F10" s="31">
        <f>SUM(F2:F9)</f>
        <v>251.27</v>
      </c>
      <c r="G10" s="26"/>
      <c r="H10" s="36">
        <f>SUM(H2:H9)</f>
        <v>1291.3600000000001</v>
      </c>
      <c r="I10" s="2"/>
    </row>
    <row r="11" spans="1:11" s="1" customFormat="1" ht="15.75" thickBot="1">
      <c r="A11" s="13" t="s">
        <v>5</v>
      </c>
      <c r="B11" s="39">
        <f>SUM(D10+F10+H10)</f>
        <v>1563.63</v>
      </c>
      <c r="C11" s="38"/>
      <c r="D11" s="21"/>
      <c r="E11" s="22"/>
      <c r="F11" s="32"/>
      <c r="G11" s="27"/>
      <c r="H11" s="37"/>
      <c r="I11" s="3"/>
    </row>
    <row r="12" spans="1:11" s="1" customFormat="1">
      <c r="A12" s="8" t="s">
        <v>145</v>
      </c>
      <c r="B12" s="8" t="s">
        <v>143</v>
      </c>
      <c r="C12" s="11" t="s">
        <v>22</v>
      </c>
      <c r="D12" s="15"/>
      <c r="E12" s="16"/>
      <c r="F12" s="28"/>
      <c r="G12" s="23"/>
      <c r="H12" s="33"/>
      <c r="I12" s="5"/>
    </row>
    <row r="13" spans="1:11" s="1" customFormat="1">
      <c r="A13" s="9"/>
      <c r="B13" s="9"/>
      <c r="C13" s="10"/>
      <c r="D13" s="17"/>
      <c r="E13" s="18"/>
      <c r="F13" s="29"/>
      <c r="G13" s="24"/>
      <c r="H13" s="34"/>
      <c r="I13" s="6"/>
    </row>
    <row r="14" spans="1:11" s="1" customFormat="1">
      <c r="A14" s="9"/>
      <c r="B14" s="9"/>
      <c r="C14" s="10"/>
      <c r="D14" s="17"/>
      <c r="E14" s="18"/>
      <c r="F14" s="29"/>
      <c r="G14" s="24"/>
      <c r="H14" s="34"/>
      <c r="I14" s="6"/>
    </row>
    <row r="15" spans="1:11" s="1" customFormat="1">
      <c r="A15" s="9"/>
      <c r="B15" s="9"/>
      <c r="C15" s="9" t="s">
        <v>9</v>
      </c>
      <c r="D15" s="17"/>
      <c r="E15" s="18"/>
      <c r="F15" s="29"/>
      <c r="G15" s="24"/>
      <c r="H15" s="34"/>
      <c r="I15" s="2"/>
      <c r="K15" s="4"/>
    </row>
    <row r="16" spans="1:11" s="1" customFormat="1">
      <c r="A16" s="9"/>
      <c r="B16" s="9"/>
      <c r="C16" s="9"/>
      <c r="D16" s="17"/>
      <c r="E16" s="18"/>
      <c r="F16" s="29"/>
      <c r="G16" s="24"/>
      <c r="H16" s="34"/>
      <c r="I16" s="2"/>
      <c r="K16" s="4"/>
    </row>
    <row r="17" spans="1:11" s="1" customFormat="1">
      <c r="A17" s="9"/>
      <c r="B17" s="9"/>
      <c r="C17" s="9" t="s">
        <v>49</v>
      </c>
      <c r="D17" s="17"/>
      <c r="E17" s="18"/>
      <c r="F17" s="29"/>
      <c r="G17" s="24"/>
      <c r="H17" s="34">
        <v>692.6</v>
      </c>
      <c r="I17" s="46" t="s">
        <v>149</v>
      </c>
      <c r="K17" s="4"/>
    </row>
    <row r="18" spans="1:11" s="1" customFormat="1">
      <c r="A18" s="9"/>
      <c r="B18" s="9"/>
      <c r="C18" s="9" t="s">
        <v>50</v>
      </c>
      <c r="D18" s="17"/>
      <c r="E18" s="18"/>
      <c r="F18" s="29"/>
      <c r="G18" s="24"/>
      <c r="H18" s="34">
        <v>834.58</v>
      </c>
      <c r="I18" s="2" t="s">
        <v>56</v>
      </c>
      <c r="K18" s="4"/>
    </row>
    <row r="19" spans="1:11" s="1" customFormat="1">
      <c r="A19" s="10"/>
      <c r="B19" s="14"/>
      <c r="C19" s="10"/>
      <c r="D19" s="19"/>
      <c r="E19" s="6"/>
      <c r="F19" s="30"/>
      <c r="G19" s="25"/>
      <c r="H19" s="35"/>
      <c r="I19" s="2"/>
    </row>
    <row r="20" spans="1:11" s="1" customFormat="1">
      <c r="A20" s="12" t="s">
        <v>4</v>
      </c>
      <c r="B20" s="10"/>
      <c r="C20" s="10"/>
      <c r="D20" s="20">
        <f>SUM(D12:D19)</f>
        <v>0</v>
      </c>
      <c r="E20" s="6"/>
      <c r="F20" s="31">
        <f>SUM(F12:F19)</f>
        <v>0</v>
      </c>
      <c r="G20" s="26"/>
      <c r="H20" s="36">
        <f>SUM(H12:H19)</f>
        <v>1527.18</v>
      </c>
      <c r="I20" s="2"/>
    </row>
    <row r="21" spans="1:11" s="1" customFormat="1" ht="15.75" thickBot="1">
      <c r="A21" s="13" t="s">
        <v>5</v>
      </c>
      <c r="B21" s="39">
        <f>SUM(D20+F20+H20)</f>
        <v>1527.18</v>
      </c>
      <c r="C21" s="38"/>
      <c r="D21" s="21"/>
      <c r="E21" s="22"/>
      <c r="F21" s="32"/>
      <c r="G21" s="27"/>
      <c r="H21" s="37"/>
      <c r="I21" s="3"/>
    </row>
    <row r="22" spans="1:11" s="1" customFormat="1">
      <c r="A22" s="8" t="s">
        <v>146</v>
      </c>
      <c r="B22" s="8" t="s">
        <v>144</v>
      </c>
      <c r="C22" s="11" t="s">
        <v>15</v>
      </c>
      <c r="D22" s="15">
        <v>74.25</v>
      </c>
      <c r="E22" s="16" t="s">
        <v>158</v>
      </c>
      <c r="F22" s="28">
        <v>11.3</v>
      </c>
      <c r="G22" s="23" t="s">
        <v>31</v>
      </c>
      <c r="H22" s="33"/>
      <c r="I22" s="5"/>
    </row>
    <row r="23" spans="1:11" s="1" customFormat="1">
      <c r="A23" s="9"/>
      <c r="B23" s="9"/>
      <c r="C23" s="10"/>
      <c r="D23" s="17">
        <v>74.14</v>
      </c>
      <c r="E23" s="18" t="s">
        <v>160</v>
      </c>
      <c r="F23" s="29">
        <v>47.16</v>
      </c>
      <c r="G23" s="24" t="s">
        <v>35</v>
      </c>
      <c r="H23" s="34"/>
      <c r="I23" s="6"/>
    </row>
    <row r="24" spans="1:11" s="1" customFormat="1">
      <c r="A24" s="9"/>
      <c r="B24" s="9"/>
      <c r="C24" s="10"/>
      <c r="D24" s="17">
        <v>12.29</v>
      </c>
      <c r="E24" s="18" t="s">
        <v>159</v>
      </c>
      <c r="F24" s="29">
        <v>90</v>
      </c>
      <c r="G24" s="24" t="s">
        <v>156</v>
      </c>
      <c r="H24" s="34"/>
      <c r="I24" s="6"/>
    </row>
    <row r="25" spans="1:11" s="1" customFormat="1">
      <c r="A25" s="9"/>
      <c r="B25" s="9"/>
      <c r="C25" s="10"/>
      <c r="D25" s="17">
        <v>270.99</v>
      </c>
      <c r="E25" s="18" t="s">
        <v>161</v>
      </c>
      <c r="F25" s="29">
        <v>2.1</v>
      </c>
      <c r="G25" s="24" t="s">
        <v>36</v>
      </c>
      <c r="H25" s="34"/>
      <c r="I25" s="6"/>
    </row>
    <row r="26" spans="1:11" s="1" customFormat="1">
      <c r="A26" s="9"/>
      <c r="B26" s="9"/>
      <c r="C26" s="10"/>
      <c r="D26" s="17">
        <f>390.44+103.29</f>
        <v>493.73</v>
      </c>
      <c r="E26" s="18" t="s">
        <v>162</v>
      </c>
      <c r="F26" s="29"/>
      <c r="G26" s="24"/>
      <c r="H26" s="34"/>
      <c r="I26" s="6"/>
    </row>
    <row r="27" spans="1:11" s="1" customFormat="1">
      <c r="A27" s="9"/>
      <c r="B27" s="9"/>
      <c r="C27" s="9" t="s">
        <v>147</v>
      </c>
      <c r="D27" s="17">
        <v>105</v>
      </c>
      <c r="E27" s="18" t="s">
        <v>177</v>
      </c>
      <c r="F27" s="29"/>
      <c r="G27" s="24"/>
      <c r="H27" s="34"/>
      <c r="I27" s="2"/>
      <c r="K27" s="4"/>
    </row>
    <row r="28" spans="1:11" s="1" customFormat="1">
      <c r="A28" s="9"/>
      <c r="B28" s="9"/>
      <c r="C28" s="9"/>
      <c r="D28" s="17">
        <v>33.78</v>
      </c>
      <c r="E28" s="18" t="s">
        <v>41</v>
      </c>
      <c r="F28" s="29"/>
      <c r="G28" s="24"/>
      <c r="H28" s="34"/>
      <c r="I28" s="2"/>
      <c r="K28" s="4"/>
    </row>
    <row r="29" spans="1:11" s="1" customFormat="1">
      <c r="A29" s="9"/>
      <c r="B29" s="9"/>
      <c r="C29" s="9"/>
      <c r="D29" s="17">
        <f>23.02+64.32</f>
        <v>87.339999999999989</v>
      </c>
      <c r="E29" s="18" t="s">
        <v>178</v>
      </c>
      <c r="F29" s="29"/>
      <c r="G29" s="24"/>
      <c r="H29" s="34"/>
      <c r="I29" s="2"/>
      <c r="K29" s="4"/>
    </row>
    <row r="30" spans="1:11" s="1" customFormat="1">
      <c r="A30" s="9"/>
      <c r="B30" s="9"/>
      <c r="C30" s="9"/>
      <c r="D30" s="17"/>
      <c r="E30" s="18"/>
      <c r="F30" s="29"/>
      <c r="G30" s="24"/>
      <c r="H30" s="34"/>
      <c r="I30" s="2"/>
      <c r="K30" s="4"/>
    </row>
    <row r="31" spans="1:11" s="1" customFormat="1">
      <c r="A31" s="9"/>
      <c r="B31" s="9"/>
      <c r="C31" s="9" t="s">
        <v>49</v>
      </c>
      <c r="D31" s="17"/>
      <c r="E31" s="18"/>
      <c r="F31" s="29"/>
      <c r="G31" s="24"/>
      <c r="H31" s="34">
        <v>542.69000000000005</v>
      </c>
      <c r="I31" s="2" t="s">
        <v>149</v>
      </c>
      <c r="K31" s="4"/>
    </row>
    <row r="32" spans="1:11" s="1" customFormat="1">
      <c r="A32" s="9"/>
      <c r="B32" s="9"/>
      <c r="C32" s="9"/>
      <c r="D32" s="17"/>
      <c r="E32" s="18"/>
      <c r="F32" s="29"/>
      <c r="G32" s="24"/>
      <c r="H32" s="34">
        <v>2244.77</v>
      </c>
      <c r="I32" s="2" t="s">
        <v>153</v>
      </c>
      <c r="K32" s="4"/>
    </row>
    <row r="33" spans="1:11" s="1" customFormat="1">
      <c r="A33" s="9"/>
      <c r="B33" s="9"/>
      <c r="C33" s="9" t="s">
        <v>50</v>
      </c>
      <c r="D33" s="17"/>
      <c r="E33" s="18"/>
      <c r="F33" s="29"/>
      <c r="G33" s="24"/>
      <c r="H33" s="34">
        <f>1172.17+375+1533.15</f>
        <v>3080.32</v>
      </c>
      <c r="I33" s="2" t="s">
        <v>56</v>
      </c>
      <c r="K33" s="4"/>
    </row>
    <row r="34" spans="1:11" s="1" customFormat="1">
      <c r="A34" s="10"/>
      <c r="B34" s="14"/>
      <c r="C34" s="10"/>
      <c r="D34" s="19"/>
      <c r="E34" s="6"/>
      <c r="F34" s="30"/>
      <c r="G34" s="25"/>
      <c r="H34" s="35"/>
      <c r="I34" s="2"/>
    </row>
    <row r="35" spans="1:11" s="1" customFormat="1">
      <c r="A35" s="12" t="s">
        <v>4</v>
      </c>
      <c r="B35" s="10"/>
      <c r="C35" s="10"/>
      <c r="D35" s="20">
        <f>SUM(D22:D34)</f>
        <v>1151.52</v>
      </c>
      <c r="E35" s="6"/>
      <c r="F35" s="31">
        <f>SUM(F22:F34)</f>
        <v>150.55999999999997</v>
      </c>
      <c r="G35" s="26"/>
      <c r="H35" s="36">
        <f>SUM(H22:H34)</f>
        <v>5867.7800000000007</v>
      </c>
      <c r="I35" s="2"/>
    </row>
    <row r="36" spans="1:11" s="1" customFormat="1" ht="15.75" thickBot="1">
      <c r="A36" s="13" t="s">
        <v>5</v>
      </c>
      <c r="B36" s="39">
        <f>SUM(D35+F35+H35)</f>
        <v>7169.8600000000006</v>
      </c>
      <c r="C36" s="38"/>
      <c r="D36" s="21"/>
      <c r="E36" s="22"/>
      <c r="F36" s="32"/>
      <c r="G36" s="27"/>
      <c r="H36" s="37"/>
      <c r="I36" s="3"/>
    </row>
    <row r="37" spans="1:11" s="1" customFormat="1">
      <c r="A37" s="8" t="s">
        <v>150</v>
      </c>
      <c r="B37" s="8" t="s">
        <v>151</v>
      </c>
      <c r="C37" s="11" t="s">
        <v>22</v>
      </c>
      <c r="D37" s="15">
        <v>4.7300000000000004</v>
      </c>
      <c r="E37" s="16" t="s">
        <v>41</v>
      </c>
      <c r="F37" s="28">
        <v>129.69999999999999</v>
      </c>
      <c r="G37" s="23" t="s">
        <v>47</v>
      </c>
      <c r="H37" s="33"/>
      <c r="I37" s="5"/>
    </row>
    <row r="38" spans="1:11" s="1" customFormat="1">
      <c r="A38" s="9"/>
      <c r="B38" s="9"/>
      <c r="C38" s="10"/>
      <c r="D38" s="17">
        <v>82.41</v>
      </c>
      <c r="E38" s="18" t="s">
        <v>137</v>
      </c>
      <c r="F38" s="29">
        <v>4.5</v>
      </c>
      <c r="G38" s="24" t="s">
        <v>110</v>
      </c>
      <c r="H38" s="34"/>
      <c r="I38" s="6"/>
    </row>
    <row r="39" spans="1:11" s="1" customFormat="1">
      <c r="A39" s="9"/>
      <c r="B39" s="9"/>
      <c r="C39" s="10"/>
      <c r="D39" s="17"/>
      <c r="E39" s="18"/>
      <c r="F39" s="29">
        <v>9</v>
      </c>
      <c r="G39" s="24" t="s">
        <v>209</v>
      </c>
      <c r="H39" s="34"/>
      <c r="I39" s="6"/>
    </row>
    <row r="40" spans="1:11" s="1" customFormat="1">
      <c r="A40" s="9"/>
      <c r="B40" s="9"/>
      <c r="C40" s="9"/>
      <c r="D40" s="17"/>
      <c r="E40" s="18"/>
      <c r="F40" s="29">
        <v>11</v>
      </c>
      <c r="G40" s="24" t="s">
        <v>210</v>
      </c>
      <c r="H40" s="34"/>
      <c r="I40" s="2"/>
      <c r="K40" s="4"/>
    </row>
    <row r="41" spans="1:11" s="1" customFormat="1">
      <c r="A41" s="9"/>
      <c r="B41" s="9"/>
      <c r="C41" s="9"/>
      <c r="D41" s="17"/>
      <c r="E41" s="18"/>
      <c r="F41" s="29">
        <v>61</v>
      </c>
      <c r="G41" s="24" t="s">
        <v>211</v>
      </c>
      <c r="H41" s="34"/>
      <c r="I41" s="2"/>
      <c r="K41" s="4"/>
    </row>
    <row r="42" spans="1:11" s="1" customFormat="1">
      <c r="A42" s="9"/>
      <c r="B42" s="9"/>
      <c r="C42" s="9"/>
      <c r="D42" s="17"/>
      <c r="E42" s="18"/>
      <c r="F42" s="29">
        <v>10.59</v>
      </c>
      <c r="G42" s="24" t="s">
        <v>224</v>
      </c>
      <c r="H42" s="34"/>
      <c r="I42" s="2"/>
      <c r="K42" s="4"/>
    </row>
    <row r="43" spans="1:11" s="1" customFormat="1">
      <c r="A43" s="9"/>
      <c r="B43" s="9"/>
      <c r="C43" s="9" t="s">
        <v>49</v>
      </c>
      <c r="D43" s="17"/>
      <c r="E43" s="18"/>
      <c r="F43" s="29"/>
      <c r="G43" s="24"/>
      <c r="H43" s="34"/>
      <c r="I43" s="2"/>
      <c r="K43" s="4"/>
    </row>
    <row r="44" spans="1:11" s="1" customFormat="1">
      <c r="A44" s="9"/>
      <c r="B44" s="9"/>
      <c r="C44" s="9" t="s">
        <v>50</v>
      </c>
      <c r="D44" s="17"/>
      <c r="E44" s="18"/>
      <c r="F44" s="29"/>
      <c r="G44" s="24"/>
      <c r="H44" s="34">
        <v>2301.63</v>
      </c>
      <c r="I44" s="2" t="s">
        <v>164</v>
      </c>
      <c r="K44" s="4"/>
    </row>
    <row r="45" spans="1:11" s="1" customFormat="1">
      <c r="A45" s="10"/>
      <c r="B45" s="14"/>
      <c r="C45" s="10"/>
      <c r="D45" s="19"/>
      <c r="E45" s="6"/>
      <c r="F45" s="30"/>
      <c r="G45" s="25"/>
      <c r="H45" s="35"/>
      <c r="I45" s="2"/>
    </row>
    <row r="46" spans="1:11" s="1" customFormat="1">
      <c r="A46" s="12" t="s">
        <v>4</v>
      </c>
      <c r="B46" s="10"/>
      <c r="C46" s="10"/>
      <c r="D46" s="20">
        <f>SUM(D37:D45)</f>
        <v>87.14</v>
      </c>
      <c r="E46" s="6"/>
      <c r="F46" s="31">
        <f>SUM(F37:F45)</f>
        <v>225.79</v>
      </c>
      <c r="G46" s="26"/>
      <c r="H46" s="36">
        <f>SUM(H37:H45)</f>
        <v>2301.63</v>
      </c>
      <c r="I46" s="2"/>
    </row>
    <row r="47" spans="1:11" s="1" customFormat="1" ht="15.75" thickBot="1">
      <c r="A47" s="13" t="s">
        <v>5</v>
      </c>
      <c r="B47" s="39">
        <f>SUM(D46+F46+H46)</f>
        <v>2614.56</v>
      </c>
      <c r="C47" s="38"/>
      <c r="D47" s="21"/>
      <c r="E47" s="22"/>
      <c r="F47" s="32"/>
      <c r="G47" s="27"/>
      <c r="H47" s="37"/>
      <c r="I47" s="3"/>
    </row>
    <row r="48" spans="1:11" s="1" customFormat="1">
      <c r="A48" s="45">
        <v>40981</v>
      </c>
      <c r="B48" s="8" t="s">
        <v>152</v>
      </c>
      <c r="C48" s="11" t="s">
        <v>28</v>
      </c>
      <c r="D48" s="15">
        <v>45</v>
      </c>
      <c r="E48" s="16" t="s">
        <v>31</v>
      </c>
      <c r="F48" s="28">
        <v>11.22</v>
      </c>
      <c r="G48" s="23" t="s">
        <v>35</v>
      </c>
      <c r="H48" s="33"/>
      <c r="I48" s="5"/>
    </row>
    <row r="49" spans="1:11" s="1" customFormat="1">
      <c r="A49" s="9"/>
      <c r="B49" s="9"/>
      <c r="C49" s="10"/>
      <c r="D49" s="17">
        <v>4.5999999999999996</v>
      </c>
      <c r="E49" s="18" t="s">
        <v>157</v>
      </c>
      <c r="F49" s="29"/>
      <c r="G49" s="24"/>
      <c r="H49" s="34"/>
      <c r="I49" s="6"/>
    </row>
    <row r="50" spans="1:11" s="1" customFormat="1">
      <c r="A50" s="9"/>
      <c r="B50" s="9"/>
      <c r="C50" s="10"/>
      <c r="D50" s="17">
        <v>17</v>
      </c>
      <c r="E50" s="18" t="s">
        <v>31</v>
      </c>
      <c r="F50" s="29"/>
      <c r="G50" s="24"/>
      <c r="H50" s="34"/>
      <c r="I50" s="6"/>
    </row>
    <row r="51" spans="1:11" s="1" customFormat="1">
      <c r="A51" s="9"/>
      <c r="B51" s="9"/>
      <c r="C51" s="10" t="s">
        <v>15</v>
      </c>
      <c r="D51" s="17"/>
      <c r="E51" s="18"/>
      <c r="F51" s="29">
        <v>47.16</v>
      </c>
      <c r="G51" s="24" t="s">
        <v>35</v>
      </c>
      <c r="H51" s="34"/>
      <c r="I51" s="6"/>
    </row>
    <row r="52" spans="1:11" s="1" customFormat="1">
      <c r="A52" s="9"/>
      <c r="B52" s="9"/>
      <c r="C52" s="9"/>
      <c r="D52" s="17"/>
      <c r="E52" s="18"/>
      <c r="F52" s="29">
        <v>4.2</v>
      </c>
      <c r="G52" s="24" t="s">
        <v>36</v>
      </c>
      <c r="H52" s="34"/>
      <c r="I52" s="2"/>
      <c r="K52" s="4"/>
    </row>
    <row r="53" spans="1:11" s="1" customFormat="1">
      <c r="A53" s="9"/>
      <c r="B53" s="9"/>
      <c r="C53" s="9"/>
      <c r="D53" s="17"/>
      <c r="E53" s="18"/>
      <c r="F53" s="29">
        <v>29</v>
      </c>
      <c r="G53" s="24" t="s">
        <v>156</v>
      </c>
      <c r="H53" s="34"/>
      <c r="I53" s="2"/>
      <c r="K53" s="4"/>
    </row>
    <row r="54" spans="1:11" s="1" customFormat="1">
      <c r="A54" s="9"/>
      <c r="B54" s="9"/>
      <c r="C54" s="9"/>
      <c r="D54" s="17"/>
      <c r="E54" s="18"/>
      <c r="F54" s="29"/>
      <c r="G54" s="24"/>
      <c r="H54" s="34"/>
      <c r="I54" s="2"/>
      <c r="K54" s="4"/>
    </row>
    <row r="55" spans="1:11" s="1" customFormat="1">
      <c r="A55" s="9"/>
      <c r="B55" s="9"/>
      <c r="C55" s="9" t="s">
        <v>49</v>
      </c>
      <c r="D55" s="17"/>
      <c r="E55" s="18"/>
      <c r="F55" s="29"/>
      <c r="G55" s="24"/>
      <c r="H55" s="34"/>
      <c r="I55" s="2"/>
      <c r="K55" s="4"/>
    </row>
    <row r="56" spans="1:11" s="1" customFormat="1">
      <c r="A56" s="9"/>
      <c r="B56" s="9"/>
      <c r="C56" s="9" t="s">
        <v>50</v>
      </c>
      <c r="D56" s="17"/>
      <c r="E56" s="18"/>
      <c r="F56" s="29"/>
      <c r="G56" s="24"/>
      <c r="H56" s="34">
        <v>505.48</v>
      </c>
      <c r="I56" s="2" t="s">
        <v>56</v>
      </c>
      <c r="K56" s="4"/>
    </row>
    <row r="57" spans="1:11" s="1" customFormat="1">
      <c r="A57" s="10"/>
      <c r="B57" s="14"/>
      <c r="C57" s="10"/>
      <c r="D57" s="19"/>
      <c r="E57" s="6"/>
      <c r="F57" s="30"/>
      <c r="G57" s="25"/>
      <c r="H57" s="35"/>
      <c r="I57" s="2"/>
    </row>
    <row r="58" spans="1:11" s="1" customFormat="1">
      <c r="A58" s="12" t="s">
        <v>4</v>
      </c>
      <c r="B58" s="10"/>
      <c r="C58" s="10"/>
      <c r="D58" s="20">
        <f>SUM(D48:D57)</f>
        <v>66.599999999999994</v>
      </c>
      <c r="E58" s="6"/>
      <c r="F58" s="31">
        <f>SUM(F48:F57)</f>
        <v>91.58</v>
      </c>
      <c r="G58" s="26"/>
      <c r="H58" s="36">
        <f>SUM(H48:H57)</f>
        <v>505.48</v>
      </c>
      <c r="I58" s="2"/>
    </row>
    <row r="59" spans="1:11" s="1" customFormat="1" ht="15.75" thickBot="1">
      <c r="A59" s="13" t="s">
        <v>5</v>
      </c>
      <c r="B59" s="39">
        <f>SUM(D58+F58+H58)</f>
        <v>663.66000000000008</v>
      </c>
      <c r="C59" s="38"/>
      <c r="D59" s="21"/>
      <c r="E59" s="22"/>
      <c r="F59" s="32"/>
      <c r="G59" s="27"/>
      <c r="H59" s="37"/>
      <c r="I59" s="3"/>
    </row>
    <row r="60" spans="1:11" s="1" customFormat="1">
      <c r="A60" s="45">
        <v>40994</v>
      </c>
      <c r="B60" s="8" t="s">
        <v>152</v>
      </c>
      <c r="C60" s="11" t="s">
        <v>28</v>
      </c>
      <c r="D60" s="15"/>
      <c r="E60" s="16"/>
      <c r="F60" s="28"/>
      <c r="G60" s="23"/>
      <c r="H60" s="33"/>
      <c r="I60" s="5"/>
    </row>
    <row r="61" spans="1:11" s="1" customFormat="1">
      <c r="A61" s="9"/>
      <c r="B61" s="9"/>
      <c r="C61" s="10"/>
      <c r="D61" s="17"/>
      <c r="E61" s="18"/>
      <c r="F61" s="29"/>
      <c r="G61" s="24"/>
      <c r="H61" s="34"/>
      <c r="I61" s="6"/>
    </row>
    <row r="62" spans="1:11" s="1" customFormat="1">
      <c r="A62" s="9"/>
      <c r="B62" s="9"/>
      <c r="C62" s="10" t="s">
        <v>9</v>
      </c>
      <c r="D62" s="17"/>
      <c r="E62" s="18"/>
      <c r="F62" s="29">
        <f>26.4+17.6</f>
        <v>44</v>
      </c>
      <c r="G62" s="24" t="s">
        <v>39</v>
      </c>
      <c r="H62" s="34"/>
      <c r="I62" s="6"/>
    </row>
    <row r="63" spans="1:11" s="1" customFormat="1">
      <c r="A63" s="9"/>
      <c r="B63" s="9"/>
      <c r="C63" s="9"/>
      <c r="D63" s="17"/>
      <c r="E63" s="18"/>
      <c r="F63" s="29">
        <v>5</v>
      </c>
      <c r="G63" s="24" t="s">
        <v>155</v>
      </c>
      <c r="H63" s="34"/>
      <c r="I63" s="2"/>
      <c r="K63" s="4"/>
    </row>
    <row r="64" spans="1:11" s="1" customFormat="1">
      <c r="A64" s="9"/>
      <c r="B64" s="9"/>
      <c r="C64" s="9" t="s">
        <v>8</v>
      </c>
      <c r="D64" s="17"/>
      <c r="E64" s="18"/>
      <c r="F64" s="29"/>
      <c r="G64" s="24"/>
      <c r="H64" s="34"/>
      <c r="I64" s="2"/>
      <c r="K64" s="4"/>
    </row>
    <row r="65" spans="1:11" s="1" customFormat="1">
      <c r="A65" s="9"/>
      <c r="B65" s="9"/>
      <c r="C65" s="9"/>
      <c r="D65" s="17"/>
      <c r="E65" s="18"/>
      <c r="F65" s="29"/>
      <c r="G65" s="24"/>
      <c r="H65" s="34"/>
      <c r="I65" s="2"/>
      <c r="K65" s="4"/>
    </row>
    <row r="66" spans="1:11" s="1" customFormat="1">
      <c r="A66" s="9"/>
      <c r="B66" s="9"/>
      <c r="C66" s="9" t="s">
        <v>49</v>
      </c>
      <c r="D66" s="17"/>
      <c r="E66" s="18"/>
      <c r="F66" s="29"/>
      <c r="G66" s="24"/>
      <c r="H66" s="34"/>
      <c r="I66" s="2"/>
      <c r="K66" s="4"/>
    </row>
    <row r="67" spans="1:11" s="1" customFormat="1">
      <c r="A67" s="9"/>
      <c r="B67" s="9"/>
      <c r="C67" s="9" t="s">
        <v>50</v>
      </c>
      <c r="D67" s="17"/>
      <c r="E67" s="18"/>
      <c r="F67" s="29"/>
      <c r="G67" s="24"/>
      <c r="H67" s="34">
        <v>456</v>
      </c>
      <c r="I67" s="2" t="s">
        <v>165</v>
      </c>
      <c r="K67" s="4"/>
    </row>
    <row r="68" spans="1:11" s="1" customFormat="1">
      <c r="A68" s="10"/>
      <c r="B68" s="14"/>
      <c r="C68" s="10"/>
      <c r="D68" s="19"/>
      <c r="E68" s="6"/>
      <c r="F68" s="30"/>
      <c r="G68" s="25"/>
      <c r="H68" s="35"/>
      <c r="I68" s="2"/>
    </row>
    <row r="69" spans="1:11" s="1" customFormat="1">
      <c r="A69" s="12" t="s">
        <v>4</v>
      </c>
      <c r="B69" s="10"/>
      <c r="C69" s="10"/>
      <c r="D69" s="20">
        <f>SUM(D60:D68)</f>
        <v>0</v>
      </c>
      <c r="E69" s="6"/>
      <c r="F69" s="31">
        <f>SUM(F60:F68)</f>
        <v>49</v>
      </c>
      <c r="G69" s="26"/>
      <c r="H69" s="36">
        <f>SUM(H60:H68)</f>
        <v>456</v>
      </c>
      <c r="I69" s="2"/>
    </row>
    <row r="70" spans="1:11" s="1" customFormat="1" ht="15.75" thickBot="1">
      <c r="A70" s="13" t="s">
        <v>5</v>
      </c>
      <c r="B70" s="39">
        <f>SUM(D69+F69+H69)</f>
        <v>505</v>
      </c>
      <c r="C70" s="38"/>
      <c r="D70" s="21"/>
      <c r="E70" s="22"/>
      <c r="F70" s="32"/>
      <c r="G70" s="27"/>
      <c r="H70" s="37"/>
      <c r="I70" s="3"/>
    </row>
  </sheetData>
  <mergeCells count="3">
    <mergeCell ref="D1:E1"/>
    <mergeCell ref="F1:G1"/>
    <mergeCell ref="H1:I1"/>
  </mergeCells>
  <pageMargins left="0" right="0" top="0" bottom="0" header="0.31496062992125984" footer="0.31496062992125984"/>
  <pageSetup paperSize="9" scale="5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opLeftCell="A22" workbookViewId="0">
      <selection activeCell="B53" sqref="B53"/>
    </sheetView>
  </sheetViews>
  <sheetFormatPr defaultRowHeight="15"/>
  <cols>
    <col min="1" max="1" width="18.85546875" bestFit="1" customWidth="1"/>
    <col min="2" max="2" width="29" bestFit="1" customWidth="1"/>
    <col min="3" max="3" width="19.42578125" customWidth="1"/>
    <col min="4" max="4" width="24.85546875" customWidth="1"/>
    <col min="5" max="5" width="16" customWidth="1"/>
    <col min="6" max="6" width="16.5703125" customWidth="1"/>
    <col min="7" max="7" width="14.85546875" bestFit="1" customWidth="1"/>
    <col min="8" max="8" width="22.7109375" customWidth="1"/>
    <col min="9" max="9" width="24.425781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168</v>
      </c>
      <c r="B2" s="8" t="s">
        <v>148</v>
      </c>
      <c r="C2" s="11" t="s">
        <v>28</v>
      </c>
      <c r="D2" s="15">
        <v>47.04</v>
      </c>
      <c r="E2" s="16" t="s">
        <v>31</v>
      </c>
      <c r="F2" s="28">
        <v>80</v>
      </c>
      <c r="G2" s="23" t="s">
        <v>34</v>
      </c>
      <c r="H2" s="33"/>
      <c r="I2" s="5"/>
    </row>
    <row r="3" spans="1:11" s="1" customFormat="1">
      <c r="A3" s="9"/>
      <c r="B3" s="9"/>
      <c r="C3" s="10"/>
      <c r="D3" s="17">
        <v>9.5</v>
      </c>
      <c r="E3" s="18" t="s">
        <v>31</v>
      </c>
      <c r="F3" s="29">
        <f>5.42*2</f>
        <v>10.84</v>
      </c>
      <c r="G3" s="24" t="s">
        <v>35</v>
      </c>
      <c r="H3" s="34"/>
      <c r="I3" s="6"/>
    </row>
    <row r="4" spans="1:11" s="1" customFormat="1">
      <c r="A4" s="9"/>
      <c r="B4" s="9"/>
      <c r="C4" s="10"/>
      <c r="D4" s="17">
        <f>8.38+99.73+83.36+117.98+278.71+225.16</f>
        <v>813.31999999999994</v>
      </c>
      <c r="E4" s="18" t="s">
        <v>68</v>
      </c>
      <c r="F4" s="29">
        <v>22</v>
      </c>
      <c r="G4" s="24" t="s">
        <v>41</v>
      </c>
      <c r="H4" s="34"/>
      <c r="I4" s="6"/>
    </row>
    <row r="5" spans="1:11" s="1" customFormat="1">
      <c r="A5" s="9"/>
      <c r="B5" s="9"/>
      <c r="C5" s="10"/>
      <c r="D5" s="17">
        <v>18.760000000000002</v>
      </c>
      <c r="E5" s="18" t="s">
        <v>31</v>
      </c>
      <c r="F5" s="29"/>
      <c r="G5" s="24"/>
      <c r="H5" s="34"/>
      <c r="I5" s="6"/>
    </row>
    <row r="6" spans="1:11" s="1" customFormat="1">
      <c r="A6" s="9"/>
      <c r="B6" s="9"/>
      <c r="C6" s="10"/>
      <c r="D6" s="47">
        <v>838.57</v>
      </c>
      <c r="E6" s="48" t="s">
        <v>179</v>
      </c>
      <c r="F6" s="29"/>
      <c r="G6" s="24"/>
      <c r="H6" s="34"/>
      <c r="I6" s="6"/>
    </row>
    <row r="7" spans="1:11" s="1" customFormat="1">
      <c r="A7" s="9"/>
      <c r="B7" s="9"/>
      <c r="C7" s="10"/>
      <c r="D7" s="47">
        <v>1088.2</v>
      </c>
      <c r="E7" s="48" t="s">
        <v>180</v>
      </c>
      <c r="F7" s="29"/>
      <c r="G7" s="24"/>
      <c r="H7" s="34"/>
      <c r="I7" s="6"/>
    </row>
    <row r="8" spans="1:11" s="1" customFormat="1">
      <c r="A8" s="9"/>
      <c r="B8" s="9"/>
      <c r="C8" s="9" t="s">
        <v>9</v>
      </c>
      <c r="D8" s="17">
        <v>57.58</v>
      </c>
      <c r="E8" s="18"/>
      <c r="F8" s="29">
        <f>27+24.5</f>
        <v>51.5</v>
      </c>
      <c r="G8" s="24" t="s">
        <v>34</v>
      </c>
      <c r="H8" s="34"/>
      <c r="I8" s="2"/>
      <c r="K8" s="4"/>
    </row>
    <row r="9" spans="1:11" s="1" customFormat="1">
      <c r="A9" s="9"/>
      <c r="B9" s="9"/>
      <c r="C9" s="9"/>
      <c r="D9" s="17">
        <v>93.84</v>
      </c>
      <c r="E9" s="18" t="s">
        <v>178</v>
      </c>
      <c r="F9" s="29">
        <v>5.5</v>
      </c>
      <c r="G9" s="24" t="s">
        <v>122</v>
      </c>
      <c r="H9" s="34"/>
      <c r="I9" s="2"/>
      <c r="K9" s="4"/>
    </row>
    <row r="10" spans="1:11" s="1" customFormat="1">
      <c r="A10" s="9"/>
      <c r="B10" s="9"/>
      <c r="C10" s="9" t="s">
        <v>22</v>
      </c>
      <c r="D10" s="17">
        <f>41.64+4.61+15+27.51+9.13</f>
        <v>97.89</v>
      </c>
      <c r="E10" s="18" t="s">
        <v>221</v>
      </c>
      <c r="F10" s="29">
        <v>37</v>
      </c>
      <c r="G10" s="24" t="s">
        <v>39</v>
      </c>
      <c r="H10" s="34">
        <v>23.29</v>
      </c>
      <c r="I10" s="2" t="s">
        <v>174</v>
      </c>
      <c r="K10" s="4"/>
    </row>
    <row r="11" spans="1:11" s="1" customFormat="1">
      <c r="A11" s="9"/>
      <c r="B11" s="9"/>
      <c r="C11" s="9"/>
      <c r="D11" s="17">
        <f>60.69+7.88+1.13+90.42+382.58+288.27+179.25+28.51+311.63+125.4+1.87</f>
        <v>1477.63</v>
      </c>
      <c r="E11" s="18" t="s">
        <v>222</v>
      </c>
      <c r="F11" s="29">
        <v>8.4</v>
      </c>
      <c r="G11" s="24" t="s">
        <v>110</v>
      </c>
      <c r="H11" s="34"/>
      <c r="I11" s="2"/>
      <c r="K11" s="4"/>
    </row>
    <row r="12" spans="1:11" s="1" customFormat="1">
      <c r="A12" s="9"/>
      <c r="B12" s="9"/>
      <c r="C12" s="9" t="s">
        <v>147</v>
      </c>
      <c r="D12" s="17">
        <v>31.11</v>
      </c>
      <c r="E12" s="18" t="s">
        <v>41</v>
      </c>
      <c r="F12" s="29"/>
      <c r="G12" s="24"/>
      <c r="H12" s="34"/>
      <c r="I12" s="2"/>
      <c r="K12" s="4"/>
    </row>
    <row r="13" spans="1:11" s="1" customFormat="1">
      <c r="A13" s="9"/>
      <c r="B13" s="9"/>
      <c r="C13" s="9"/>
      <c r="D13" s="17">
        <v>67.78</v>
      </c>
      <c r="E13" s="18" t="s">
        <v>31</v>
      </c>
      <c r="F13" s="29"/>
      <c r="G13" s="24"/>
      <c r="H13" s="34"/>
      <c r="I13" s="2"/>
      <c r="K13" s="4"/>
    </row>
    <row r="14" spans="1:11" s="1" customFormat="1">
      <c r="A14" s="9"/>
      <c r="B14" s="9"/>
      <c r="C14" s="9"/>
      <c r="D14" s="17">
        <v>104</v>
      </c>
      <c r="E14" s="18" t="s">
        <v>177</v>
      </c>
      <c r="F14" s="29"/>
      <c r="G14" s="24"/>
      <c r="H14" s="34"/>
      <c r="I14" s="2"/>
      <c r="K14" s="4"/>
    </row>
    <row r="15" spans="1:11" s="1" customFormat="1">
      <c r="A15" s="9"/>
      <c r="B15" s="9"/>
      <c r="C15" s="9" t="s">
        <v>49</v>
      </c>
      <c r="D15" s="17"/>
      <c r="E15" s="18"/>
      <c r="F15" s="29"/>
      <c r="G15" s="24"/>
      <c r="H15" s="34">
        <v>4252.75</v>
      </c>
      <c r="I15" s="2" t="s">
        <v>175</v>
      </c>
      <c r="K15" s="4"/>
    </row>
    <row r="16" spans="1:11" s="1" customFormat="1" ht="39" customHeight="1">
      <c r="A16" s="9"/>
      <c r="B16" s="9"/>
      <c r="C16" s="9" t="s">
        <v>50</v>
      </c>
      <c r="D16" s="17"/>
      <c r="E16" s="18"/>
      <c r="F16" s="29"/>
      <c r="G16" s="24"/>
      <c r="H16" s="34">
        <v>4418.5200000000004</v>
      </c>
      <c r="I16" s="6" t="s">
        <v>184</v>
      </c>
      <c r="K16" s="4"/>
    </row>
    <row r="17" spans="1:11" s="1" customFormat="1" ht="14.25" customHeight="1">
      <c r="A17" s="9"/>
      <c r="B17" s="9"/>
      <c r="C17" s="9"/>
      <c r="D17" s="17"/>
      <c r="E17" s="18"/>
      <c r="F17" s="29"/>
      <c r="G17" s="24"/>
      <c r="H17" s="34">
        <v>1397.54</v>
      </c>
      <c r="I17" s="6" t="s">
        <v>185</v>
      </c>
      <c r="K17" s="4"/>
    </row>
    <row r="18" spans="1:11" s="1" customFormat="1">
      <c r="A18" s="10"/>
      <c r="B18" s="14"/>
      <c r="C18" s="10"/>
      <c r="D18" s="19"/>
      <c r="E18" s="6"/>
      <c r="F18" s="30"/>
      <c r="G18" s="25"/>
      <c r="H18" s="35"/>
      <c r="I18" s="2"/>
    </row>
    <row r="19" spans="1:11" s="1" customFormat="1">
      <c r="A19" s="12" t="s">
        <v>4</v>
      </c>
      <c r="B19" s="10"/>
      <c r="C19" s="10"/>
      <c r="D19" s="20">
        <f>SUM(D2:D18)</f>
        <v>4745.2199999999993</v>
      </c>
      <c r="E19" s="6"/>
      <c r="F19" s="31">
        <f>SUM(F2:F18)</f>
        <v>215.24</v>
      </c>
      <c r="G19" s="26"/>
      <c r="H19" s="36">
        <f>SUM(H2:H18)</f>
        <v>10092.100000000002</v>
      </c>
      <c r="I19" s="2"/>
    </row>
    <row r="20" spans="1:11" s="1" customFormat="1" ht="15.75" thickBot="1">
      <c r="A20" s="13" t="s">
        <v>5</v>
      </c>
      <c r="B20" s="39">
        <f>SUM(D19+F19+H19)</f>
        <v>15052.560000000001</v>
      </c>
      <c r="C20" s="38"/>
      <c r="D20" s="21"/>
      <c r="E20" s="22"/>
      <c r="F20" s="32"/>
      <c r="G20" s="27"/>
      <c r="H20" s="37"/>
      <c r="I20" s="3"/>
    </row>
    <row r="21" spans="1:11" s="1" customFormat="1">
      <c r="A21" s="9" t="s">
        <v>169</v>
      </c>
      <c r="B21" s="1" t="s">
        <v>114</v>
      </c>
      <c r="C21" s="11" t="s">
        <v>15</v>
      </c>
      <c r="D21" s="15">
        <v>19.12</v>
      </c>
      <c r="E21" s="16" t="s">
        <v>74</v>
      </c>
      <c r="F21" s="28">
        <f>37.34+37.34</f>
        <v>74.680000000000007</v>
      </c>
      <c r="G21" s="23" t="s">
        <v>35</v>
      </c>
      <c r="H21" s="33">
        <v>74.459999999999994</v>
      </c>
      <c r="I21" s="5" t="s">
        <v>174</v>
      </c>
    </row>
    <row r="22" spans="1:11" s="1" customFormat="1">
      <c r="A22" s="9"/>
      <c r="B22" s="9"/>
      <c r="C22" s="10"/>
      <c r="D22" s="17">
        <f>5.14+5.95</f>
        <v>11.09</v>
      </c>
      <c r="E22" s="18" t="s">
        <v>176</v>
      </c>
      <c r="F22" s="29">
        <f>4.9+3.7</f>
        <v>8.6000000000000014</v>
      </c>
      <c r="G22" s="24" t="s">
        <v>36</v>
      </c>
      <c r="H22" s="34"/>
      <c r="I22" s="6"/>
    </row>
    <row r="23" spans="1:11" s="1" customFormat="1">
      <c r="A23" s="9"/>
      <c r="B23" s="9"/>
      <c r="C23" s="9"/>
      <c r="D23" s="17"/>
      <c r="E23" s="18"/>
      <c r="F23" s="29">
        <f>59.4</f>
        <v>59.4</v>
      </c>
      <c r="G23" s="24" t="s">
        <v>34</v>
      </c>
      <c r="H23" s="34"/>
      <c r="I23" s="2"/>
    </row>
    <row r="24" spans="1:11" s="1" customFormat="1">
      <c r="A24" s="9"/>
      <c r="B24" s="9"/>
      <c r="C24" s="9"/>
      <c r="D24" s="17"/>
      <c r="E24" s="18"/>
      <c r="F24" s="29">
        <v>7.85</v>
      </c>
      <c r="G24" s="24" t="s">
        <v>31</v>
      </c>
      <c r="H24" s="34"/>
      <c r="I24" s="2"/>
    </row>
    <row r="25" spans="1:11" s="1" customFormat="1">
      <c r="A25" s="9"/>
      <c r="B25" s="9"/>
      <c r="C25" s="9"/>
      <c r="D25" s="17"/>
      <c r="E25" s="18"/>
      <c r="F25" s="29"/>
      <c r="G25" s="24"/>
      <c r="H25" s="34"/>
      <c r="I25" s="2"/>
    </row>
    <row r="26" spans="1:11" s="1" customFormat="1">
      <c r="A26" s="9"/>
      <c r="B26" s="9"/>
      <c r="C26" s="9" t="s">
        <v>49</v>
      </c>
      <c r="D26" s="17"/>
      <c r="E26" s="18"/>
      <c r="F26" s="29"/>
      <c r="G26" s="24"/>
      <c r="H26" s="34" t="s">
        <v>187</v>
      </c>
      <c r="I26" s="2"/>
    </row>
    <row r="27" spans="1:11" s="1" customFormat="1">
      <c r="A27" s="9"/>
      <c r="B27" s="9"/>
      <c r="C27" s="9" t="s">
        <v>50</v>
      </c>
      <c r="D27" s="17"/>
      <c r="E27" s="18"/>
      <c r="F27" s="29"/>
      <c r="G27" s="24"/>
      <c r="H27" s="34">
        <v>1410.47</v>
      </c>
      <c r="I27" s="2" t="s">
        <v>164</v>
      </c>
    </row>
    <row r="28" spans="1:11" s="1" customFormat="1">
      <c r="A28" s="10"/>
      <c r="B28" s="14"/>
      <c r="C28" s="10"/>
      <c r="D28" s="19"/>
      <c r="E28" s="6"/>
      <c r="F28" s="30"/>
      <c r="G28" s="25"/>
      <c r="H28" s="35"/>
      <c r="I28" s="2"/>
    </row>
    <row r="29" spans="1:11" s="1" customFormat="1">
      <c r="A29" s="12" t="s">
        <v>4</v>
      </c>
      <c r="B29" s="10"/>
      <c r="C29" s="10"/>
      <c r="D29" s="20">
        <f>SUM(D21:D28)</f>
        <v>30.21</v>
      </c>
      <c r="E29" s="6"/>
      <c r="F29" s="31">
        <f>SUM(F21:F28)</f>
        <v>150.53</v>
      </c>
      <c r="G29" s="26"/>
      <c r="H29" s="36">
        <f>SUM(H21:H28)</f>
        <v>1484.93</v>
      </c>
      <c r="I29" s="2"/>
    </row>
    <row r="30" spans="1:11" s="1" customFormat="1" ht="15.75" thickBot="1">
      <c r="A30" s="13" t="s">
        <v>5</v>
      </c>
      <c r="B30" s="39">
        <f>SUM(D29+F29+H29)</f>
        <v>1665.67</v>
      </c>
      <c r="C30" s="38"/>
      <c r="D30" s="21"/>
      <c r="E30" s="22"/>
      <c r="F30" s="32"/>
      <c r="G30" s="27"/>
      <c r="H30" s="37"/>
      <c r="I30" s="3"/>
    </row>
    <row r="31" spans="1:11" s="1" customFormat="1">
      <c r="A31" s="1" t="s">
        <v>170</v>
      </c>
      <c r="B31" s="11" t="s">
        <v>166</v>
      </c>
      <c r="C31" s="8" t="s">
        <v>97</v>
      </c>
      <c r="D31" s="15"/>
      <c r="E31" s="16"/>
      <c r="F31" s="28"/>
      <c r="G31" s="23"/>
      <c r="H31" s="33">
        <f>34.12+82.22</f>
        <v>116.34</v>
      </c>
      <c r="I31" s="5" t="s">
        <v>174</v>
      </c>
    </row>
    <row r="32" spans="1:11" s="1" customFormat="1">
      <c r="A32" s="9"/>
      <c r="B32" s="9"/>
      <c r="C32" s="10"/>
      <c r="D32" s="17"/>
      <c r="E32" s="18"/>
      <c r="F32" s="29"/>
      <c r="G32" s="24"/>
      <c r="H32" s="34"/>
      <c r="I32" s="6"/>
    </row>
    <row r="33" spans="1:9" s="1" customFormat="1">
      <c r="A33" s="9"/>
      <c r="B33" s="9"/>
      <c r="C33" s="9"/>
      <c r="D33" s="17"/>
      <c r="E33" s="18"/>
      <c r="F33" s="29"/>
      <c r="G33" s="24"/>
      <c r="H33" s="34"/>
      <c r="I33" s="2"/>
    </row>
    <row r="34" spans="1:9" s="1" customFormat="1">
      <c r="A34" s="9"/>
      <c r="B34" s="9"/>
      <c r="C34" s="9"/>
      <c r="D34" s="17"/>
      <c r="E34" s="18"/>
      <c r="F34" s="29"/>
      <c r="G34" s="24"/>
      <c r="H34" s="34"/>
      <c r="I34" s="2"/>
    </row>
    <row r="35" spans="1:9" s="1" customFormat="1">
      <c r="A35" s="9"/>
      <c r="B35" s="9"/>
      <c r="C35" s="9"/>
      <c r="D35" s="17"/>
      <c r="E35" s="18"/>
      <c r="F35" s="29"/>
      <c r="G35" s="24"/>
      <c r="H35" s="34"/>
      <c r="I35" s="2"/>
    </row>
    <row r="36" spans="1:9" s="1" customFormat="1">
      <c r="A36" s="9"/>
      <c r="B36" s="9"/>
      <c r="C36" s="9" t="s">
        <v>49</v>
      </c>
      <c r="D36" s="17"/>
      <c r="E36" s="18"/>
      <c r="F36" s="29"/>
      <c r="G36" s="24"/>
      <c r="H36" s="34">
        <v>832.2</v>
      </c>
      <c r="I36" s="2" t="s">
        <v>188</v>
      </c>
    </row>
    <row r="37" spans="1:9">
      <c r="A37" s="9"/>
      <c r="B37" s="9"/>
      <c r="C37" s="9" t="s">
        <v>50</v>
      </c>
      <c r="D37" s="17"/>
      <c r="E37" s="18"/>
      <c r="F37" s="29"/>
      <c r="G37" s="24"/>
      <c r="H37" s="34">
        <f>501.39+205+30</f>
        <v>736.39</v>
      </c>
      <c r="I37" s="2" t="s">
        <v>164</v>
      </c>
    </row>
    <row r="38" spans="1:9">
      <c r="A38" s="10"/>
      <c r="B38" s="14"/>
      <c r="C38" s="10"/>
      <c r="D38" s="19"/>
      <c r="E38" s="6"/>
      <c r="F38" s="30"/>
      <c r="G38" s="25"/>
      <c r="H38" s="35"/>
      <c r="I38" s="2"/>
    </row>
    <row r="39" spans="1:9">
      <c r="A39" s="12" t="s">
        <v>4</v>
      </c>
      <c r="B39" s="10"/>
      <c r="C39" s="10"/>
      <c r="D39" s="20">
        <f>SUM(D31:D38)</f>
        <v>0</v>
      </c>
      <c r="E39" s="6"/>
      <c r="F39" s="31">
        <f>SUM(F31:F38)</f>
        <v>0</v>
      </c>
      <c r="G39" s="26"/>
      <c r="H39" s="36">
        <f>SUM(H31:H38)</f>
        <v>1684.93</v>
      </c>
      <c r="I39" s="2"/>
    </row>
    <row r="40" spans="1:9" ht="15.75" thickBot="1">
      <c r="A40" s="13" t="s">
        <v>5</v>
      </c>
      <c r="B40" s="39">
        <f>SUM(D39+F39+H39)</f>
        <v>1684.93</v>
      </c>
      <c r="C40" s="38"/>
      <c r="D40" s="21"/>
      <c r="E40" s="22"/>
      <c r="F40" s="32"/>
      <c r="G40" s="27"/>
      <c r="H40" s="37"/>
      <c r="I40" s="3"/>
    </row>
    <row r="41" spans="1:9" s="1" customFormat="1">
      <c r="A41" s="1" t="s">
        <v>171</v>
      </c>
      <c r="B41" s="11" t="s">
        <v>167</v>
      </c>
      <c r="C41" s="8" t="s">
        <v>8</v>
      </c>
      <c r="D41" s="15">
        <f>140.9+9.27+8.81+1.62+10</f>
        <v>170.60000000000002</v>
      </c>
      <c r="E41" s="16" t="s">
        <v>189</v>
      </c>
      <c r="F41" s="28">
        <v>50</v>
      </c>
      <c r="G41" s="23" t="s">
        <v>39</v>
      </c>
      <c r="H41" s="33">
        <v>646.65</v>
      </c>
      <c r="I41" s="5" t="s">
        <v>190</v>
      </c>
    </row>
    <row r="42" spans="1:9" s="1" customFormat="1" ht="30">
      <c r="A42"/>
      <c r="B42" s="9"/>
      <c r="C42" s="9" t="s">
        <v>93</v>
      </c>
      <c r="D42" s="17"/>
      <c r="E42" s="18"/>
      <c r="F42" s="29">
        <v>8.4</v>
      </c>
      <c r="G42" s="24" t="s">
        <v>31</v>
      </c>
      <c r="H42" s="64" t="s">
        <v>223</v>
      </c>
      <c r="I42" s="6"/>
    </row>
    <row r="43" spans="1:9" s="1" customFormat="1">
      <c r="A43" s="9"/>
      <c r="B43" s="9"/>
      <c r="C43" s="9"/>
      <c r="D43" s="17"/>
      <c r="E43" s="18"/>
      <c r="F43" s="29"/>
      <c r="G43" s="24"/>
      <c r="H43" s="34"/>
      <c r="I43" s="2"/>
    </row>
    <row r="44" spans="1:9" s="1" customFormat="1">
      <c r="A44" s="9"/>
      <c r="B44" s="9"/>
      <c r="C44" s="9"/>
      <c r="D44" s="17"/>
      <c r="E44" s="18"/>
      <c r="F44" s="29"/>
      <c r="G44" s="24"/>
      <c r="H44" s="34"/>
      <c r="I44" s="2"/>
    </row>
    <row r="45" spans="1:9" s="1" customFormat="1">
      <c r="A45" s="9"/>
      <c r="B45" s="9"/>
      <c r="C45" s="9"/>
      <c r="D45" s="17"/>
      <c r="E45" s="18"/>
      <c r="F45" s="29"/>
      <c r="G45" s="24"/>
      <c r="H45" s="34"/>
      <c r="I45" s="2"/>
    </row>
    <row r="46" spans="1:9" s="1" customFormat="1">
      <c r="A46" s="9"/>
      <c r="B46" s="9"/>
      <c r="C46" s="9" t="s">
        <v>49</v>
      </c>
      <c r="D46" s="17"/>
      <c r="E46" s="18"/>
      <c r="F46" s="29"/>
      <c r="G46" s="24"/>
      <c r="H46" s="34"/>
      <c r="I46" s="2"/>
    </row>
    <row r="47" spans="1:9">
      <c r="A47" s="9"/>
      <c r="B47" s="9"/>
      <c r="C47" s="9" t="s">
        <v>50</v>
      </c>
      <c r="D47" s="17"/>
      <c r="E47" s="18"/>
      <c r="F47" s="29"/>
      <c r="G47" s="24"/>
      <c r="H47" s="34">
        <v>727.18</v>
      </c>
      <c r="I47" s="2" t="s">
        <v>134</v>
      </c>
    </row>
    <row r="48" spans="1:9">
      <c r="A48" s="10"/>
      <c r="B48" s="14"/>
      <c r="C48" s="10"/>
      <c r="D48" s="19"/>
      <c r="E48" s="6"/>
      <c r="F48" s="30"/>
      <c r="G48" s="25"/>
      <c r="H48" s="35">
        <v>349.82</v>
      </c>
      <c r="I48" s="2" t="s">
        <v>186</v>
      </c>
    </row>
    <row r="49" spans="1:9">
      <c r="A49" s="10"/>
      <c r="B49" s="14"/>
      <c r="C49" s="10"/>
      <c r="D49" s="19"/>
      <c r="E49" s="6"/>
      <c r="F49" s="30"/>
      <c r="G49" s="25"/>
      <c r="H49" s="35"/>
      <c r="I49" s="2"/>
    </row>
    <row r="50" spans="1:9">
      <c r="A50" s="12" t="s">
        <v>4</v>
      </c>
      <c r="B50" s="10"/>
      <c r="C50" s="10"/>
      <c r="D50" s="20">
        <f>SUM(D41:D48)</f>
        <v>170.60000000000002</v>
      </c>
      <c r="E50" s="6"/>
      <c r="F50" s="31">
        <f>SUM(F41:F48)</f>
        <v>58.4</v>
      </c>
      <c r="G50" s="26"/>
      <c r="H50" s="36">
        <f>SUM(H41:H48)</f>
        <v>1723.6499999999999</v>
      </c>
      <c r="I50" s="2"/>
    </row>
    <row r="51" spans="1:9" ht="15.75" thickBot="1">
      <c r="A51" s="13" t="s">
        <v>5</v>
      </c>
      <c r="B51" s="39">
        <f>SUM(D50+F50+H50)</f>
        <v>1952.6499999999999</v>
      </c>
      <c r="C51" s="38"/>
      <c r="D51" s="21"/>
      <c r="E51" s="22"/>
      <c r="F51" s="32"/>
      <c r="G51" s="27"/>
      <c r="H51" s="37"/>
      <c r="I51" s="3"/>
    </row>
    <row r="52" spans="1:9" s="1" customFormat="1">
      <c r="A52" s="1" t="s">
        <v>173</v>
      </c>
      <c r="B52" s="11" t="s">
        <v>172</v>
      </c>
      <c r="C52" s="63" t="s">
        <v>182</v>
      </c>
      <c r="D52" s="15"/>
      <c r="E52" s="16"/>
      <c r="F52" s="28">
        <v>48</v>
      </c>
      <c r="G52" s="23" t="s">
        <v>44</v>
      </c>
      <c r="H52" s="33">
        <v>40.69</v>
      </c>
      <c r="I52" s="5" t="s">
        <v>174</v>
      </c>
    </row>
    <row r="53" spans="1:9" s="1" customFormat="1" ht="30">
      <c r="A53"/>
      <c r="B53" s="50" t="s">
        <v>183</v>
      </c>
      <c r="C53" s="49"/>
      <c r="D53" s="17"/>
      <c r="E53" s="18"/>
      <c r="F53" s="29">
        <v>22</v>
      </c>
      <c r="G53" s="24" t="s">
        <v>207</v>
      </c>
      <c r="H53" s="34"/>
      <c r="I53" s="6"/>
    </row>
    <row r="54" spans="1:9" s="1" customFormat="1">
      <c r="A54"/>
      <c r="B54" s="50"/>
      <c r="C54" s="49"/>
      <c r="D54" s="17"/>
      <c r="E54" s="18"/>
      <c r="F54" s="29">
        <v>9</v>
      </c>
      <c r="G54" s="24" t="s">
        <v>208</v>
      </c>
      <c r="H54" s="34"/>
      <c r="I54" s="6"/>
    </row>
    <row r="55" spans="1:9" s="1" customFormat="1">
      <c r="A55" s="9"/>
      <c r="B55" s="9"/>
      <c r="C55" s="50" t="s">
        <v>26</v>
      </c>
      <c r="D55" s="17">
        <f>14.42+1.39</f>
        <v>15.81</v>
      </c>
      <c r="E55" s="18" t="s">
        <v>39</v>
      </c>
      <c r="F55" s="29">
        <v>20.55</v>
      </c>
      <c r="G55" s="24" t="s">
        <v>31</v>
      </c>
      <c r="H55" s="34">
        <v>95.68</v>
      </c>
      <c r="I55" s="2" t="s">
        <v>174</v>
      </c>
    </row>
    <row r="56" spans="1:9" s="1" customFormat="1">
      <c r="A56" s="9"/>
      <c r="B56" s="9"/>
      <c r="C56" s="9"/>
      <c r="D56" s="17">
        <f>28.76+22.94</f>
        <v>51.7</v>
      </c>
      <c r="E56" s="18" t="s">
        <v>181</v>
      </c>
      <c r="F56" s="29">
        <v>20</v>
      </c>
      <c r="G56" s="24" t="s">
        <v>39</v>
      </c>
      <c r="H56" s="34"/>
      <c r="I56" s="2"/>
    </row>
    <row r="57" spans="1:9" s="1" customFormat="1">
      <c r="A57" s="9"/>
      <c r="B57" s="9"/>
      <c r="C57" s="9"/>
      <c r="D57" s="17"/>
      <c r="E57" s="18"/>
      <c r="F57" s="29">
        <v>40</v>
      </c>
      <c r="G57" s="24" t="s">
        <v>34</v>
      </c>
      <c r="H57" s="34"/>
      <c r="I57" s="2"/>
    </row>
    <row r="58" spans="1:9" s="1" customFormat="1">
      <c r="A58" s="9"/>
      <c r="B58" s="9"/>
      <c r="C58" s="9"/>
      <c r="D58" s="17"/>
      <c r="E58" s="18"/>
      <c r="F58" s="29">
        <f>86.31*2</f>
        <v>172.62</v>
      </c>
      <c r="G58" s="24" t="s">
        <v>35</v>
      </c>
      <c r="H58" s="34"/>
      <c r="I58" s="2"/>
    </row>
    <row r="59" spans="1:9" s="1" customFormat="1">
      <c r="A59" s="9"/>
      <c r="B59" s="9"/>
      <c r="C59" s="9"/>
      <c r="D59" s="17"/>
      <c r="E59" s="18"/>
      <c r="F59" s="29">
        <f>1.5+11.9</f>
        <v>13.4</v>
      </c>
      <c r="G59" s="24" t="s">
        <v>36</v>
      </c>
      <c r="H59" s="34"/>
      <c r="I59" s="2"/>
    </row>
    <row r="60" spans="1:9" s="1" customFormat="1">
      <c r="A60" s="9"/>
      <c r="B60" s="9"/>
      <c r="C60" s="9" t="s">
        <v>49</v>
      </c>
      <c r="D60" s="17"/>
      <c r="E60" s="18"/>
      <c r="F60" s="29"/>
      <c r="G60" s="24"/>
      <c r="H60" s="34"/>
      <c r="I60" s="2"/>
    </row>
    <row r="61" spans="1:9">
      <c r="A61" s="9"/>
      <c r="B61" s="9"/>
      <c r="C61" s="9" t="s">
        <v>50</v>
      </c>
      <c r="D61" s="17"/>
      <c r="E61" s="18"/>
      <c r="F61" s="29"/>
      <c r="G61" s="24"/>
      <c r="H61" s="34">
        <v>2462.7399999999998</v>
      </c>
      <c r="I61" s="6" t="s">
        <v>132</v>
      </c>
    </row>
    <row r="62" spans="1:9">
      <c r="A62" s="10"/>
      <c r="B62" s="14"/>
      <c r="C62" s="10"/>
      <c r="D62" s="19"/>
      <c r="E62" s="6"/>
      <c r="F62" s="30"/>
      <c r="G62" s="25"/>
      <c r="H62" s="35"/>
      <c r="I62" s="2"/>
    </row>
    <row r="63" spans="1:9">
      <c r="A63" s="12" t="s">
        <v>4</v>
      </c>
      <c r="B63" s="10"/>
      <c r="C63" s="10"/>
      <c r="D63" s="20">
        <f>SUM(D52:D62)</f>
        <v>67.510000000000005</v>
      </c>
      <c r="E63" s="6"/>
      <c r="F63" s="31">
        <f>SUM(F52:F62)</f>
        <v>345.57</v>
      </c>
      <c r="G63" s="26"/>
      <c r="H63" s="36">
        <f>SUM(H52:H62)</f>
        <v>2599.1099999999997</v>
      </c>
      <c r="I63" s="2"/>
    </row>
    <row r="64" spans="1:9" ht="15.75" thickBot="1">
      <c r="A64" s="13" t="s">
        <v>5</v>
      </c>
      <c r="B64" s="39">
        <f>SUM(D63+F63+H63)</f>
        <v>3012.1899999999996</v>
      </c>
      <c r="C64" s="38"/>
      <c r="D64" s="21"/>
      <c r="E64" s="22"/>
      <c r="F64" s="32"/>
      <c r="G64" s="27"/>
      <c r="H64" s="37"/>
      <c r="I64" s="3"/>
    </row>
    <row r="65" spans="1:2" ht="15.75" thickBot="1"/>
    <row r="66" spans="1:2" ht="20.25" thickBot="1">
      <c r="A66" s="51" t="s">
        <v>191</v>
      </c>
      <c r="B66" s="52">
        <f>SUM(B20+B30+B40+B51+B64)</f>
        <v>23368.000000000004</v>
      </c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opLeftCell="A79" workbookViewId="0">
      <selection activeCell="D77" sqref="D77"/>
    </sheetView>
  </sheetViews>
  <sheetFormatPr defaultRowHeight="15"/>
  <cols>
    <col min="1" max="1" width="21.7109375" customWidth="1"/>
    <col min="2" max="2" width="29" bestFit="1" customWidth="1"/>
    <col min="3" max="3" width="19.42578125" customWidth="1"/>
    <col min="4" max="4" width="24.85546875" customWidth="1"/>
    <col min="5" max="5" width="22.140625" customWidth="1"/>
    <col min="6" max="6" width="16.5703125" customWidth="1"/>
    <col min="7" max="7" width="19" customWidth="1"/>
    <col min="8" max="8" width="26.42578125" customWidth="1"/>
    <col min="9" max="9" width="28.570312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194</v>
      </c>
      <c r="B2" s="8" t="s">
        <v>172</v>
      </c>
      <c r="C2" s="11" t="s">
        <v>15</v>
      </c>
      <c r="D2" s="15"/>
      <c r="E2" s="16"/>
      <c r="F2" s="28">
        <v>9.8000000000000007</v>
      </c>
      <c r="G2" s="23" t="s">
        <v>110</v>
      </c>
      <c r="H2" s="33">
        <v>101.05</v>
      </c>
      <c r="I2" s="5" t="s">
        <v>206</v>
      </c>
    </row>
    <row r="3" spans="1:11" s="1" customFormat="1">
      <c r="A3" s="9"/>
      <c r="B3" s="9"/>
      <c r="C3" s="10"/>
      <c r="D3" s="17"/>
      <c r="E3" s="18"/>
      <c r="F3" s="29">
        <f>37.34*2</f>
        <v>74.680000000000007</v>
      </c>
      <c r="G3" s="24" t="s">
        <v>35</v>
      </c>
      <c r="H3" s="34"/>
      <c r="I3" s="6"/>
    </row>
    <row r="4" spans="1:11" s="1" customFormat="1">
      <c r="A4" s="55"/>
      <c r="B4" s="9"/>
      <c r="C4" s="10" t="s">
        <v>195</v>
      </c>
      <c r="D4" s="53"/>
      <c r="E4" s="54"/>
      <c r="F4" s="29">
        <f>3.7+1.5</f>
        <v>5.2</v>
      </c>
      <c r="G4" s="24" t="s">
        <v>36</v>
      </c>
      <c r="H4" s="34">
        <v>145.97999999999999</v>
      </c>
      <c r="I4" s="6" t="s">
        <v>205</v>
      </c>
    </row>
    <row r="5" spans="1:11" s="1" customFormat="1">
      <c r="A5" s="9"/>
      <c r="B5" s="9"/>
      <c r="C5" s="10"/>
      <c r="D5" s="47"/>
      <c r="E5" s="48"/>
      <c r="F5" s="29">
        <v>59.4</v>
      </c>
      <c r="G5" s="24" t="s">
        <v>34</v>
      </c>
      <c r="H5" s="34"/>
      <c r="I5" s="6"/>
    </row>
    <row r="6" spans="1:11" s="1" customFormat="1">
      <c r="A6" s="9"/>
      <c r="B6" s="9"/>
      <c r="C6" s="10"/>
      <c r="D6" s="47"/>
      <c r="E6" s="48"/>
      <c r="F6" s="29"/>
      <c r="G6" s="24"/>
      <c r="H6" s="34"/>
      <c r="I6" s="6"/>
    </row>
    <row r="7" spans="1:11" s="1" customFormat="1">
      <c r="A7" s="9"/>
      <c r="B7" s="9"/>
      <c r="C7" s="9"/>
      <c r="D7" s="17"/>
      <c r="E7" s="18"/>
      <c r="F7" s="29"/>
      <c r="G7" s="24"/>
      <c r="H7" s="34"/>
      <c r="I7" s="2"/>
      <c r="K7" s="4"/>
    </row>
    <row r="8" spans="1:11" s="1" customFormat="1">
      <c r="A8" s="9"/>
      <c r="B8" s="9"/>
      <c r="C8" s="9" t="s">
        <v>49</v>
      </c>
      <c r="D8" s="17"/>
      <c r="E8" s="18"/>
      <c r="F8" s="29"/>
      <c r="G8" s="24"/>
      <c r="H8" s="64" t="s">
        <v>237</v>
      </c>
      <c r="I8" s="2"/>
      <c r="K8" s="4"/>
    </row>
    <row r="9" spans="1:11" s="1" customFormat="1" ht="14.25" customHeight="1">
      <c r="A9" s="9"/>
      <c r="B9" s="9"/>
      <c r="C9" s="9" t="s">
        <v>50</v>
      </c>
      <c r="D9" s="17"/>
      <c r="E9" s="18"/>
      <c r="F9" s="29"/>
      <c r="G9" s="24"/>
      <c r="H9" s="34">
        <v>1396.26</v>
      </c>
      <c r="I9" s="6" t="s">
        <v>212</v>
      </c>
      <c r="K9" s="4"/>
    </row>
    <row r="10" spans="1:11" s="1" customFormat="1">
      <c r="A10" s="10"/>
      <c r="B10" s="14"/>
      <c r="C10" s="10"/>
      <c r="D10" s="19"/>
      <c r="E10" s="6"/>
      <c r="F10" s="30"/>
      <c r="G10" s="25"/>
      <c r="H10" s="35"/>
      <c r="I10" s="2"/>
    </row>
    <row r="11" spans="1:11" s="1" customFormat="1">
      <c r="A11" s="12" t="s">
        <v>4</v>
      </c>
      <c r="B11" s="10"/>
      <c r="C11" s="10"/>
      <c r="D11" s="20">
        <f>SUM(D2:D10)</f>
        <v>0</v>
      </c>
      <c r="E11" s="6"/>
      <c r="F11" s="31">
        <f>SUM(F2:F10)</f>
        <v>149.08000000000001</v>
      </c>
      <c r="G11" s="26"/>
      <c r="H11" s="36">
        <f>SUM(H2:H10)</f>
        <v>1643.29</v>
      </c>
      <c r="I11" s="2"/>
    </row>
    <row r="12" spans="1:11" s="1" customFormat="1" ht="15.75" thickBot="1">
      <c r="A12" s="13" t="s">
        <v>5</v>
      </c>
      <c r="B12" s="39">
        <f>SUM(D11+F11+H11)</f>
        <v>1792.37</v>
      </c>
      <c r="C12" s="38"/>
      <c r="D12" s="21"/>
      <c r="E12" s="22"/>
      <c r="F12" s="32"/>
      <c r="G12" s="27"/>
      <c r="H12" s="37"/>
      <c r="I12" s="3"/>
    </row>
    <row r="13" spans="1:11" s="1" customFormat="1">
      <c r="A13" s="9" t="s">
        <v>197</v>
      </c>
      <c r="B13" s="1" t="s">
        <v>192</v>
      </c>
      <c r="C13" s="11" t="s">
        <v>196</v>
      </c>
      <c r="D13" s="15">
        <f>33.87+5.83+53.4+39.36+34.13</f>
        <v>166.58999999999997</v>
      </c>
      <c r="E13" s="16" t="s">
        <v>220</v>
      </c>
      <c r="F13" s="28">
        <v>100</v>
      </c>
      <c r="G13" s="23" t="s">
        <v>219</v>
      </c>
      <c r="H13" s="33">
        <v>518.17999999999995</v>
      </c>
      <c r="I13" s="5" t="s">
        <v>213</v>
      </c>
    </row>
    <row r="14" spans="1:11" s="1" customFormat="1">
      <c r="A14" s="9"/>
      <c r="B14" s="9"/>
      <c r="C14" s="10"/>
      <c r="D14" s="47">
        <v>17.66</v>
      </c>
      <c r="E14" s="48" t="s">
        <v>208</v>
      </c>
      <c r="F14" s="29">
        <v>4.2</v>
      </c>
      <c r="G14" s="24" t="s">
        <v>110</v>
      </c>
      <c r="H14" s="34"/>
      <c r="I14" s="6"/>
    </row>
    <row r="15" spans="1:11" s="1" customFormat="1">
      <c r="A15" s="9"/>
      <c r="B15" s="9"/>
      <c r="C15" s="10"/>
      <c r="D15" s="47">
        <v>23.57</v>
      </c>
      <c r="E15" s="48" t="s">
        <v>41</v>
      </c>
      <c r="F15" s="29">
        <v>18</v>
      </c>
      <c r="G15" s="24" t="s">
        <v>208</v>
      </c>
      <c r="H15" s="34"/>
      <c r="I15" s="2"/>
    </row>
    <row r="16" spans="1:11" s="1" customFormat="1">
      <c r="A16" s="9"/>
      <c r="B16" s="9"/>
      <c r="C16" s="9"/>
      <c r="D16" s="17"/>
      <c r="E16" s="18"/>
      <c r="F16" s="29">
        <v>33.5</v>
      </c>
      <c r="G16" s="24" t="s">
        <v>39</v>
      </c>
      <c r="H16" s="34"/>
      <c r="I16" s="2"/>
    </row>
    <row r="17" spans="1:9" s="1" customFormat="1">
      <c r="A17" s="9"/>
      <c r="B17" s="9"/>
      <c r="C17" s="9"/>
      <c r="D17" s="17"/>
      <c r="E17" s="18"/>
      <c r="F17" s="29"/>
      <c r="G17" s="24"/>
      <c r="H17" s="34"/>
      <c r="I17" s="2"/>
    </row>
    <row r="18" spans="1:9" s="1" customFormat="1">
      <c r="A18" s="9"/>
      <c r="B18" s="9"/>
      <c r="C18" s="9" t="s">
        <v>49</v>
      </c>
      <c r="D18" s="17"/>
      <c r="E18" s="18"/>
      <c r="F18" s="29"/>
      <c r="G18" s="24"/>
      <c r="H18" s="34"/>
      <c r="I18" s="2"/>
    </row>
    <row r="19" spans="1:9" s="1" customFormat="1" ht="30">
      <c r="A19" s="9"/>
      <c r="B19" s="9"/>
      <c r="C19" s="9" t="s">
        <v>50</v>
      </c>
      <c r="D19" s="47"/>
      <c r="E19" s="48"/>
      <c r="F19" s="29"/>
      <c r="G19" s="24"/>
      <c r="H19" s="34">
        <f>1388.17+760+120</f>
        <v>2268.17</v>
      </c>
      <c r="I19" s="6" t="s">
        <v>225</v>
      </c>
    </row>
    <row r="20" spans="1:9" s="1" customFormat="1">
      <c r="A20" s="10"/>
      <c r="B20" s="14"/>
      <c r="C20" s="10"/>
      <c r="D20" s="19"/>
      <c r="E20" s="6"/>
      <c r="F20" s="30"/>
      <c r="G20" s="25"/>
      <c r="H20" s="35"/>
      <c r="I20" s="2"/>
    </row>
    <row r="21" spans="1:9" s="1" customFormat="1">
      <c r="A21" s="12" t="s">
        <v>4</v>
      </c>
      <c r="B21" s="10"/>
      <c r="C21" s="10"/>
      <c r="D21" s="20">
        <f>SUM(D13:D20)</f>
        <v>207.81999999999996</v>
      </c>
      <c r="E21" s="6"/>
      <c r="F21" s="31">
        <f>SUM(F13:F20)</f>
        <v>155.69999999999999</v>
      </c>
      <c r="G21" s="26"/>
      <c r="H21" s="36">
        <f>SUM(H13:H20)</f>
        <v>2786.35</v>
      </c>
      <c r="I21" s="2"/>
    </row>
    <row r="22" spans="1:9" s="1" customFormat="1" ht="15.75" thickBot="1">
      <c r="A22" s="13" t="s">
        <v>5</v>
      </c>
      <c r="B22" s="39">
        <f>SUM(D21+F21+H21)</f>
        <v>3149.87</v>
      </c>
      <c r="C22" s="38"/>
      <c r="D22" s="21"/>
      <c r="E22" s="22"/>
      <c r="F22" s="32"/>
      <c r="G22" s="27"/>
      <c r="H22" s="37"/>
      <c r="I22" s="3"/>
    </row>
    <row r="23" spans="1:9" s="1" customFormat="1">
      <c r="A23" s="1" t="s">
        <v>198</v>
      </c>
      <c r="B23" s="11" t="s">
        <v>151</v>
      </c>
      <c r="C23" s="9" t="s">
        <v>196</v>
      </c>
      <c r="D23" s="15">
        <v>25.12</v>
      </c>
      <c r="E23" s="16" t="s">
        <v>110</v>
      </c>
      <c r="F23" s="28"/>
      <c r="G23" s="23"/>
      <c r="H23" s="34">
        <f>57.56+12.61</f>
        <v>70.17</v>
      </c>
      <c r="I23" s="2" t="s">
        <v>174</v>
      </c>
    </row>
    <row r="24" spans="1:9" s="1" customFormat="1">
      <c r="A24" s="9"/>
      <c r="B24" s="9"/>
      <c r="C24" s="10"/>
      <c r="D24" s="17">
        <v>31.74</v>
      </c>
      <c r="E24" s="18" t="s">
        <v>41</v>
      </c>
      <c r="F24" s="29"/>
      <c r="G24" s="24"/>
      <c r="H24" s="34"/>
      <c r="I24" s="6"/>
    </row>
    <row r="25" spans="1:9" s="1" customFormat="1">
      <c r="A25" s="9"/>
      <c r="B25" s="9"/>
      <c r="C25" s="9"/>
      <c r="D25" s="17"/>
      <c r="E25" s="18"/>
      <c r="F25" s="29"/>
      <c r="G25" s="24"/>
      <c r="H25" s="34"/>
      <c r="I25" s="2"/>
    </row>
    <row r="26" spans="1:9" s="1" customFormat="1">
      <c r="A26" s="9"/>
      <c r="B26" s="9"/>
      <c r="C26" s="9"/>
      <c r="D26" s="17"/>
      <c r="E26" s="18"/>
      <c r="F26" s="29"/>
      <c r="G26" s="24"/>
      <c r="H26" s="34"/>
      <c r="I26" s="2"/>
    </row>
    <row r="27" spans="1:9" s="1" customFormat="1">
      <c r="A27" s="9"/>
      <c r="B27" s="9"/>
      <c r="C27" s="9"/>
      <c r="D27" s="17"/>
      <c r="E27" s="18"/>
      <c r="F27" s="29"/>
      <c r="G27" s="24"/>
      <c r="H27" s="34"/>
      <c r="I27" s="2"/>
    </row>
    <row r="28" spans="1:9" s="1" customFormat="1">
      <c r="A28" s="9"/>
      <c r="B28" s="9"/>
      <c r="C28" s="9" t="s">
        <v>49</v>
      </c>
      <c r="D28" s="17"/>
      <c r="E28" s="18"/>
      <c r="F28" s="29"/>
      <c r="G28" s="24"/>
      <c r="H28" s="34">
        <v>381.72</v>
      </c>
      <c r="I28" s="2" t="s">
        <v>216</v>
      </c>
    </row>
    <row r="29" spans="1:9">
      <c r="A29" s="9"/>
      <c r="B29" s="9"/>
      <c r="C29" s="9" t="s">
        <v>50</v>
      </c>
      <c r="D29" s="17"/>
      <c r="E29" s="18"/>
      <c r="F29" s="29"/>
      <c r="G29" s="24"/>
      <c r="H29" s="34">
        <v>657.61</v>
      </c>
      <c r="I29" s="2" t="s">
        <v>226</v>
      </c>
    </row>
    <row r="30" spans="1:9">
      <c r="A30" s="10"/>
      <c r="B30" s="14"/>
      <c r="C30" s="10"/>
      <c r="D30" s="19"/>
      <c r="E30" s="6"/>
      <c r="F30" s="30"/>
      <c r="G30" s="25"/>
      <c r="H30" s="35"/>
      <c r="I30" s="2"/>
    </row>
    <row r="31" spans="1:9">
      <c r="A31" s="12" t="s">
        <v>4</v>
      </c>
      <c r="B31" s="10"/>
      <c r="C31" s="10"/>
      <c r="D31" s="20">
        <f>SUM(D23:D30)</f>
        <v>56.86</v>
      </c>
      <c r="E31" s="6"/>
      <c r="F31" s="31">
        <f>SUM(F23:F30)</f>
        <v>0</v>
      </c>
      <c r="G31" s="26"/>
      <c r="H31" s="36">
        <f>SUM(H23:H30)</f>
        <v>1109.5</v>
      </c>
      <c r="I31" s="2"/>
    </row>
    <row r="32" spans="1:9" ht="15.75" thickBot="1">
      <c r="A32" s="13" t="s">
        <v>5</v>
      </c>
      <c r="B32" s="39">
        <f>SUM(D31+F31+H31)</f>
        <v>1166.3599999999999</v>
      </c>
      <c r="C32" s="38"/>
      <c r="D32" s="21"/>
      <c r="E32" s="22"/>
      <c r="F32" s="32"/>
      <c r="G32" s="27"/>
      <c r="H32" s="37"/>
      <c r="I32" s="3"/>
    </row>
    <row r="33" spans="1:9" s="1" customFormat="1">
      <c r="A33" s="1" t="s">
        <v>199</v>
      </c>
      <c r="B33" s="11" t="s">
        <v>151</v>
      </c>
      <c r="C33" s="9" t="s">
        <v>196</v>
      </c>
      <c r="D33" s="15">
        <v>10.46</v>
      </c>
      <c r="E33" s="16" t="s">
        <v>110</v>
      </c>
      <c r="F33" s="28">
        <v>66.900000000000006</v>
      </c>
      <c r="G33" s="23" t="s">
        <v>47</v>
      </c>
      <c r="H33" s="33">
        <v>71.5</v>
      </c>
      <c r="I33" s="5" t="s">
        <v>174</v>
      </c>
    </row>
    <row r="34" spans="1:9" s="1" customFormat="1">
      <c r="A34" s="9"/>
      <c r="B34" s="9"/>
      <c r="C34" s="10"/>
      <c r="D34" s="17">
        <v>18.78</v>
      </c>
      <c r="E34" s="18" t="s">
        <v>157</v>
      </c>
      <c r="F34" s="29">
        <v>119</v>
      </c>
      <c r="G34" s="24" t="s">
        <v>219</v>
      </c>
      <c r="H34" s="34"/>
      <c r="I34" s="6"/>
    </row>
    <row r="35" spans="1:9" s="1" customFormat="1">
      <c r="A35" s="9"/>
      <c r="B35" s="9"/>
      <c r="C35" s="9"/>
      <c r="D35" s="17"/>
      <c r="E35" s="18"/>
      <c r="F35" s="29"/>
      <c r="G35" s="24"/>
      <c r="H35" s="34"/>
      <c r="I35" s="2"/>
    </row>
    <row r="36" spans="1:9" s="1" customFormat="1">
      <c r="A36" s="9"/>
      <c r="B36" s="9"/>
      <c r="C36" s="9" t="s">
        <v>147</v>
      </c>
      <c r="D36" s="17">
        <v>5.12</v>
      </c>
      <c r="E36" s="18" t="s">
        <v>110</v>
      </c>
      <c r="F36" s="29">
        <f>51.64+97.59</f>
        <v>149.23000000000002</v>
      </c>
      <c r="G36" s="24" t="s">
        <v>39</v>
      </c>
      <c r="H36" s="34">
        <v>69.52</v>
      </c>
      <c r="I36" s="2" t="s">
        <v>174</v>
      </c>
    </row>
    <row r="37" spans="1:9" s="1" customFormat="1">
      <c r="A37" s="9"/>
      <c r="B37" s="9"/>
      <c r="C37" s="9"/>
      <c r="D37" s="17"/>
      <c r="E37" s="18"/>
      <c r="F37" s="29"/>
      <c r="G37" s="24"/>
      <c r="H37" s="34"/>
      <c r="I37" s="2"/>
    </row>
    <row r="38" spans="1:9" s="1" customFormat="1">
      <c r="A38" s="9"/>
      <c r="B38" s="9"/>
      <c r="C38" s="9" t="s">
        <v>49</v>
      </c>
      <c r="D38" s="17"/>
      <c r="E38" s="18"/>
      <c r="F38" s="29"/>
      <c r="G38" s="24"/>
      <c r="H38" s="34">
        <v>1425.64</v>
      </c>
      <c r="I38" s="2" t="s">
        <v>217</v>
      </c>
    </row>
    <row r="39" spans="1:9">
      <c r="A39" s="9"/>
      <c r="B39" s="9"/>
      <c r="C39" s="9"/>
      <c r="D39" s="17"/>
      <c r="E39" s="18"/>
      <c r="F39" s="29"/>
      <c r="G39" s="24"/>
      <c r="H39" s="34">
        <v>676.5</v>
      </c>
      <c r="I39" s="2" t="s">
        <v>218</v>
      </c>
    </row>
    <row r="40" spans="1:9">
      <c r="A40" s="10"/>
      <c r="B40" s="14"/>
      <c r="C40" s="9" t="s">
        <v>50</v>
      </c>
      <c r="D40" s="19"/>
      <c r="E40" s="6"/>
      <c r="F40" s="30"/>
      <c r="G40" s="25"/>
      <c r="H40" s="35">
        <f>333.79+666.45</f>
        <v>1000.24</v>
      </c>
      <c r="I40" s="2" t="s">
        <v>185</v>
      </c>
    </row>
    <row r="41" spans="1:9">
      <c r="A41" s="10"/>
      <c r="B41" s="14"/>
      <c r="C41" s="9"/>
      <c r="D41" s="19"/>
      <c r="E41" s="6"/>
      <c r="F41" s="30"/>
      <c r="G41" s="25"/>
      <c r="H41" s="35"/>
      <c r="I41" s="2"/>
    </row>
    <row r="42" spans="1:9">
      <c r="A42" s="12" t="s">
        <v>4</v>
      </c>
      <c r="B42" s="10"/>
      <c r="C42" s="10"/>
      <c r="D42" s="20">
        <f>SUM(D33:D40)</f>
        <v>34.36</v>
      </c>
      <c r="E42" s="6"/>
      <c r="F42" s="31">
        <f>SUM(F33:F40)</f>
        <v>335.13</v>
      </c>
      <c r="G42" s="26"/>
      <c r="H42" s="36">
        <f>SUM(H33:H40)</f>
        <v>3243.3999999999996</v>
      </c>
      <c r="I42" s="2"/>
    </row>
    <row r="43" spans="1:9" ht="15.75" thickBot="1">
      <c r="A43" s="13" t="s">
        <v>5</v>
      </c>
      <c r="B43" s="39">
        <f>SUM(D42+F42+H42)</f>
        <v>3612.8899999999994</v>
      </c>
      <c r="C43" s="38"/>
      <c r="D43" s="21"/>
      <c r="E43" s="22"/>
      <c r="F43" s="32"/>
      <c r="G43" s="27"/>
      <c r="H43" s="37"/>
      <c r="I43" s="3"/>
    </row>
    <row r="44" spans="1:9" s="1" customFormat="1">
      <c r="A44" s="1" t="s">
        <v>200</v>
      </c>
      <c r="B44" s="11" t="s">
        <v>98</v>
      </c>
      <c r="C44" s="9" t="s">
        <v>9</v>
      </c>
      <c r="D44" s="15">
        <f>5.3+5.46</f>
        <v>10.76</v>
      </c>
      <c r="E44" s="16" t="s">
        <v>39</v>
      </c>
      <c r="F44" s="28">
        <v>10.7</v>
      </c>
      <c r="G44" s="23" t="s">
        <v>110</v>
      </c>
      <c r="H44" s="33">
        <v>101.77</v>
      </c>
      <c r="I44" s="5" t="s">
        <v>174</v>
      </c>
    </row>
    <row r="45" spans="1:9" s="1" customFormat="1">
      <c r="A45" s="9"/>
      <c r="B45" s="9"/>
      <c r="C45" s="10"/>
      <c r="D45" s="17">
        <f>3.22+40.41+12.17</f>
        <v>55.8</v>
      </c>
      <c r="E45" s="18" t="s">
        <v>274</v>
      </c>
      <c r="F45" s="29">
        <f>42+27</f>
        <v>69</v>
      </c>
      <c r="G45" s="24" t="s">
        <v>154</v>
      </c>
      <c r="H45" s="34"/>
      <c r="I45" s="6"/>
    </row>
    <row r="46" spans="1:9" s="1" customFormat="1">
      <c r="A46" s="9"/>
      <c r="B46" s="9"/>
      <c r="C46" s="9"/>
      <c r="D46" s="17"/>
      <c r="E46" s="18"/>
      <c r="F46" s="29">
        <v>22.4</v>
      </c>
      <c r="G46" s="24" t="s">
        <v>110</v>
      </c>
      <c r="H46" s="34"/>
      <c r="I46" s="2"/>
    </row>
    <row r="47" spans="1:9" s="1" customFormat="1">
      <c r="A47" s="9"/>
      <c r="B47" s="9"/>
      <c r="C47" s="9" t="s">
        <v>8</v>
      </c>
      <c r="D47" s="17"/>
      <c r="E47" s="18"/>
      <c r="F47" s="29">
        <v>9</v>
      </c>
      <c r="G47" s="24" t="s">
        <v>122</v>
      </c>
      <c r="H47" s="34"/>
      <c r="I47" s="2"/>
    </row>
    <row r="48" spans="1:9" s="1" customFormat="1">
      <c r="A48" s="9"/>
      <c r="B48" s="9"/>
      <c r="C48" s="9"/>
      <c r="D48" s="17"/>
      <c r="E48" s="18"/>
      <c r="F48" s="29"/>
      <c r="G48" s="24"/>
      <c r="H48" s="34"/>
      <c r="I48" s="2"/>
    </row>
    <row r="49" spans="1:9" s="1" customFormat="1">
      <c r="A49" s="9"/>
      <c r="B49" s="9"/>
      <c r="C49" s="9" t="s">
        <v>49</v>
      </c>
      <c r="D49" s="17"/>
      <c r="E49" s="18"/>
      <c r="F49" s="29"/>
      <c r="G49" s="24"/>
      <c r="H49" s="34">
        <v>450</v>
      </c>
      <c r="I49" s="2" t="s">
        <v>215</v>
      </c>
    </row>
    <row r="50" spans="1:9">
      <c r="A50" s="9"/>
      <c r="B50" s="9"/>
      <c r="C50" s="9" t="s">
        <v>50</v>
      </c>
      <c r="D50" s="17"/>
      <c r="E50" s="18"/>
      <c r="F50" s="29"/>
      <c r="G50" s="24"/>
      <c r="H50" s="34">
        <f>300.98+940.4</f>
        <v>1241.3800000000001</v>
      </c>
      <c r="I50" s="18" t="s">
        <v>212</v>
      </c>
    </row>
    <row r="51" spans="1:9">
      <c r="A51" s="10"/>
      <c r="B51" s="14"/>
      <c r="C51" s="10"/>
      <c r="D51" s="19"/>
      <c r="E51" s="6"/>
      <c r="F51" s="30"/>
      <c r="G51" s="25"/>
      <c r="H51" s="34"/>
      <c r="I51" s="18"/>
    </row>
    <row r="52" spans="1:9">
      <c r="A52" s="12" t="s">
        <v>4</v>
      </c>
      <c r="B52" s="10"/>
      <c r="C52" s="10"/>
      <c r="D52" s="20">
        <f>SUM(D44:D51)</f>
        <v>66.56</v>
      </c>
      <c r="E52" s="6"/>
      <c r="F52" s="31">
        <f>SUM(F44:F51)</f>
        <v>111.1</v>
      </c>
      <c r="G52" s="26"/>
      <c r="H52" s="36">
        <f>SUM(H44:H51)</f>
        <v>1793.15</v>
      </c>
      <c r="I52" s="2"/>
    </row>
    <row r="53" spans="1:9" ht="18" customHeight="1" thickBot="1">
      <c r="A53" s="13" t="s">
        <v>5</v>
      </c>
      <c r="B53" s="39">
        <f>SUM(D52+F52+H52)</f>
        <v>1970.8100000000002</v>
      </c>
      <c r="C53" s="38"/>
      <c r="D53" s="21"/>
      <c r="E53" s="22"/>
      <c r="F53" s="32"/>
      <c r="G53" s="27"/>
      <c r="H53" s="37"/>
      <c r="I53" s="3"/>
    </row>
    <row r="54" spans="1:9" s="1" customFormat="1">
      <c r="A54" s="1" t="s">
        <v>201</v>
      </c>
      <c r="B54" s="11" t="s">
        <v>214</v>
      </c>
      <c r="C54" s="9" t="s">
        <v>8</v>
      </c>
      <c r="D54" s="15">
        <f>68.04+1.75+66.42+41.73+53.61+21.14+179.03+40.09</f>
        <v>471.81000000000006</v>
      </c>
      <c r="E54" s="16" t="s">
        <v>111</v>
      </c>
      <c r="F54" s="28">
        <f>2.38+2.7</f>
        <v>5.08</v>
      </c>
      <c r="G54" s="23" t="s">
        <v>239</v>
      </c>
      <c r="H54" s="33">
        <v>36.549999999999997</v>
      </c>
      <c r="I54" s="5" t="s">
        <v>240</v>
      </c>
    </row>
    <row r="55" spans="1:9" s="1" customFormat="1">
      <c r="A55" s="9"/>
      <c r="B55" s="9"/>
      <c r="C55" s="10"/>
      <c r="D55" s="17">
        <v>70.760000000000005</v>
      </c>
      <c r="E55" s="18" t="s">
        <v>41</v>
      </c>
      <c r="F55" s="29">
        <f>15+23+25</f>
        <v>63</v>
      </c>
      <c r="G55" s="24" t="s">
        <v>47</v>
      </c>
      <c r="H55" s="34"/>
      <c r="I55" s="6"/>
    </row>
    <row r="56" spans="1:9" s="1" customFormat="1">
      <c r="A56" s="9"/>
      <c r="B56" s="9"/>
      <c r="C56" s="9"/>
      <c r="D56" s="17"/>
      <c r="E56" s="18"/>
      <c r="F56" s="29">
        <v>47</v>
      </c>
      <c r="G56" s="24" t="s">
        <v>238</v>
      </c>
      <c r="H56" s="34"/>
      <c r="I56" s="2"/>
    </row>
    <row r="57" spans="1:9" s="1" customFormat="1">
      <c r="A57" s="9"/>
      <c r="B57" s="9"/>
      <c r="C57" s="9"/>
      <c r="D57" s="17"/>
      <c r="E57" s="18"/>
      <c r="F57" s="29"/>
      <c r="G57" s="24"/>
      <c r="H57" s="34"/>
      <c r="I57" s="2"/>
    </row>
    <row r="58" spans="1:9" s="1" customFormat="1">
      <c r="A58" s="9"/>
      <c r="B58" s="9"/>
      <c r="C58" s="9"/>
      <c r="D58" s="17"/>
      <c r="E58" s="18"/>
      <c r="F58" s="29"/>
      <c r="G58" s="24"/>
      <c r="H58" s="34"/>
      <c r="I58" s="2"/>
    </row>
    <row r="59" spans="1:9" s="1" customFormat="1">
      <c r="A59" s="9"/>
      <c r="B59" s="9"/>
      <c r="C59" s="9" t="s">
        <v>49</v>
      </c>
      <c r="D59" s="17"/>
      <c r="E59" s="18"/>
      <c r="F59" s="29"/>
      <c r="G59" s="24"/>
      <c r="H59" s="34">
        <v>556.1</v>
      </c>
      <c r="I59" s="2" t="s">
        <v>175</v>
      </c>
    </row>
    <row r="60" spans="1:9">
      <c r="A60" s="9"/>
      <c r="B60" s="9"/>
      <c r="C60" s="9" t="s">
        <v>50</v>
      </c>
      <c r="D60" s="17"/>
      <c r="E60" s="18"/>
      <c r="F60" s="29"/>
      <c r="G60" s="24"/>
      <c r="H60" s="34">
        <v>1132.92</v>
      </c>
      <c r="I60" s="2" t="s">
        <v>164</v>
      </c>
    </row>
    <row r="61" spans="1:9">
      <c r="A61" s="10"/>
      <c r="B61" s="14"/>
      <c r="C61" s="10"/>
      <c r="D61" s="19"/>
      <c r="E61" s="6"/>
      <c r="F61" s="30"/>
      <c r="G61" s="25"/>
      <c r="H61" s="35"/>
      <c r="I61" s="2"/>
    </row>
    <row r="62" spans="1:9">
      <c r="A62" s="12" t="s">
        <v>4</v>
      </c>
      <c r="B62" s="10"/>
      <c r="C62" s="10"/>
      <c r="D62" s="20">
        <f>SUM(D54:D61)</f>
        <v>542.57000000000005</v>
      </c>
      <c r="E62" s="6"/>
      <c r="F62" s="31">
        <f>SUM(F54:F61)</f>
        <v>115.08</v>
      </c>
      <c r="G62" s="26"/>
      <c r="H62" s="36">
        <f>SUM(H54:H61)</f>
        <v>1725.5700000000002</v>
      </c>
      <c r="I62" s="2"/>
    </row>
    <row r="63" spans="1:9" ht="15.75" thickBot="1">
      <c r="A63" s="13" t="s">
        <v>5</v>
      </c>
      <c r="B63" s="39">
        <f>SUM(D62+F62+H62)</f>
        <v>2383.2200000000003</v>
      </c>
      <c r="C63" s="38"/>
      <c r="D63" s="21"/>
      <c r="E63" s="22"/>
      <c r="F63" s="32"/>
      <c r="G63" s="27"/>
      <c r="H63" s="37"/>
      <c r="I63" s="3"/>
    </row>
    <row r="64" spans="1:9" s="1" customFormat="1">
      <c r="A64" s="1" t="s">
        <v>202</v>
      </c>
      <c r="B64" s="11" t="s">
        <v>203</v>
      </c>
      <c r="C64" s="9" t="s">
        <v>15</v>
      </c>
      <c r="D64" s="15">
        <v>11.02</v>
      </c>
      <c r="E64" s="16" t="s">
        <v>110</v>
      </c>
      <c r="F64" s="28">
        <v>32.35</v>
      </c>
      <c r="G64" s="23" t="s">
        <v>110</v>
      </c>
      <c r="H64" s="33"/>
      <c r="I64" s="5"/>
    </row>
    <row r="65" spans="1:9" s="1" customFormat="1">
      <c r="A65" s="9"/>
      <c r="B65" s="9"/>
      <c r="C65" s="10"/>
      <c r="D65" s="17"/>
      <c r="E65" s="18"/>
      <c r="F65" s="29">
        <f>37.34*2</f>
        <v>74.680000000000007</v>
      </c>
      <c r="G65" s="24" t="s">
        <v>35</v>
      </c>
      <c r="H65" s="34"/>
      <c r="I65" s="6"/>
    </row>
    <row r="66" spans="1:9" s="1" customFormat="1">
      <c r="A66" s="9"/>
      <c r="B66" s="9"/>
      <c r="C66" s="9"/>
      <c r="D66" s="17"/>
      <c r="E66" s="18"/>
      <c r="F66" s="29">
        <f>4.9*2</f>
        <v>9.8000000000000007</v>
      </c>
      <c r="G66" s="24" t="s">
        <v>36</v>
      </c>
      <c r="H66" s="34"/>
      <c r="I66" s="2"/>
    </row>
    <row r="67" spans="1:9" s="1" customFormat="1">
      <c r="A67" s="9"/>
      <c r="B67" s="9"/>
      <c r="C67" s="9" t="s">
        <v>26</v>
      </c>
      <c r="D67" s="17"/>
      <c r="E67" s="18"/>
      <c r="F67" s="29">
        <v>39.6</v>
      </c>
      <c r="G67" s="24" t="s">
        <v>34</v>
      </c>
      <c r="H67" s="34"/>
      <c r="I67" s="2"/>
    </row>
    <row r="68" spans="1:9" s="1" customFormat="1">
      <c r="A68" s="9"/>
      <c r="B68" s="9"/>
      <c r="C68" s="9"/>
      <c r="D68" s="17"/>
      <c r="E68" s="18"/>
      <c r="F68" s="29">
        <v>32.35</v>
      </c>
      <c r="G68" s="24" t="s">
        <v>110</v>
      </c>
      <c r="H68" s="34"/>
      <c r="I68" s="2"/>
    </row>
    <row r="69" spans="1:9" s="1" customFormat="1">
      <c r="A69" s="9"/>
      <c r="B69" s="9"/>
      <c r="C69" s="9"/>
      <c r="D69" s="17"/>
      <c r="E69" s="18"/>
      <c r="F69" s="29">
        <v>20</v>
      </c>
      <c r="G69" s="24" t="s">
        <v>245</v>
      </c>
      <c r="H69" s="34"/>
      <c r="I69" s="2"/>
    </row>
    <row r="70" spans="1:9" s="1" customFormat="1">
      <c r="A70" s="9"/>
      <c r="B70" s="9"/>
      <c r="C70" s="9"/>
      <c r="D70" s="17"/>
      <c r="E70" s="18"/>
      <c r="F70" s="29">
        <v>149</v>
      </c>
      <c r="G70" s="24" t="s">
        <v>246</v>
      </c>
      <c r="H70" s="34"/>
      <c r="I70" s="2"/>
    </row>
    <row r="71" spans="1:9" s="1" customFormat="1">
      <c r="A71" s="9"/>
      <c r="B71" s="9"/>
      <c r="C71" s="9" t="s">
        <v>49</v>
      </c>
      <c r="D71" s="17"/>
      <c r="E71" s="18"/>
      <c r="F71" s="29"/>
      <c r="G71" s="24"/>
      <c r="H71" s="34" t="s">
        <v>237</v>
      </c>
      <c r="I71" s="2"/>
    </row>
    <row r="72" spans="1:9">
      <c r="A72" s="9"/>
      <c r="B72" s="9"/>
      <c r="C72" s="9" t="s">
        <v>50</v>
      </c>
      <c r="D72" s="17"/>
      <c r="E72" s="18"/>
      <c r="F72" s="29"/>
      <c r="G72" s="24"/>
      <c r="H72" s="34">
        <v>2277.64</v>
      </c>
      <c r="I72" s="2" t="s">
        <v>212</v>
      </c>
    </row>
    <row r="73" spans="1:9">
      <c r="A73" s="10"/>
      <c r="B73" s="14"/>
      <c r="C73" s="10"/>
      <c r="D73" s="19"/>
      <c r="E73" s="6"/>
      <c r="F73" s="30"/>
      <c r="G73" s="25"/>
      <c r="H73" s="35"/>
      <c r="I73" s="2"/>
    </row>
    <row r="74" spans="1:9">
      <c r="A74" s="12" t="s">
        <v>4</v>
      </c>
      <c r="B74" s="10"/>
      <c r="C74" s="10"/>
      <c r="D74" s="20">
        <f>SUM(D64:D73)</f>
        <v>11.02</v>
      </c>
      <c r="E74" s="6"/>
      <c r="F74" s="31">
        <f>SUM(F64:F73)</f>
        <v>357.78</v>
      </c>
      <c r="G74" s="26"/>
      <c r="H74" s="36">
        <f>SUM(H64:H73)</f>
        <v>2277.64</v>
      </c>
      <c r="I74" s="2"/>
    </row>
    <row r="75" spans="1:9" ht="15.75" thickBot="1">
      <c r="A75" s="13" t="s">
        <v>5</v>
      </c>
      <c r="B75" s="39">
        <f>SUM(D74+F74+H74)</f>
        <v>2646.4399999999996</v>
      </c>
      <c r="C75" s="38"/>
      <c r="D75" s="21"/>
      <c r="E75" s="22"/>
      <c r="F75" s="32"/>
      <c r="G75" s="27"/>
      <c r="H75" s="37"/>
      <c r="I75" s="3"/>
    </row>
    <row r="76" spans="1:9" s="1" customFormat="1">
      <c r="A76" s="58" t="s">
        <v>204</v>
      </c>
      <c r="B76" s="11" t="s">
        <v>193</v>
      </c>
      <c r="C76" s="9" t="s">
        <v>97</v>
      </c>
      <c r="D76" s="15">
        <f>4.29+10.75</f>
        <v>15.04</v>
      </c>
      <c r="E76" s="16" t="s">
        <v>72</v>
      </c>
      <c r="F76" s="28">
        <f>1.6+11.85</f>
        <v>13.45</v>
      </c>
      <c r="G76" s="23" t="s">
        <v>72</v>
      </c>
      <c r="H76" s="33">
        <v>814.16</v>
      </c>
      <c r="I76" s="5" t="s">
        <v>188</v>
      </c>
    </row>
    <row r="77" spans="1:9" s="1" customFormat="1">
      <c r="A77" s="9"/>
      <c r="B77" s="9"/>
      <c r="C77" s="10"/>
      <c r="D77" s="17"/>
      <c r="E77" s="18"/>
      <c r="F77" s="29">
        <v>20</v>
      </c>
      <c r="G77" s="24" t="s">
        <v>74</v>
      </c>
      <c r="H77" s="34"/>
      <c r="I77" s="6"/>
    </row>
    <row r="78" spans="1:9" s="1" customFormat="1">
      <c r="A78" s="9"/>
      <c r="B78" s="9"/>
      <c r="C78" s="9"/>
      <c r="D78" s="17"/>
      <c r="E78" s="18"/>
      <c r="F78" s="29"/>
      <c r="G78" s="24"/>
      <c r="H78" s="34"/>
      <c r="I78" s="2"/>
    </row>
    <row r="79" spans="1:9" s="1" customFormat="1">
      <c r="A79" s="9"/>
      <c r="B79" s="9"/>
      <c r="C79" s="9"/>
      <c r="D79" s="17"/>
      <c r="E79" s="18"/>
      <c r="F79" s="29"/>
      <c r="G79" s="24"/>
      <c r="H79" s="34"/>
      <c r="I79" s="2"/>
    </row>
    <row r="80" spans="1:9" s="1" customFormat="1">
      <c r="A80" s="9"/>
      <c r="B80" s="9"/>
      <c r="C80" s="9"/>
      <c r="D80" s="17"/>
      <c r="E80" s="18"/>
      <c r="F80" s="29"/>
      <c r="G80" s="24"/>
      <c r="H80" s="34"/>
      <c r="I80" s="2"/>
    </row>
    <row r="81" spans="1:9" s="1" customFormat="1">
      <c r="A81" s="9"/>
      <c r="B81" s="9"/>
      <c r="C81" s="9" t="s">
        <v>49</v>
      </c>
      <c r="D81" s="17"/>
      <c r="E81" s="18"/>
      <c r="F81" s="29"/>
      <c r="G81" s="24"/>
      <c r="H81" s="34">
        <v>653.75</v>
      </c>
      <c r="I81" s="2" t="s">
        <v>236</v>
      </c>
    </row>
    <row r="82" spans="1:9">
      <c r="A82" s="9"/>
      <c r="B82" s="9"/>
      <c r="C82" s="9" t="s">
        <v>50</v>
      </c>
      <c r="D82" s="17"/>
      <c r="E82" s="18"/>
      <c r="F82" s="29"/>
      <c r="G82" s="24"/>
      <c r="H82" s="34">
        <v>867.66</v>
      </c>
      <c r="I82" s="2" t="s">
        <v>164</v>
      </c>
    </row>
    <row r="83" spans="1:9">
      <c r="A83" s="10"/>
      <c r="B83" s="14"/>
      <c r="C83" s="10"/>
      <c r="D83" s="19"/>
      <c r="E83" s="6"/>
      <c r="F83" s="30"/>
      <c r="G83" s="25"/>
      <c r="H83" s="35"/>
      <c r="I83" s="2"/>
    </row>
    <row r="84" spans="1:9">
      <c r="A84" s="12" t="s">
        <v>4</v>
      </c>
      <c r="B84" s="10"/>
      <c r="C84" s="10"/>
      <c r="D84" s="20">
        <f>SUM(D76:D83)</f>
        <v>15.04</v>
      </c>
      <c r="E84" s="6"/>
      <c r="F84" s="31">
        <f>SUM(F76:F83)</f>
        <v>33.450000000000003</v>
      </c>
      <c r="G84" s="26"/>
      <c r="H84" s="36">
        <f>SUM(H76:H83)</f>
        <v>2335.5699999999997</v>
      </c>
      <c r="I84" s="2"/>
    </row>
    <row r="85" spans="1:9" ht="15.75" thickBot="1">
      <c r="A85" s="13" t="s">
        <v>5</v>
      </c>
      <c r="B85" s="39">
        <f>SUM(D84+F84+H84)</f>
        <v>2384.0599999999995</v>
      </c>
      <c r="C85" s="38"/>
      <c r="D85" s="21"/>
      <c r="E85" s="22"/>
      <c r="F85" s="32"/>
      <c r="G85" s="27"/>
      <c r="H85" s="37"/>
      <c r="I85" s="3"/>
    </row>
    <row r="86" spans="1:9" s="1" customFormat="1">
      <c r="A86" s="58" t="s">
        <v>232</v>
      </c>
      <c r="B86" s="11" t="s">
        <v>227</v>
      </c>
      <c r="C86" s="9" t="s">
        <v>103</v>
      </c>
      <c r="D86" s="15">
        <f>7.19+8.79+10.61+9.79+5.69+2.95+4.97+4.05</f>
        <v>54.039999999999992</v>
      </c>
      <c r="E86" s="16" t="s">
        <v>242</v>
      </c>
      <c r="F86" s="28">
        <v>22</v>
      </c>
      <c r="G86" s="23" t="s">
        <v>106</v>
      </c>
      <c r="H86" s="33">
        <v>36.18</v>
      </c>
      <c r="I86" s="5" t="s">
        <v>174</v>
      </c>
    </row>
    <row r="87" spans="1:9" s="1" customFormat="1">
      <c r="A87" s="9"/>
      <c r="B87" s="9"/>
      <c r="C87" s="10"/>
      <c r="D87" s="17">
        <v>6.73</v>
      </c>
      <c r="E87" s="18" t="s">
        <v>72</v>
      </c>
      <c r="F87" s="29"/>
      <c r="G87" s="24"/>
      <c r="H87" s="34"/>
      <c r="I87" s="6"/>
    </row>
    <row r="88" spans="1:9" s="1" customFormat="1">
      <c r="A88" s="9"/>
      <c r="B88" s="9"/>
      <c r="C88" s="9" t="s">
        <v>228</v>
      </c>
      <c r="D88" s="17">
        <f>3.35+7.7+23.51+4.18+15.87</f>
        <v>54.61</v>
      </c>
      <c r="E88" s="18" t="s">
        <v>221</v>
      </c>
      <c r="F88" s="29"/>
      <c r="G88" s="24"/>
      <c r="H88" s="34"/>
      <c r="I88" s="2"/>
    </row>
    <row r="89" spans="1:9" s="1" customFormat="1">
      <c r="A89" s="9"/>
      <c r="B89" s="9"/>
      <c r="C89" s="9"/>
      <c r="D89" s="17">
        <f>7.99+2.77</f>
        <v>10.76</v>
      </c>
      <c r="E89" s="18" t="s">
        <v>72</v>
      </c>
      <c r="F89" s="29"/>
      <c r="G89" s="24"/>
      <c r="H89" s="34"/>
      <c r="I89" s="2"/>
    </row>
    <row r="90" spans="1:9" s="1" customFormat="1">
      <c r="A90" s="9"/>
      <c r="B90" s="9"/>
      <c r="C90" s="9"/>
      <c r="D90" s="17">
        <v>366.58</v>
      </c>
      <c r="E90" s="18" t="s">
        <v>243</v>
      </c>
      <c r="F90" s="29"/>
      <c r="G90" s="24"/>
      <c r="H90" s="34"/>
      <c r="I90" s="2"/>
    </row>
    <row r="91" spans="1:9" s="1" customFormat="1">
      <c r="A91" s="9"/>
      <c r="B91" s="9"/>
      <c r="C91" s="9" t="s">
        <v>49</v>
      </c>
      <c r="D91" s="17"/>
      <c r="E91" s="18"/>
      <c r="F91" s="29"/>
      <c r="G91" s="24"/>
      <c r="H91" s="34">
        <v>2687.2</v>
      </c>
      <c r="I91" s="2" t="s">
        <v>244</v>
      </c>
    </row>
    <row r="92" spans="1:9">
      <c r="A92" s="9"/>
      <c r="B92" s="9"/>
      <c r="C92" s="9" t="s">
        <v>50</v>
      </c>
      <c r="D92" s="17"/>
      <c r="E92" s="18"/>
      <c r="F92" s="29"/>
      <c r="G92" s="24"/>
      <c r="H92" s="34">
        <v>8190.92</v>
      </c>
      <c r="I92" s="2" t="s">
        <v>164</v>
      </c>
    </row>
    <row r="93" spans="1:9">
      <c r="A93" s="10"/>
      <c r="B93" s="14"/>
      <c r="C93" s="10"/>
      <c r="D93" s="19"/>
      <c r="E93" s="6"/>
      <c r="F93" s="30"/>
      <c r="G93" s="25"/>
      <c r="H93" s="35"/>
      <c r="I93" s="2"/>
    </row>
    <row r="94" spans="1:9">
      <c r="A94" s="12" t="s">
        <v>4</v>
      </c>
      <c r="B94" s="10"/>
      <c r="C94" s="10"/>
      <c r="D94" s="20">
        <f>SUM(D86:D93)</f>
        <v>492.71999999999997</v>
      </c>
      <c r="E94" s="6"/>
      <c r="F94" s="31">
        <f>SUM(F86:F93)</f>
        <v>22</v>
      </c>
      <c r="G94" s="26"/>
      <c r="H94" s="36">
        <f>SUM(H86:H93)</f>
        <v>10914.3</v>
      </c>
      <c r="I94" s="2"/>
    </row>
    <row r="95" spans="1:9" ht="15.75" thickBot="1">
      <c r="A95" s="13" t="s">
        <v>5</v>
      </c>
      <c r="B95" s="39">
        <f>SUM(D94+F94+H94)</f>
        <v>11429.019999999999</v>
      </c>
      <c r="C95" s="38"/>
      <c r="D95" s="21"/>
      <c r="E95" s="22"/>
      <c r="F95" s="32"/>
      <c r="G95" s="27"/>
      <c r="H95" s="37"/>
      <c r="I95" s="3"/>
    </row>
    <row r="96" spans="1:9" s="1" customFormat="1">
      <c r="A96" s="58">
        <v>41045</v>
      </c>
      <c r="B96" s="11" t="s">
        <v>152</v>
      </c>
      <c r="C96" s="9" t="s">
        <v>16</v>
      </c>
      <c r="D96" s="15">
        <f>7.8+20.5</f>
        <v>28.3</v>
      </c>
      <c r="E96" s="16" t="s">
        <v>107</v>
      </c>
      <c r="F96" s="28"/>
      <c r="G96" s="23"/>
      <c r="H96" s="33"/>
      <c r="I96" s="5"/>
    </row>
    <row r="97" spans="1:9" s="1" customFormat="1">
      <c r="A97" s="9"/>
      <c r="B97" s="9"/>
      <c r="C97" s="10"/>
      <c r="D97" s="17">
        <f>36</f>
        <v>36</v>
      </c>
      <c r="E97" s="18" t="s">
        <v>41</v>
      </c>
      <c r="F97" s="29"/>
      <c r="G97" s="24"/>
      <c r="H97" s="34"/>
      <c r="I97" s="6"/>
    </row>
    <row r="98" spans="1:9" s="1" customFormat="1">
      <c r="A98" s="9"/>
      <c r="B98" s="9"/>
      <c r="C98" s="9" t="s">
        <v>229</v>
      </c>
      <c r="D98" s="17"/>
      <c r="E98" s="18"/>
      <c r="F98" s="29"/>
      <c r="G98" s="24"/>
      <c r="H98" s="34"/>
      <c r="I98" s="2"/>
    </row>
    <row r="99" spans="1:9" s="1" customFormat="1">
      <c r="A99" s="9"/>
      <c r="B99" s="9"/>
      <c r="C99" s="9"/>
      <c r="D99" s="17"/>
      <c r="E99" s="18"/>
      <c r="F99" s="29"/>
      <c r="G99" s="24"/>
      <c r="H99" s="34"/>
      <c r="I99" s="2"/>
    </row>
    <row r="100" spans="1:9" s="1" customFormat="1">
      <c r="A100" s="9"/>
      <c r="B100" s="9"/>
      <c r="C100" s="9"/>
      <c r="D100" s="17"/>
      <c r="E100" s="18"/>
      <c r="F100" s="29"/>
      <c r="G100" s="24"/>
      <c r="H100" s="34"/>
      <c r="I100" s="2"/>
    </row>
    <row r="101" spans="1:9" s="1" customFormat="1">
      <c r="A101" s="9"/>
      <c r="B101" s="9"/>
      <c r="C101" s="9" t="s">
        <v>49</v>
      </c>
      <c r="D101" s="17"/>
      <c r="E101" s="18"/>
      <c r="F101" s="29"/>
      <c r="G101" s="24"/>
      <c r="H101" s="34"/>
      <c r="I101" s="2"/>
    </row>
    <row r="102" spans="1:9">
      <c r="A102" s="9"/>
      <c r="B102" s="9"/>
      <c r="C102" s="9" t="s">
        <v>50</v>
      </c>
      <c r="D102" s="17"/>
      <c r="E102" s="18"/>
      <c r="F102" s="29"/>
      <c r="G102" s="24"/>
      <c r="H102" s="34">
        <v>438</v>
      </c>
      <c r="I102" s="2" t="s">
        <v>106</v>
      </c>
    </row>
    <row r="103" spans="1:9">
      <c r="A103" s="10"/>
      <c r="B103" s="14"/>
      <c r="C103" s="10"/>
      <c r="D103" s="19"/>
      <c r="E103" s="6"/>
      <c r="F103" s="30"/>
      <c r="G103" s="25"/>
      <c r="H103" s="35"/>
      <c r="I103" s="2"/>
    </row>
    <row r="104" spans="1:9">
      <c r="A104" s="12" t="s">
        <v>4</v>
      </c>
      <c r="B104" s="10"/>
      <c r="C104" s="10"/>
      <c r="D104" s="20">
        <f>SUM(D96:D103)</f>
        <v>64.3</v>
      </c>
      <c r="E104" s="6"/>
      <c r="F104" s="31">
        <f>SUM(F96:F103)</f>
        <v>0</v>
      </c>
      <c r="G104" s="26"/>
      <c r="H104" s="36">
        <f>SUM(H96:H103)</f>
        <v>438</v>
      </c>
      <c r="I104" s="2"/>
    </row>
    <row r="105" spans="1:9" ht="15.75" thickBot="1">
      <c r="A105" s="13" t="s">
        <v>5</v>
      </c>
      <c r="B105" s="39">
        <f>SUM(D104+F104+H104)</f>
        <v>502.3</v>
      </c>
      <c r="C105" s="38"/>
      <c r="D105" s="21"/>
      <c r="E105" s="22"/>
      <c r="F105" s="32"/>
      <c r="G105" s="27"/>
      <c r="H105" s="37"/>
      <c r="I105" s="3"/>
    </row>
    <row r="106" spans="1:9" s="1" customFormat="1">
      <c r="A106" s="58" t="s">
        <v>233</v>
      </c>
      <c r="B106" s="11" t="s">
        <v>152</v>
      </c>
      <c r="C106" s="9" t="s">
        <v>16</v>
      </c>
      <c r="D106" s="15">
        <f>22+23</f>
        <v>45</v>
      </c>
      <c r="E106" s="16" t="s">
        <v>39</v>
      </c>
      <c r="F106" s="28"/>
      <c r="G106" s="23"/>
      <c r="H106" s="33">
        <v>82</v>
      </c>
      <c r="I106" s="5" t="s">
        <v>174</v>
      </c>
    </row>
    <row r="107" spans="1:9" s="1" customFormat="1">
      <c r="A107" s="9"/>
      <c r="B107" s="9"/>
      <c r="C107" s="10"/>
      <c r="D107" s="17">
        <v>65</v>
      </c>
      <c r="E107" s="18" t="s">
        <v>110</v>
      </c>
      <c r="F107" s="29"/>
      <c r="G107" s="24"/>
      <c r="H107" s="34"/>
      <c r="I107" s="6"/>
    </row>
    <row r="108" spans="1:9" s="1" customFormat="1">
      <c r="A108" s="9"/>
      <c r="B108" s="9"/>
      <c r="C108" s="10"/>
      <c r="D108" s="17">
        <v>1.5</v>
      </c>
      <c r="E108" s="18" t="s">
        <v>234</v>
      </c>
      <c r="F108" s="29"/>
      <c r="G108" s="24"/>
      <c r="H108" s="34"/>
      <c r="I108" s="6"/>
    </row>
    <row r="109" spans="1:9" s="1" customFormat="1">
      <c r="A109" s="9"/>
      <c r="B109" s="9"/>
      <c r="C109" s="9" t="s">
        <v>229</v>
      </c>
      <c r="D109" s="17"/>
      <c r="E109" s="18"/>
      <c r="F109" s="29"/>
      <c r="G109" s="24"/>
      <c r="H109" s="34"/>
      <c r="I109" s="2"/>
    </row>
    <row r="110" spans="1:9" s="1" customFormat="1">
      <c r="A110" s="9"/>
      <c r="B110" s="9"/>
      <c r="C110" s="9"/>
      <c r="D110" s="17"/>
      <c r="E110" s="18"/>
      <c r="F110" s="29"/>
      <c r="G110" s="24"/>
      <c r="H110" s="34"/>
      <c r="I110" s="2"/>
    </row>
    <row r="111" spans="1:9" s="1" customFormat="1">
      <c r="A111" s="9"/>
      <c r="B111" s="9"/>
      <c r="C111" s="9"/>
      <c r="D111" s="17"/>
      <c r="E111" s="18"/>
      <c r="F111" s="29"/>
      <c r="G111" s="24"/>
      <c r="H111" s="34"/>
      <c r="I111" s="2"/>
    </row>
    <row r="112" spans="1:9" s="1" customFormat="1">
      <c r="A112" s="9"/>
      <c r="B112" s="9"/>
      <c r="C112" s="9" t="s">
        <v>49</v>
      </c>
      <c r="D112" s="17"/>
      <c r="E112" s="18"/>
      <c r="F112" s="29"/>
      <c r="G112" s="24"/>
      <c r="H112" s="34">
        <v>288</v>
      </c>
      <c r="I112" s="2" t="s">
        <v>235</v>
      </c>
    </row>
    <row r="113" spans="1:9">
      <c r="A113" s="9"/>
      <c r="B113" s="9"/>
      <c r="C113" s="9" t="s">
        <v>50</v>
      </c>
      <c r="D113" s="17"/>
      <c r="E113" s="18"/>
      <c r="F113" s="29"/>
      <c r="G113" s="24"/>
      <c r="H113" s="34">
        <v>470</v>
      </c>
      <c r="I113" s="2" t="s">
        <v>106</v>
      </c>
    </row>
    <row r="114" spans="1:9">
      <c r="A114" s="10"/>
      <c r="B114" s="14"/>
      <c r="C114" s="10"/>
      <c r="D114" s="19"/>
      <c r="E114" s="6"/>
      <c r="F114" s="30"/>
      <c r="G114" s="25"/>
      <c r="H114" s="35"/>
      <c r="I114" s="2"/>
    </row>
    <row r="115" spans="1:9">
      <c r="A115" s="12" t="s">
        <v>4</v>
      </c>
      <c r="B115" s="10"/>
      <c r="C115" s="10"/>
      <c r="D115" s="20">
        <f>SUM(D106:D114)</f>
        <v>111.5</v>
      </c>
      <c r="E115" s="6"/>
      <c r="F115" s="31">
        <f>SUM(F106:F114)</f>
        <v>0</v>
      </c>
      <c r="G115" s="26"/>
      <c r="H115" s="36">
        <f>SUM(H106:H114)</f>
        <v>840</v>
      </c>
      <c r="I115" s="2"/>
    </row>
    <row r="116" spans="1:9" ht="15.75" thickBot="1">
      <c r="A116" s="13" t="s">
        <v>5</v>
      </c>
      <c r="B116" s="39">
        <f>SUM(D115+F115+H115)</f>
        <v>951.5</v>
      </c>
      <c r="C116" s="38"/>
      <c r="D116" s="21"/>
      <c r="E116" s="22"/>
      <c r="F116" s="32"/>
      <c r="G116" s="27"/>
      <c r="H116" s="37"/>
      <c r="I116" s="3"/>
    </row>
    <row r="117" spans="1:9" s="1" customFormat="1">
      <c r="A117" s="58" t="s">
        <v>231</v>
      </c>
      <c r="B117" s="11" t="s">
        <v>230</v>
      </c>
      <c r="C117" s="9" t="s">
        <v>21</v>
      </c>
      <c r="D117" s="15"/>
      <c r="E117" s="16"/>
      <c r="F117" s="28">
        <v>11.28</v>
      </c>
      <c r="G117" s="23" t="s">
        <v>35</v>
      </c>
      <c r="H117" s="33"/>
      <c r="I117" s="5"/>
    </row>
    <row r="118" spans="1:9" s="1" customFormat="1">
      <c r="A118" s="9"/>
      <c r="B118" s="9"/>
      <c r="C118" s="10"/>
      <c r="D118" s="17"/>
      <c r="E118" s="18"/>
      <c r="F118" s="29">
        <v>29</v>
      </c>
      <c r="G118" s="24" t="s">
        <v>34</v>
      </c>
      <c r="H118" s="34"/>
      <c r="I118" s="6"/>
    </row>
    <row r="119" spans="1:9" s="1" customFormat="1">
      <c r="A119" s="9"/>
      <c r="B119" s="9"/>
      <c r="C119" s="9"/>
      <c r="D119" s="17"/>
      <c r="E119" s="18"/>
      <c r="F119" s="29">
        <v>4.2</v>
      </c>
      <c r="G119" s="24" t="s">
        <v>110</v>
      </c>
      <c r="H119" s="34"/>
      <c r="I119" s="2"/>
    </row>
    <row r="120" spans="1:9" s="1" customFormat="1">
      <c r="A120" s="9"/>
      <c r="B120" s="9"/>
      <c r="C120" s="9"/>
      <c r="D120" s="17"/>
      <c r="E120" s="18"/>
      <c r="F120" s="29"/>
      <c r="G120" s="24"/>
      <c r="H120" s="34"/>
      <c r="I120" s="2"/>
    </row>
    <row r="121" spans="1:9" s="1" customFormat="1">
      <c r="A121" s="9"/>
      <c r="B121" s="9"/>
      <c r="C121" s="9"/>
      <c r="D121" s="17"/>
      <c r="E121" s="18"/>
      <c r="F121" s="29"/>
      <c r="G121" s="24"/>
      <c r="H121" s="34"/>
      <c r="I121" s="2"/>
    </row>
    <row r="122" spans="1:9" s="1" customFormat="1">
      <c r="A122" s="9"/>
      <c r="B122" s="9"/>
      <c r="C122" s="9" t="s">
        <v>49</v>
      </c>
      <c r="D122" s="17"/>
      <c r="E122" s="18"/>
      <c r="F122" s="29"/>
      <c r="G122" s="24"/>
      <c r="H122" s="34" t="s">
        <v>237</v>
      </c>
      <c r="I122" s="2"/>
    </row>
    <row r="123" spans="1:9">
      <c r="A123" s="9"/>
      <c r="B123" s="9"/>
      <c r="C123" s="9" t="s">
        <v>50</v>
      </c>
      <c r="D123" s="17"/>
      <c r="E123" s="18"/>
      <c r="F123" s="29"/>
      <c r="G123" s="24"/>
      <c r="H123" s="34">
        <v>1218.26</v>
      </c>
      <c r="I123" s="2" t="s">
        <v>164</v>
      </c>
    </row>
    <row r="124" spans="1:9">
      <c r="A124" s="10"/>
      <c r="B124" s="14"/>
      <c r="C124" s="10"/>
      <c r="D124" s="19"/>
      <c r="E124" s="6"/>
      <c r="F124" s="30"/>
      <c r="G124" s="25"/>
      <c r="H124" s="35"/>
      <c r="I124" s="2"/>
    </row>
    <row r="125" spans="1:9">
      <c r="A125" s="12" t="s">
        <v>4</v>
      </c>
      <c r="B125" s="10"/>
      <c r="C125" s="10"/>
      <c r="D125" s="20">
        <f>SUM(D117:D124)</f>
        <v>0</v>
      </c>
      <c r="E125" s="6"/>
      <c r="F125" s="31">
        <f>SUM(F117:F124)</f>
        <v>44.480000000000004</v>
      </c>
      <c r="G125" s="26"/>
      <c r="H125" s="36">
        <f>SUM(H117:H124)</f>
        <v>1218.26</v>
      </c>
      <c r="I125" s="2"/>
    </row>
    <row r="126" spans="1:9" ht="15.75" thickBot="1">
      <c r="A126" s="13" t="s">
        <v>5</v>
      </c>
      <c r="B126" s="39">
        <f>SUM(D125+F125+H125)</f>
        <v>1262.74</v>
      </c>
      <c r="C126" s="38"/>
      <c r="D126" s="21"/>
      <c r="E126" s="22"/>
      <c r="F126" s="32"/>
      <c r="G126" s="27"/>
      <c r="H126" s="37"/>
      <c r="I126" s="3"/>
    </row>
    <row r="127" spans="1:9" s="1" customFormat="1">
      <c r="A127" s="58">
        <v>41052</v>
      </c>
      <c r="B127" s="11" t="s">
        <v>152</v>
      </c>
      <c r="C127" s="9" t="s">
        <v>28</v>
      </c>
      <c r="D127" s="15">
        <v>56.5</v>
      </c>
      <c r="E127" s="16" t="s">
        <v>41</v>
      </c>
      <c r="F127" s="28">
        <v>18.399999999999999</v>
      </c>
      <c r="G127" s="23" t="s">
        <v>36</v>
      </c>
      <c r="H127" s="33"/>
      <c r="I127" s="5"/>
    </row>
    <row r="128" spans="1:9" s="1" customFormat="1">
      <c r="A128" s="9"/>
      <c r="B128" s="9"/>
      <c r="C128" s="10"/>
      <c r="D128" s="17">
        <v>640</v>
      </c>
      <c r="E128" s="18" t="s">
        <v>241</v>
      </c>
      <c r="F128" s="29"/>
      <c r="G128" s="24"/>
      <c r="H128" s="34"/>
      <c r="I128" s="6"/>
    </row>
    <row r="129" spans="1:9" s="1" customFormat="1">
      <c r="A129" s="9"/>
      <c r="B129" s="9"/>
      <c r="C129" s="9"/>
      <c r="D129" s="17">
        <f>67.2+80.2</f>
        <v>147.4</v>
      </c>
      <c r="E129" s="18" t="s">
        <v>107</v>
      </c>
      <c r="F129" s="29"/>
      <c r="G129" s="24"/>
      <c r="H129" s="34"/>
      <c r="I129" s="2"/>
    </row>
    <row r="130" spans="1:9" s="1" customFormat="1">
      <c r="A130" s="9"/>
      <c r="B130" s="9"/>
      <c r="C130" s="9" t="s">
        <v>97</v>
      </c>
      <c r="D130" s="17"/>
      <c r="E130" s="18"/>
      <c r="F130" s="29"/>
      <c r="G130" s="24"/>
      <c r="H130" s="34"/>
      <c r="I130" s="2"/>
    </row>
    <row r="131" spans="1:9" s="1" customFormat="1">
      <c r="A131" s="9"/>
      <c r="B131" s="9"/>
      <c r="C131" s="9"/>
      <c r="D131" s="17"/>
      <c r="E131" s="18"/>
      <c r="F131" s="29"/>
      <c r="G131" s="24"/>
      <c r="H131" s="34"/>
      <c r="I131" s="2"/>
    </row>
    <row r="132" spans="1:9" s="1" customFormat="1">
      <c r="A132" s="9"/>
      <c r="B132" s="9"/>
      <c r="C132" s="9" t="s">
        <v>49</v>
      </c>
      <c r="D132" s="17"/>
      <c r="E132" s="18"/>
      <c r="F132" s="29"/>
      <c r="G132" s="24"/>
      <c r="H132" s="34"/>
      <c r="I132" s="2"/>
    </row>
    <row r="133" spans="1:9">
      <c r="A133" s="9"/>
      <c r="B133" s="9"/>
      <c r="C133" s="9" t="s">
        <v>50</v>
      </c>
      <c r="D133" s="17"/>
      <c r="E133" s="18"/>
      <c r="F133" s="29"/>
      <c r="G133" s="24"/>
      <c r="H133" s="34">
        <v>438</v>
      </c>
      <c r="I133" s="2" t="s">
        <v>106</v>
      </c>
    </row>
    <row r="134" spans="1:9">
      <c r="A134" s="10"/>
      <c r="B134" s="14"/>
      <c r="C134" s="10"/>
      <c r="D134" s="19"/>
      <c r="E134" s="6"/>
      <c r="F134" s="30"/>
      <c r="G134" s="25"/>
      <c r="H134" s="35"/>
      <c r="I134" s="2"/>
    </row>
    <row r="135" spans="1:9">
      <c r="A135" s="12" t="s">
        <v>4</v>
      </c>
      <c r="B135" s="10"/>
      <c r="C135" s="10"/>
      <c r="D135" s="20">
        <f>SUM(D127:D134)</f>
        <v>843.9</v>
      </c>
      <c r="E135" s="6"/>
      <c r="F135" s="31">
        <f>SUM(F127:F134)</f>
        <v>18.399999999999999</v>
      </c>
      <c r="G135" s="26"/>
      <c r="H135" s="36">
        <f>SUM(H127:H134)</f>
        <v>438</v>
      </c>
      <c r="I135" s="2"/>
    </row>
    <row r="136" spans="1:9" ht="15.75" thickBot="1">
      <c r="A136" s="13" t="s">
        <v>5</v>
      </c>
      <c r="B136" s="39">
        <f>SUM(D135+F135+H135)</f>
        <v>1300.3</v>
      </c>
      <c r="C136" s="38"/>
      <c r="D136" s="21"/>
      <c r="E136" s="22"/>
      <c r="F136" s="32"/>
      <c r="G136" s="27"/>
      <c r="H136" s="37"/>
      <c r="I136" s="3"/>
    </row>
    <row r="137" spans="1:9" ht="15.75" thickBot="1">
      <c r="A137" s="65"/>
      <c r="B137" s="66"/>
      <c r="C137" s="56"/>
      <c r="D137" s="57"/>
      <c r="E137" s="67"/>
      <c r="F137" s="36"/>
      <c r="G137" s="57"/>
      <c r="H137" s="35"/>
      <c r="I137" s="56"/>
    </row>
    <row r="138" spans="1:9" ht="20.25" thickBot="1">
      <c r="A138" s="51" t="s">
        <v>191</v>
      </c>
      <c r="B138" s="52">
        <f>SUM(B12,B22,B32,B43,B53,B63,B75,B85,B95,B105,B116,B126,B136)</f>
        <v>34551.879999999997</v>
      </c>
      <c r="C138" s="56"/>
      <c r="D138" s="57"/>
      <c r="E138" s="67"/>
      <c r="F138" s="36"/>
      <c r="G138" s="57"/>
      <c r="H138" s="35"/>
      <c r="I138" s="56"/>
    </row>
    <row r="139" spans="1:9">
      <c r="A139" s="65"/>
      <c r="B139" s="66"/>
      <c r="C139" s="56"/>
      <c r="D139" s="57"/>
      <c r="E139" s="67"/>
      <c r="F139" s="36"/>
      <c r="G139" s="57"/>
      <c r="H139" s="35"/>
      <c r="I139" s="56"/>
    </row>
    <row r="140" spans="1:9">
      <c r="A140" s="65"/>
      <c r="B140" s="66"/>
      <c r="C140" s="56"/>
      <c r="D140" s="57"/>
      <c r="E140" s="67"/>
      <c r="F140" s="36"/>
      <c r="G140" s="57"/>
      <c r="H140" s="35"/>
      <c r="I140" s="56"/>
    </row>
    <row r="141" spans="1:9">
      <c r="A141" s="65"/>
      <c r="B141" s="66"/>
      <c r="C141" s="56"/>
      <c r="D141" s="57"/>
      <c r="E141" s="67"/>
      <c r="F141" s="36"/>
      <c r="G141" s="57"/>
      <c r="H141" s="35"/>
      <c r="I141" s="56"/>
    </row>
    <row r="142" spans="1:9">
      <c r="G142" s="57"/>
      <c r="H142" s="35"/>
      <c r="I142" s="56"/>
    </row>
    <row r="143" spans="1:9">
      <c r="E143" s="61"/>
      <c r="F143" s="61"/>
      <c r="G143" s="57"/>
      <c r="H143" s="35"/>
      <c r="I143" s="56"/>
    </row>
    <row r="144" spans="1:9">
      <c r="A144" s="59"/>
      <c r="B144" s="60"/>
      <c r="C144" s="60"/>
      <c r="D144" s="61"/>
      <c r="G144" s="62"/>
    </row>
    <row r="145" spans="1:7">
      <c r="A145" s="62"/>
      <c r="B145" s="62"/>
      <c r="C145" s="62"/>
      <c r="D145" s="62"/>
      <c r="E145" s="62"/>
      <c r="F145" s="62"/>
      <c r="G145" s="62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2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>
      <selection activeCell="B7" sqref="B7"/>
    </sheetView>
  </sheetViews>
  <sheetFormatPr defaultRowHeight="15"/>
  <cols>
    <col min="1" max="1" width="21.7109375" customWidth="1"/>
    <col min="2" max="2" width="29" bestFit="1" customWidth="1"/>
    <col min="3" max="3" width="19.42578125" customWidth="1"/>
    <col min="4" max="4" width="22.5703125" customWidth="1"/>
    <col min="5" max="5" width="23.5703125" customWidth="1"/>
    <col min="6" max="6" width="14.85546875" customWidth="1"/>
    <col min="7" max="7" width="23.42578125" customWidth="1"/>
    <col min="8" max="8" width="26.42578125" customWidth="1"/>
    <col min="9" max="9" width="32.8554687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259</v>
      </c>
      <c r="B2" s="8" t="s">
        <v>151</v>
      </c>
      <c r="C2" s="8" t="s">
        <v>147</v>
      </c>
      <c r="D2" s="15">
        <f>86.28+7.57</f>
        <v>93.85</v>
      </c>
      <c r="E2" s="16" t="s">
        <v>107</v>
      </c>
      <c r="F2" s="28">
        <v>200.8</v>
      </c>
      <c r="G2" s="23" t="s">
        <v>39</v>
      </c>
      <c r="H2" s="33"/>
      <c r="I2" s="5"/>
    </row>
    <row r="3" spans="1:11" s="1" customFormat="1">
      <c r="A3" s="9"/>
      <c r="B3" s="9"/>
      <c r="C3" s="10"/>
      <c r="D3" s="17">
        <v>28.33</v>
      </c>
      <c r="E3" s="18" t="s">
        <v>33</v>
      </c>
      <c r="F3" s="29"/>
      <c r="G3" s="24"/>
      <c r="H3" s="34"/>
      <c r="I3" s="6"/>
    </row>
    <row r="4" spans="1:11" s="1" customFormat="1">
      <c r="A4" s="55"/>
      <c r="B4" s="9"/>
      <c r="C4" s="10" t="s">
        <v>8</v>
      </c>
      <c r="D4" s="47">
        <v>64.2</v>
      </c>
      <c r="E4" s="48" t="s">
        <v>277</v>
      </c>
      <c r="F4" s="29">
        <f>15+10+10</f>
        <v>35</v>
      </c>
      <c r="G4" s="24" t="s">
        <v>47</v>
      </c>
      <c r="H4" s="34">
        <v>576.70000000000005</v>
      </c>
      <c r="I4" s="6" t="s">
        <v>174</v>
      </c>
    </row>
    <row r="5" spans="1:11" s="1" customFormat="1">
      <c r="A5" s="9"/>
      <c r="B5" s="9"/>
      <c r="C5" s="9"/>
      <c r="D5" s="17"/>
      <c r="E5" s="18"/>
      <c r="F5" s="29">
        <f>11+11</f>
        <v>22</v>
      </c>
      <c r="G5" s="24" t="s">
        <v>278</v>
      </c>
      <c r="H5" s="34"/>
      <c r="I5" s="2"/>
      <c r="K5" s="4"/>
    </row>
    <row r="6" spans="1:11" s="1" customFormat="1">
      <c r="A6" s="9"/>
      <c r="B6" s="9"/>
      <c r="C6" s="9"/>
      <c r="D6" s="17"/>
      <c r="E6" s="18"/>
      <c r="F6" s="29">
        <v>4.5</v>
      </c>
      <c r="G6" s="24" t="s">
        <v>110</v>
      </c>
      <c r="H6" s="64"/>
      <c r="I6" s="2"/>
      <c r="K6" s="4"/>
    </row>
    <row r="7" spans="1:11" s="1" customFormat="1" ht="14.25" customHeight="1">
      <c r="A7" s="9"/>
      <c r="B7" s="9"/>
      <c r="C7" s="9" t="s">
        <v>49</v>
      </c>
      <c r="D7" s="17"/>
      <c r="E7" s="18"/>
      <c r="F7" s="29"/>
      <c r="G7" s="24"/>
      <c r="H7" s="34">
        <v>2293.6</v>
      </c>
      <c r="I7" s="6" t="s">
        <v>215</v>
      </c>
      <c r="K7" s="4"/>
    </row>
    <row r="8" spans="1:11" s="1" customFormat="1" ht="14.25" customHeight="1">
      <c r="A8" s="9"/>
      <c r="B8" s="9"/>
      <c r="C8" s="9" t="s">
        <v>50</v>
      </c>
      <c r="D8" s="17"/>
      <c r="E8" s="18"/>
      <c r="F8" s="29"/>
      <c r="G8" s="24"/>
      <c r="H8" s="34">
        <v>1623.33</v>
      </c>
      <c r="I8" s="6" t="s">
        <v>186</v>
      </c>
      <c r="K8" s="4"/>
    </row>
    <row r="9" spans="1:11" s="1" customFormat="1">
      <c r="A9" s="10"/>
      <c r="B9" s="14"/>
      <c r="C9" s="10"/>
      <c r="D9" s="19"/>
      <c r="E9" s="6"/>
      <c r="F9" s="30"/>
      <c r="G9" s="25"/>
      <c r="H9" s="34">
        <v>432</v>
      </c>
      <c r="I9" s="6" t="s">
        <v>185</v>
      </c>
    </row>
    <row r="10" spans="1:11" s="1" customFormat="1">
      <c r="A10" s="10"/>
      <c r="B10" s="14"/>
      <c r="C10" s="10"/>
      <c r="D10" s="19"/>
      <c r="E10" s="6"/>
      <c r="F10" s="30"/>
      <c r="G10" s="25"/>
      <c r="H10" s="34"/>
      <c r="I10" s="6"/>
    </row>
    <row r="11" spans="1:11" s="1" customFormat="1">
      <c r="A11" s="12" t="s">
        <v>4</v>
      </c>
      <c r="B11" s="10"/>
      <c r="C11" s="10"/>
      <c r="D11" s="20">
        <f>SUM(D2:D9)</f>
        <v>186.38</v>
      </c>
      <c r="E11" s="6"/>
      <c r="F11" s="31">
        <f>SUM(F2:F9)</f>
        <v>262.3</v>
      </c>
      <c r="G11" s="26"/>
      <c r="H11" s="36">
        <f>SUM(H2:H9)</f>
        <v>4925.63</v>
      </c>
      <c r="I11" s="2"/>
    </row>
    <row r="12" spans="1:11" s="1" customFormat="1" ht="15.75" thickBot="1">
      <c r="A12" s="13" t="s">
        <v>5</v>
      </c>
      <c r="B12" s="39">
        <f>SUM(D11+F11+H11)</f>
        <v>5374.31</v>
      </c>
      <c r="C12" s="38"/>
      <c r="D12" s="21"/>
      <c r="E12" s="22"/>
      <c r="F12" s="32"/>
      <c r="G12" s="27"/>
      <c r="H12" s="37"/>
      <c r="I12" s="3"/>
    </row>
    <row r="13" spans="1:11" s="1" customFormat="1">
      <c r="A13" s="9" t="s">
        <v>261</v>
      </c>
      <c r="B13" s="1" t="s">
        <v>260</v>
      </c>
      <c r="C13" s="11" t="s">
        <v>247</v>
      </c>
      <c r="D13" s="15">
        <f>19.51+15.55+9.76+11.04+18.93+13.27+22.55</f>
        <v>110.60999999999999</v>
      </c>
      <c r="E13" s="16" t="s">
        <v>158</v>
      </c>
      <c r="F13" s="28">
        <f>5+24.5+2.8+2.8+1.5+24.5+47</f>
        <v>108.1</v>
      </c>
      <c r="G13" s="24" t="s">
        <v>81</v>
      </c>
      <c r="H13" s="33"/>
      <c r="I13" s="5"/>
    </row>
    <row r="14" spans="1:11" s="1" customFormat="1">
      <c r="A14" s="9"/>
      <c r="C14" s="10"/>
      <c r="D14" s="17">
        <f>41.49+59.27</f>
        <v>100.76</v>
      </c>
      <c r="E14" s="18" t="s">
        <v>107</v>
      </c>
      <c r="F14" s="29">
        <v>7</v>
      </c>
      <c r="G14" s="24" t="s">
        <v>110</v>
      </c>
      <c r="H14" s="34"/>
      <c r="I14" s="6"/>
    </row>
    <row r="15" spans="1:11" s="1" customFormat="1">
      <c r="A15" s="9"/>
      <c r="C15" s="10"/>
      <c r="D15" s="17"/>
      <c r="E15" s="18"/>
      <c r="F15" s="29">
        <f>9.45*2</f>
        <v>18.899999999999999</v>
      </c>
      <c r="G15" s="24" t="s">
        <v>35</v>
      </c>
      <c r="H15" s="34"/>
      <c r="I15" s="6"/>
    </row>
    <row r="16" spans="1:11" s="1" customFormat="1">
      <c r="A16" s="9"/>
      <c r="C16" s="10"/>
      <c r="D16" s="17"/>
      <c r="E16" s="18"/>
      <c r="F16" s="29"/>
      <c r="G16" s="24"/>
      <c r="H16" s="34"/>
      <c r="I16" s="6"/>
    </row>
    <row r="17" spans="1:9" s="1" customFormat="1">
      <c r="A17" s="9"/>
      <c r="B17" s="59"/>
      <c r="C17" s="9" t="s">
        <v>248</v>
      </c>
      <c r="D17" s="47">
        <f>2.33+13.25+40.31</f>
        <v>55.89</v>
      </c>
      <c r="E17" s="48" t="s">
        <v>525</v>
      </c>
      <c r="F17" s="29"/>
      <c r="G17" s="24"/>
      <c r="H17" s="34"/>
      <c r="I17" s="6"/>
    </row>
    <row r="18" spans="1:9" s="1" customFormat="1">
      <c r="A18" s="9"/>
      <c r="B18" s="59"/>
      <c r="C18" s="10"/>
      <c r="D18" s="47"/>
      <c r="E18" s="48"/>
      <c r="F18" s="29"/>
      <c r="G18" s="24"/>
      <c r="H18" s="34"/>
      <c r="I18" s="6"/>
    </row>
    <row r="19" spans="1:9" s="1" customFormat="1">
      <c r="A19" s="9"/>
      <c r="B19" s="59"/>
      <c r="C19" s="10" t="s">
        <v>249</v>
      </c>
      <c r="D19" s="47"/>
      <c r="E19" s="48"/>
      <c r="F19" s="29"/>
      <c r="G19" s="24"/>
      <c r="H19" s="34"/>
      <c r="I19" s="2"/>
    </row>
    <row r="20" spans="1:9" s="1" customFormat="1">
      <c r="A20" s="9"/>
      <c r="B20" s="59"/>
      <c r="C20" s="10"/>
      <c r="D20" s="47"/>
      <c r="E20" s="48"/>
      <c r="F20" s="29"/>
      <c r="G20" s="24"/>
      <c r="H20" s="34"/>
      <c r="I20" s="2"/>
    </row>
    <row r="21" spans="1:9" s="1" customFormat="1">
      <c r="A21" s="9"/>
      <c r="B21" s="59"/>
      <c r="C21" s="10" t="s">
        <v>250</v>
      </c>
      <c r="D21" s="47">
        <v>22</v>
      </c>
      <c r="E21" s="48" t="s">
        <v>278</v>
      </c>
      <c r="F21" s="29"/>
      <c r="G21" s="24"/>
      <c r="H21" s="34">
        <v>1214.1199999999999</v>
      </c>
      <c r="I21" s="2" t="s">
        <v>272</v>
      </c>
    </row>
    <row r="22" spans="1:9" s="1" customFormat="1">
      <c r="A22" s="9"/>
      <c r="B22" s="59"/>
      <c r="C22" s="10"/>
      <c r="D22" s="47">
        <f>4.78+33.02+3.4+4.4+4.4+7.96</f>
        <v>57.96</v>
      </c>
      <c r="E22" s="48" t="s">
        <v>72</v>
      </c>
      <c r="F22" s="29"/>
      <c r="G22" s="24"/>
      <c r="H22" s="34"/>
      <c r="I22" s="2"/>
    </row>
    <row r="23" spans="1:9" s="1" customFormat="1">
      <c r="A23" s="9"/>
      <c r="B23" s="59"/>
      <c r="C23" s="10" t="s">
        <v>251</v>
      </c>
      <c r="D23" s="47">
        <v>7.66</v>
      </c>
      <c r="E23" s="48" t="s">
        <v>281</v>
      </c>
      <c r="F23" s="29">
        <v>43.9</v>
      </c>
      <c r="G23" s="24" t="s">
        <v>110</v>
      </c>
      <c r="H23" s="34">
        <f>85.45+145.49</f>
        <v>230.94</v>
      </c>
      <c r="I23" s="2" t="s">
        <v>282</v>
      </c>
    </row>
    <row r="24" spans="1:9" s="1" customFormat="1" ht="45">
      <c r="A24" s="9"/>
      <c r="B24" s="59"/>
      <c r="C24" s="10"/>
      <c r="D24" s="47">
        <f>194.87+87.21</f>
        <v>282.08</v>
      </c>
      <c r="E24" s="48" t="s">
        <v>181</v>
      </c>
      <c r="F24" s="29"/>
      <c r="G24" s="24"/>
      <c r="H24" s="34">
        <v>1088.1600000000001</v>
      </c>
      <c r="I24" s="6" t="s">
        <v>288</v>
      </c>
    </row>
    <row r="25" spans="1:9" s="1" customFormat="1">
      <c r="A25" s="9"/>
      <c r="B25" s="59"/>
      <c r="C25" s="10"/>
      <c r="D25" s="47"/>
      <c r="E25" s="48"/>
      <c r="F25" s="29"/>
      <c r="G25" s="24"/>
      <c r="H25" s="34">
        <v>5600</v>
      </c>
      <c r="I25" s="2" t="s">
        <v>289</v>
      </c>
    </row>
    <row r="26" spans="1:9" s="1" customFormat="1" ht="60">
      <c r="A26" s="9"/>
      <c r="B26" s="59"/>
      <c r="C26" s="10"/>
      <c r="D26" s="47"/>
      <c r="E26" s="48"/>
      <c r="F26" s="29"/>
      <c r="G26" s="24"/>
      <c r="H26" s="34">
        <v>3800.64</v>
      </c>
      <c r="I26" s="6" t="s">
        <v>293</v>
      </c>
    </row>
    <row r="27" spans="1:9" s="1" customFormat="1">
      <c r="A27" s="9"/>
      <c r="B27" s="59"/>
      <c r="C27" s="10"/>
      <c r="D27" s="47"/>
      <c r="E27" s="48"/>
      <c r="F27" s="29"/>
      <c r="G27" s="24"/>
      <c r="H27" s="34">
        <v>285</v>
      </c>
      <c r="I27" s="6" t="s">
        <v>292</v>
      </c>
    </row>
    <row r="28" spans="1:9" s="1" customFormat="1">
      <c r="A28" s="9"/>
      <c r="B28" s="59"/>
      <c r="C28" s="10" t="s">
        <v>252</v>
      </c>
      <c r="D28" s="47">
        <v>46.18</v>
      </c>
      <c r="E28" s="48" t="s">
        <v>271</v>
      </c>
      <c r="F28" s="29">
        <f>806.4+83.52</f>
        <v>889.92</v>
      </c>
      <c r="G28" s="24" t="s">
        <v>35</v>
      </c>
      <c r="H28" s="34">
        <v>740.74</v>
      </c>
      <c r="I28" s="2" t="s">
        <v>272</v>
      </c>
    </row>
    <row r="29" spans="1:9" s="1" customFormat="1">
      <c r="A29" s="9"/>
      <c r="B29" s="59"/>
      <c r="C29" s="10"/>
      <c r="D29" s="47">
        <v>12.61</v>
      </c>
      <c r="E29" s="48" t="s">
        <v>33</v>
      </c>
      <c r="F29" s="29"/>
      <c r="G29" s="24"/>
      <c r="H29" s="34"/>
      <c r="I29" s="2"/>
    </row>
    <row r="30" spans="1:9" s="1" customFormat="1">
      <c r="A30" s="9"/>
      <c r="B30" s="59"/>
      <c r="C30" s="10"/>
      <c r="D30" s="47"/>
      <c r="E30" s="48"/>
      <c r="F30" s="29"/>
      <c r="G30" s="24"/>
      <c r="H30" s="34"/>
      <c r="I30" s="2"/>
    </row>
    <row r="31" spans="1:9" s="1" customFormat="1">
      <c r="A31" s="9"/>
      <c r="B31" s="59"/>
      <c r="C31" s="10" t="s">
        <v>253</v>
      </c>
      <c r="D31" s="47">
        <v>56.58</v>
      </c>
      <c r="E31" s="48" t="s">
        <v>273</v>
      </c>
      <c r="F31" s="29"/>
      <c r="G31" s="24"/>
      <c r="H31" s="34"/>
      <c r="I31" s="2"/>
    </row>
    <row r="32" spans="1:9" s="1" customFormat="1">
      <c r="A32" s="9"/>
      <c r="B32" s="59"/>
      <c r="C32" s="10"/>
      <c r="D32" s="47">
        <v>11.71</v>
      </c>
      <c r="E32" s="48" t="s">
        <v>33</v>
      </c>
      <c r="F32" s="29"/>
      <c r="G32" s="24"/>
      <c r="H32" s="34"/>
      <c r="I32" s="2"/>
    </row>
    <row r="33" spans="1:9" s="1" customFormat="1">
      <c r="A33" s="9"/>
      <c r="B33" s="59"/>
      <c r="C33" s="10"/>
      <c r="D33" s="47">
        <v>39.92</v>
      </c>
      <c r="E33" s="48" t="s">
        <v>271</v>
      </c>
      <c r="F33" s="29"/>
      <c r="G33" s="24"/>
      <c r="H33" s="34"/>
      <c r="I33" s="2"/>
    </row>
    <row r="34" spans="1:9" s="1" customFormat="1">
      <c r="A34" s="9"/>
      <c r="B34" s="59"/>
      <c r="C34" s="10" t="s">
        <v>254</v>
      </c>
      <c r="D34" s="47"/>
      <c r="E34" s="48"/>
      <c r="F34" s="29">
        <f>14.04*2</f>
        <v>28.08</v>
      </c>
      <c r="G34" s="24" t="s">
        <v>35</v>
      </c>
      <c r="H34" s="34"/>
      <c r="I34" s="2"/>
    </row>
    <row r="35" spans="1:9" s="1" customFormat="1">
      <c r="A35" s="9"/>
      <c r="B35" s="59"/>
      <c r="C35" s="10"/>
      <c r="D35" s="47"/>
      <c r="E35" s="48"/>
      <c r="F35" s="29">
        <f>3.6*2</f>
        <v>7.2</v>
      </c>
      <c r="G35" s="24" t="s">
        <v>36</v>
      </c>
      <c r="H35" s="34"/>
      <c r="I35" s="2"/>
    </row>
    <row r="36" spans="1:9" s="1" customFormat="1">
      <c r="A36" s="9"/>
      <c r="B36" s="59"/>
      <c r="C36" s="10"/>
      <c r="D36" s="47"/>
      <c r="E36" s="48"/>
      <c r="F36" s="29">
        <v>42.3</v>
      </c>
      <c r="G36" s="24" t="s">
        <v>34</v>
      </c>
      <c r="H36" s="34"/>
      <c r="I36" s="2"/>
    </row>
    <row r="37" spans="1:9" s="1" customFormat="1">
      <c r="A37" s="9"/>
      <c r="B37" s="59"/>
      <c r="C37" s="10" t="s">
        <v>255</v>
      </c>
      <c r="D37" s="47"/>
      <c r="E37" s="48"/>
      <c r="F37" s="29"/>
      <c r="G37" s="24"/>
      <c r="H37" s="34"/>
      <c r="I37" s="2"/>
    </row>
    <row r="38" spans="1:9" s="1" customFormat="1">
      <c r="A38" s="9"/>
      <c r="B38" s="59"/>
      <c r="C38" s="10"/>
      <c r="D38" s="47"/>
      <c r="E38" s="48"/>
      <c r="F38" s="29"/>
      <c r="G38" s="24"/>
      <c r="H38" s="34"/>
      <c r="I38" s="2"/>
    </row>
    <row r="39" spans="1:9" s="1" customFormat="1">
      <c r="A39" s="9"/>
      <c r="B39" s="59"/>
      <c r="C39" s="10" t="s">
        <v>256</v>
      </c>
      <c r="D39" s="17">
        <v>34.04</v>
      </c>
      <c r="E39" s="18" t="s">
        <v>271</v>
      </c>
      <c r="F39" s="29">
        <v>16</v>
      </c>
      <c r="G39" s="24" t="s">
        <v>35</v>
      </c>
      <c r="H39" s="34"/>
      <c r="I39" s="2"/>
    </row>
    <row r="40" spans="1:9" s="1" customFormat="1">
      <c r="A40" s="9"/>
      <c r="B40" s="59"/>
      <c r="C40" s="10"/>
      <c r="D40" s="17">
        <v>31</v>
      </c>
      <c r="E40" s="18" t="s">
        <v>33</v>
      </c>
      <c r="F40" s="29">
        <f>2.7+39.6+2.7</f>
        <v>45.000000000000007</v>
      </c>
      <c r="G40" s="24" t="s">
        <v>81</v>
      </c>
      <c r="H40" s="34"/>
      <c r="I40" s="2"/>
    </row>
    <row r="41" spans="1:9" s="1" customFormat="1">
      <c r="A41" s="9"/>
      <c r="B41" s="59"/>
      <c r="C41" s="10"/>
      <c r="D41" s="17">
        <v>1.18</v>
      </c>
      <c r="E41" s="18" t="s">
        <v>72</v>
      </c>
      <c r="F41" s="29"/>
      <c r="G41" s="24"/>
      <c r="H41" s="34"/>
      <c r="I41" s="2"/>
    </row>
    <row r="42" spans="1:9" s="1" customFormat="1">
      <c r="A42" s="9"/>
      <c r="B42" s="59"/>
      <c r="C42" s="10" t="s">
        <v>257</v>
      </c>
      <c r="D42" s="17"/>
      <c r="E42" s="18"/>
      <c r="F42" s="29"/>
      <c r="G42" s="24"/>
      <c r="H42" s="34"/>
      <c r="I42" s="2"/>
    </row>
    <row r="43" spans="1:9" s="1" customFormat="1">
      <c r="A43" s="9"/>
      <c r="B43" s="59"/>
      <c r="C43" s="10"/>
      <c r="D43" s="17"/>
      <c r="E43" s="18"/>
      <c r="F43" s="29"/>
      <c r="G43" s="24"/>
      <c r="H43" s="34"/>
      <c r="I43" s="2"/>
    </row>
    <row r="44" spans="1:9" s="1" customFormat="1">
      <c r="A44" s="9"/>
      <c r="B44" s="59"/>
      <c r="C44" s="9" t="s">
        <v>49</v>
      </c>
      <c r="D44" s="17"/>
      <c r="E44" s="18"/>
      <c r="F44" s="29"/>
      <c r="G44" s="24"/>
      <c r="H44" s="34"/>
      <c r="I44" s="2"/>
    </row>
    <row r="45" spans="1:9" s="1" customFormat="1">
      <c r="A45" s="9"/>
      <c r="B45" s="59"/>
      <c r="C45" s="9" t="s">
        <v>50</v>
      </c>
      <c r="D45" s="17"/>
      <c r="E45" s="18"/>
      <c r="F45" s="29"/>
      <c r="G45" s="24"/>
      <c r="H45" s="34">
        <v>293.72000000000003</v>
      </c>
      <c r="I45" s="2" t="s">
        <v>283</v>
      </c>
    </row>
    <row r="46" spans="1:9" s="1" customFormat="1">
      <c r="A46" s="9"/>
      <c r="B46" s="59"/>
      <c r="C46" s="9"/>
      <c r="D46" s="47"/>
      <c r="E46" s="48"/>
      <c r="F46" s="29"/>
      <c r="G46" s="24"/>
      <c r="H46" s="34"/>
      <c r="I46" s="6"/>
    </row>
    <row r="47" spans="1:9" s="1" customFormat="1">
      <c r="A47" s="12" t="s">
        <v>4</v>
      </c>
      <c r="B47" s="10"/>
      <c r="C47" s="10"/>
      <c r="D47" s="20">
        <f>SUM(D13:D46)</f>
        <v>870.18</v>
      </c>
      <c r="E47" s="6"/>
      <c r="F47" s="31">
        <f>SUM(F13:F46)</f>
        <v>1206.3999999999999</v>
      </c>
      <c r="G47" s="26"/>
      <c r="H47" s="36">
        <f>SUM(H13:H46)</f>
        <v>13253.32</v>
      </c>
      <c r="I47" s="2"/>
    </row>
    <row r="48" spans="1:9" s="1" customFormat="1" ht="15.75" thickBot="1">
      <c r="A48" s="13" t="s">
        <v>5</v>
      </c>
      <c r="B48" s="39">
        <f>SUM(D47+F47+H47)</f>
        <v>15329.9</v>
      </c>
      <c r="C48" s="38"/>
      <c r="D48" s="21"/>
      <c r="E48" s="22"/>
      <c r="F48" s="32"/>
      <c r="G48" s="27"/>
      <c r="H48" s="37"/>
      <c r="I48" s="3"/>
    </row>
    <row r="49" spans="1:9" s="1" customFormat="1">
      <c r="A49" s="1" t="s">
        <v>263</v>
      </c>
      <c r="B49" s="11" t="s">
        <v>262</v>
      </c>
      <c r="C49" s="9" t="s">
        <v>28</v>
      </c>
      <c r="D49" s="15">
        <f>42.51+25.18</f>
        <v>67.69</v>
      </c>
      <c r="E49" s="16" t="s">
        <v>275</v>
      </c>
      <c r="F49" s="29">
        <v>16</v>
      </c>
      <c r="G49" s="24" t="s">
        <v>35</v>
      </c>
      <c r="H49" s="34">
        <v>210.04</v>
      </c>
      <c r="I49" s="2" t="s">
        <v>174</v>
      </c>
    </row>
    <row r="50" spans="1:9" s="1" customFormat="1">
      <c r="B50" s="10"/>
      <c r="C50" s="9"/>
      <c r="D50" s="17">
        <f>287.43+23.86+54.87</f>
        <v>366.16</v>
      </c>
      <c r="E50" s="18" t="s">
        <v>137</v>
      </c>
      <c r="F50" s="29">
        <f>2.7*2+59.4</f>
        <v>64.8</v>
      </c>
      <c r="G50" s="24" t="s">
        <v>81</v>
      </c>
      <c r="H50" s="34"/>
      <c r="I50" s="2"/>
    </row>
    <row r="51" spans="1:9" s="1" customFormat="1">
      <c r="B51" s="10"/>
      <c r="C51" s="9"/>
      <c r="D51" s="17">
        <v>8.3699999999999992</v>
      </c>
      <c r="E51" s="18" t="s">
        <v>72</v>
      </c>
      <c r="F51" s="29">
        <v>19.899999999999999</v>
      </c>
      <c r="G51" s="24" t="s">
        <v>110</v>
      </c>
      <c r="H51" s="34"/>
      <c r="I51" s="2"/>
    </row>
    <row r="52" spans="1:9" s="1" customFormat="1">
      <c r="A52" s="9"/>
      <c r="B52" s="9"/>
      <c r="C52" s="10"/>
      <c r="D52" s="17">
        <v>62.9</v>
      </c>
      <c r="E52" s="18" t="s">
        <v>276</v>
      </c>
      <c r="F52" s="29"/>
      <c r="G52" s="24"/>
      <c r="H52" s="34"/>
      <c r="I52" s="6"/>
    </row>
    <row r="53" spans="1:9" s="1" customFormat="1">
      <c r="A53" s="9"/>
      <c r="B53" s="9"/>
      <c r="C53" s="9" t="s">
        <v>15</v>
      </c>
      <c r="D53" s="17"/>
      <c r="E53" s="18"/>
      <c r="F53" s="29">
        <f>37.34*2</f>
        <v>74.680000000000007</v>
      </c>
      <c r="G53" s="24" t="s">
        <v>35</v>
      </c>
      <c r="H53" s="34"/>
      <c r="I53" s="2"/>
    </row>
    <row r="54" spans="1:9" s="1" customFormat="1">
      <c r="A54" s="9"/>
      <c r="B54" s="9"/>
      <c r="C54" s="9"/>
      <c r="D54" s="17"/>
      <c r="E54" s="18"/>
      <c r="F54" s="29">
        <f>4.9*2</f>
        <v>9.8000000000000007</v>
      </c>
      <c r="G54" s="24" t="s">
        <v>36</v>
      </c>
      <c r="H54" s="34"/>
      <c r="I54" s="2"/>
    </row>
    <row r="55" spans="1:9" s="1" customFormat="1">
      <c r="A55" s="9"/>
      <c r="B55" s="9"/>
      <c r="C55" s="9"/>
      <c r="D55" s="17"/>
      <c r="E55" s="18"/>
      <c r="F55" s="29">
        <v>59.4</v>
      </c>
      <c r="G55" s="24" t="s">
        <v>34</v>
      </c>
      <c r="H55" s="34"/>
      <c r="I55" s="2"/>
    </row>
    <row r="56" spans="1:9" s="1" customFormat="1">
      <c r="A56" s="9"/>
      <c r="B56" s="9"/>
      <c r="C56" s="9" t="s">
        <v>147</v>
      </c>
      <c r="D56" s="17">
        <v>12.7</v>
      </c>
      <c r="E56" s="18" t="s">
        <v>74</v>
      </c>
      <c r="F56" s="29">
        <v>200.8</v>
      </c>
      <c r="G56" s="24" t="s">
        <v>39</v>
      </c>
      <c r="H56" s="34"/>
      <c r="I56" s="2"/>
    </row>
    <row r="57" spans="1:9" s="1" customFormat="1">
      <c r="A57" s="9"/>
      <c r="B57" s="9"/>
      <c r="C57" s="9"/>
      <c r="D57" s="17">
        <v>76.91</v>
      </c>
      <c r="E57" s="18" t="s">
        <v>33</v>
      </c>
      <c r="F57" s="29">
        <v>38.549999999999997</v>
      </c>
      <c r="G57" s="24" t="s">
        <v>110</v>
      </c>
      <c r="H57" s="34"/>
      <c r="I57" s="2"/>
    </row>
    <row r="58" spans="1:9" s="1" customFormat="1">
      <c r="A58" s="9"/>
      <c r="B58" s="59"/>
      <c r="C58" s="9"/>
      <c r="D58" s="17">
        <v>20</v>
      </c>
      <c r="E58" s="18" t="s">
        <v>74</v>
      </c>
      <c r="F58" s="29">
        <v>640</v>
      </c>
      <c r="G58" s="24" t="s">
        <v>334</v>
      </c>
      <c r="H58" s="34"/>
      <c r="I58" s="2"/>
    </row>
    <row r="59" spans="1:9" s="1" customFormat="1">
      <c r="A59" s="9"/>
      <c r="B59" s="59"/>
      <c r="C59" s="9" t="s">
        <v>49</v>
      </c>
      <c r="D59" s="17"/>
      <c r="E59" s="18"/>
      <c r="F59" s="29"/>
      <c r="G59" s="24"/>
      <c r="H59" s="34">
        <v>3078.77</v>
      </c>
      <c r="I59" s="2" t="s">
        <v>290</v>
      </c>
    </row>
    <row r="60" spans="1:9" s="1" customFormat="1">
      <c r="A60" s="9"/>
      <c r="B60" s="59"/>
      <c r="C60" s="9" t="s">
        <v>50</v>
      </c>
      <c r="D60" s="17"/>
      <c r="E60" s="18"/>
      <c r="F60" s="29"/>
      <c r="G60" s="24"/>
      <c r="H60" s="34">
        <v>3036.88</v>
      </c>
      <c r="I60" s="2" t="s">
        <v>284</v>
      </c>
    </row>
    <row r="61" spans="1:9" s="1" customFormat="1">
      <c r="A61" s="9"/>
      <c r="B61" s="59"/>
      <c r="C61" s="9"/>
      <c r="D61" s="17"/>
      <c r="E61" s="18"/>
      <c r="F61" s="29"/>
      <c r="G61" s="24"/>
      <c r="H61" s="34">
        <v>2443.59</v>
      </c>
      <c r="I61" s="2" t="s">
        <v>185</v>
      </c>
    </row>
    <row r="62" spans="1:9" s="1" customFormat="1">
      <c r="A62" s="9"/>
      <c r="B62" s="59"/>
      <c r="C62" s="9"/>
      <c r="D62" s="47"/>
      <c r="E62" s="48"/>
      <c r="F62" s="29"/>
      <c r="G62" s="24"/>
      <c r="H62" s="34"/>
      <c r="I62" s="6"/>
    </row>
    <row r="63" spans="1:9" s="1" customFormat="1">
      <c r="A63" s="12" t="s">
        <v>4</v>
      </c>
      <c r="B63" s="10"/>
      <c r="C63" s="10"/>
      <c r="D63" s="20">
        <f>SUM(D49:D62)</f>
        <v>614.73</v>
      </c>
      <c r="E63" s="6"/>
      <c r="F63" s="31">
        <f>SUM(F49:F62)</f>
        <v>1123.93</v>
      </c>
      <c r="G63" s="26"/>
      <c r="H63" s="36">
        <f>SUM(H49:H62)</f>
        <v>8769.2800000000007</v>
      </c>
      <c r="I63" s="2"/>
    </row>
    <row r="64" spans="1:9" s="1" customFormat="1" ht="15.75" thickBot="1">
      <c r="A64" s="13" t="s">
        <v>5</v>
      </c>
      <c r="B64" s="39">
        <f>SUM(D63+F63+H63)</f>
        <v>10507.94</v>
      </c>
      <c r="C64" s="38"/>
      <c r="D64" s="21"/>
      <c r="E64" s="22"/>
      <c r="F64" s="32"/>
      <c r="G64" s="27"/>
      <c r="H64" s="37"/>
      <c r="I64" s="3"/>
    </row>
    <row r="65" spans="1:9" s="1" customFormat="1">
      <c r="A65" s="9" t="s">
        <v>265</v>
      </c>
      <c r="B65" s="9" t="s">
        <v>264</v>
      </c>
      <c r="C65" s="10" t="s">
        <v>26</v>
      </c>
      <c r="D65" s="17">
        <v>38.69</v>
      </c>
      <c r="E65" s="18" t="s">
        <v>271</v>
      </c>
      <c r="F65" s="29">
        <v>7.55</v>
      </c>
      <c r="G65" s="24" t="s">
        <v>72</v>
      </c>
      <c r="H65" s="34">
        <v>444.06</v>
      </c>
      <c r="I65" s="6" t="s">
        <v>272</v>
      </c>
    </row>
    <row r="66" spans="1:9" s="1" customFormat="1">
      <c r="A66" s="9"/>
      <c r="B66" s="9"/>
      <c r="C66" s="9"/>
      <c r="D66" s="17">
        <v>68.42</v>
      </c>
      <c r="E66" s="18" t="s">
        <v>41</v>
      </c>
      <c r="F66" s="29">
        <f>31+33</f>
        <v>64</v>
      </c>
      <c r="G66" s="24" t="s">
        <v>39</v>
      </c>
      <c r="H66" s="34"/>
      <c r="I66" s="2"/>
    </row>
    <row r="67" spans="1:9" s="1" customFormat="1">
      <c r="A67" s="9"/>
      <c r="B67" s="9"/>
      <c r="C67" s="9"/>
      <c r="D67" s="17"/>
      <c r="E67" s="18"/>
      <c r="F67" s="29"/>
      <c r="G67" s="24"/>
      <c r="H67" s="34"/>
      <c r="I67" s="2"/>
    </row>
    <row r="68" spans="1:9" s="1" customFormat="1">
      <c r="A68" s="9"/>
      <c r="B68" s="9"/>
      <c r="C68" s="9" t="s">
        <v>22</v>
      </c>
      <c r="D68" s="17"/>
      <c r="E68" s="18"/>
      <c r="F68" s="29">
        <f>14.5+90+11+10</f>
        <v>125.5</v>
      </c>
      <c r="G68" s="41" t="s">
        <v>382</v>
      </c>
      <c r="H68" s="34">
        <v>398.96</v>
      </c>
      <c r="I68" s="2" t="s">
        <v>272</v>
      </c>
    </row>
    <row r="69" spans="1:9" s="1" customFormat="1">
      <c r="A69" s="9"/>
      <c r="B69" s="9"/>
      <c r="C69" s="9"/>
      <c r="D69" s="17"/>
      <c r="E69" s="18"/>
      <c r="F69" s="29">
        <v>35</v>
      </c>
      <c r="G69" s="24" t="s">
        <v>319</v>
      </c>
      <c r="H69" s="34"/>
      <c r="I69" s="2"/>
    </row>
    <row r="70" spans="1:9" s="1" customFormat="1">
      <c r="A70" s="9"/>
      <c r="B70" s="59"/>
      <c r="C70" s="9"/>
      <c r="D70" s="17"/>
      <c r="E70" s="18"/>
      <c r="F70" s="29">
        <v>25</v>
      </c>
      <c r="G70" s="24" t="s">
        <v>74</v>
      </c>
      <c r="H70" s="34"/>
      <c r="I70" s="2"/>
    </row>
    <row r="71" spans="1:9" s="1" customFormat="1">
      <c r="A71" s="9"/>
      <c r="B71" s="59"/>
      <c r="C71" s="9" t="s">
        <v>49</v>
      </c>
      <c r="D71" s="17"/>
      <c r="E71" s="18"/>
      <c r="F71" s="29"/>
      <c r="G71" s="24"/>
      <c r="H71" s="34"/>
      <c r="I71" s="2"/>
    </row>
    <row r="72" spans="1:9" s="1" customFormat="1">
      <c r="A72" s="9"/>
      <c r="B72" s="59"/>
      <c r="C72" s="9" t="s">
        <v>50</v>
      </c>
      <c r="D72" s="17"/>
      <c r="E72" s="18"/>
      <c r="F72" s="29"/>
      <c r="G72" s="24"/>
      <c r="H72" s="34">
        <v>1060.01</v>
      </c>
      <c r="I72" s="2" t="s">
        <v>287</v>
      </c>
    </row>
    <row r="73" spans="1:9" s="1" customFormat="1">
      <c r="A73" s="9"/>
      <c r="B73" s="59"/>
      <c r="C73" s="9"/>
      <c r="D73" s="17"/>
      <c r="E73" s="18"/>
      <c r="F73" s="29"/>
      <c r="G73" s="24"/>
      <c r="H73" s="34">
        <v>1059.8800000000001</v>
      </c>
      <c r="I73" s="2" t="s">
        <v>132</v>
      </c>
    </row>
    <row r="74" spans="1:9" s="1" customFormat="1">
      <c r="A74" s="9"/>
      <c r="B74" s="59"/>
      <c r="C74" s="9"/>
      <c r="D74" s="47"/>
      <c r="E74" s="48"/>
      <c r="F74" s="29"/>
      <c r="G74" s="24"/>
      <c r="H74" s="34"/>
      <c r="I74" s="6"/>
    </row>
    <row r="75" spans="1:9" s="1" customFormat="1">
      <c r="A75" s="12" t="s">
        <v>4</v>
      </c>
      <c r="B75" s="10"/>
      <c r="C75" s="10"/>
      <c r="D75" s="20">
        <f>SUM(D65:D73)</f>
        <v>107.11</v>
      </c>
      <c r="E75" s="6"/>
      <c r="F75" s="31">
        <f>SUM(F65:F74)</f>
        <v>257.05</v>
      </c>
      <c r="G75" s="26"/>
      <c r="H75" s="36">
        <f>SUM(H65:H74)</f>
        <v>2962.91</v>
      </c>
      <c r="I75" s="2"/>
    </row>
    <row r="76" spans="1:9" s="1" customFormat="1" ht="15.75" thickBot="1">
      <c r="A76" s="13" t="s">
        <v>5</v>
      </c>
      <c r="B76" s="39">
        <f>SUM(D75+F75+H75)</f>
        <v>3327.0699999999997</v>
      </c>
      <c r="C76" s="38"/>
      <c r="D76" s="21"/>
      <c r="E76" s="22"/>
      <c r="F76" s="32"/>
      <c r="G76" s="27"/>
      <c r="H76" s="37"/>
      <c r="I76" s="3"/>
    </row>
    <row r="77" spans="1:9" s="1" customFormat="1">
      <c r="A77" s="1" t="s">
        <v>267</v>
      </c>
      <c r="B77" s="11" t="s">
        <v>266</v>
      </c>
      <c r="C77" s="9" t="s">
        <v>9</v>
      </c>
      <c r="D77" s="15">
        <v>40.44</v>
      </c>
      <c r="E77" s="16" t="s">
        <v>41</v>
      </c>
      <c r="F77" s="28">
        <f>126+23.6</f>
        <v>149.6</v>
      </c>
      <c r="G77" s="23" t="s">
        <v>279</v>
      </c>
      <c r="H77" s="33">
        <v>825.55</v>
      </c>
      <c r="I77" s="5" t="s">
        <v>291</v>
      </c>
    </row>
    <row r="78" spans="1:9" s="1" customFormat="1">
      <c r="A78" s="9"/>
      <c r="B78" s="9"/>
      <c r="C78" s="10"/>
      <c r="D78" s="17">
        <f>6.06+154.67</f>
        <v>160.72999999999999</v>
      </c>
      <c r="E78" s="18" t="s">
        <v>107</v>
      </c>
      <c r="F78" s="29">
        <f>82+2.5+2.8</f>
        <v>87.3</v>
      </c>
      <c r="G78" s="24" t="s">
        <v>81</v>
      </c>
      <c r="H78" s="34"/>
      <c r="I78" s="6"/>
    </row>
    <row r="79" spans="1:9" s="1" customFormat="1">
      <c r="A79" s="9"/>
      <c r="B79" s="9"/>
      <c r="C79" s="10"/>
      <c r="D79" s="17"/>
      <c r="E79" s="18"/>
      <c r="F79" s="29">
        <f>10+10.3+14.4+8.5</f>
        <v>43.2</v>
      </c>
      <c r="G79" s="24" t="s">
        <v>280</v>
      </c>
      <c r="H79" s="34"/>
      <c r="I79" s="6"/>
    </row>
    <row r="80" spans="1:9" s="1" customFormat="1">
      <c r="A80" s="9"/>
      <c r="B80" s="9"/>
      <c r="C80" s="10"/>
      <c r="D80" s="17"/>
      <c r="E80" s="18"/>
      <c r="F80" s="29">
        <f>27.7+9.3+4.48</f>
        <v>41.480000000000004</v>
      </c>
      <c r="G80" s="24" t="s">
        <v>274</v>
      </c>
      <c r="H80" s="34"/>
      <c r="I80" s="6"/>
    </row>
    <row r="81" spans="1:9" s="1" customFormat="1">
      <c r="A81" s="9"/>
      <c r="B81" s="9"/>
      <c r="C81" s="10"/>
      <c r="D81" s="17"/>
      <c r="E81" s="18"/>
      <c r="F81" s="29">
        <f>5.82*2</f>
        <v>11.64</v>
      </c>
      <c r="G81" s="24" t="s">
        <v>35</v>
      </c>
      <c r="H81" s="34"/>
      <c r="I81" s="6"/>
    </row>
    <row r="82" spans="1:9" s="1" customFormat="1">
      <c r="A82" s="9"/>
      <c r="B82" s="9"/>
      <c r="C82" s="9" t="s">
        <v>195</v>
      </c>
      <c r="D82" s="17"/>
      <c r="E82" s="18"/>
      <c r="F82" s="29">
        <v>21.6</v>
      </c>
      <c r="G82" s="24" t="s">
        <v>41</v>
      </c>
      <c r="H82" s="34"/>
      <c r="I82" s="2"/>
    </row>
    <row r="83" spans="1:9" s="1" customFormat="1">
      <c r="A83" s="9"/>
      <c r="B83" s="9"/>
      <c r="C83" s="9"/>
      <c r="D83" s="17"/>
      <c r="E83" s="18"/>
      <c r="F83" s="29">
        <v>11</v>
      </c>
      <c r="G83" s="24" t="s">
        <v>270</v>
      </c>
      <c r="H83" s="34"/>
      <c r="I83" s="2"/>
    </row>
    <row r="84" spans="1:9" s="1" customFormat="1">
      <c r="A84" s="9"/>
      <c r="B84" s="59"/>
      <c r="C84" s="9"/>
      <c r="D84" s="17"/>
      <c r="E84" s="18"/>
      <c r="F84" s="29"/>
      <c r="G84" s="24"/>
      <c r="H84" s="34"/>
      <c r="I84" s="2"/>
    </row>
    <row r="85" spans="1:9" s="1" customFormat="1">
      <c r="A85" s="9"/>
      <c r="B85" s="59"/>
      <c r="C85" s="9" t="s">
        <v>49</v>
      </c>
      <c r="D85" s="17"/>
      <c r="E85" s="18"/>
      <c r="F85" s="29"/>
      <c r="G85" s="24"/>
      <c r="H85" s="34"/>
      <c r="I85" s="2"/>
    </row>
    <row r="86" spans="1:9" s="1" customFormat="1">
      <c r="A86" s="9"/>
      <c r="B86" s="59"/>
      <c r="C86" s="9" t="s">
        <v>50</v>
      </c>
      <c r="D86" s="17"/>
      <c r="E86" s="18"/>
      <c r="F86" s="29"/>
      <c r="G86" s="24"/>
      <c r="H86" s="34">
        <v>2666.44</v>
      </c>
      <c r="I86" s="2" t="s">
        <v>286</v>
      </c>
    </row>
    <row r="87" spans="1:9">
      <c r="A87" s="9"/>
      <c r="B87" s="59"/>
      <c r="C87" s="9"/>
      <c r="D87" s="47"/>
      <c r="E87" s="48"/>
      <c r="F87" s="29"/>
      <c r="G87" s="24"/>
      <c r="H87" s="34"/>
      <c r="I87" s="18"/>
    </row>
    <row r="88" spans="1:9">
      <c r="A88" s="12" t="s">
        <v>4</v>
      </c>
      <c r="B88" s="10"/>
      <c r="C88" s="10"/>
      <c r="D88" s="20">
        <f>SUM(D77:D87)</f>
        <v>201.17</v>
      </c>
      <c r="E88" s="6"/>
      <c r="F88" s="31">
        <f>SUM(F77:F87)</f>
        <v>365.82</v>
      </c>
      <c r="G88" s="26"/>
      <c r="H88" s="36">
        <f>SUM(H77:H87)</f>
        <v>3491.99</v>
      </c>
      <c r="I88" s="18"/>
    </row>
    <row r="89" spans="1:9" ht="15.75" thickBot="1">
      <c r="A89" s="13" t="s">
        <v>5</v>
      </c>
      <c r="B89" s="39">
        <f>SUM(D88+F88+H88)</f>
        <v>4058.9799999999996</v>
      </c>
      <c r="C89" s="38"/>
      <c r="D89" s="21"/>
      <c r="E89" s="22"/>
      <c r="F89" s="32"/>
      <c r="G89" s="27"/>
      <c r="H89" s="37"/>
      <c r="I89" s="2"/>
    </row>
    <row r="90" spans="1:9" s="1" customFormat="1">
      <c r="A90" s="1" t="s">
        <v>268</v>
      </c>
      <c r="B90" s="11" t="s">
        <v>258</v>
      </c>
      <c r="C90" s="9" t="s">
        <v>28</v>
      </c>
      <c r="D90" s="15"/>
      <c r="E90" s="16"/>
      <c r="F90" s="28"/>
      <c r="G90" s="23"/>
      <c r="H90" s="33"/>
      <c r="I90" s="5"/>
    </row>
    <row r="91" spans="1:9" s="1" customFormat="1">
      <c r="A91" s="9"/>
      <c r="B91" s="9"/>
      <c r="C91" s="10"/>
      <c r="D91" s="17"/>
      <c r="E91" s="18"/>
      <c r="F91" s="29"/>
      <c r="G91" s="24"/>
      <c r="H91" s="34"/>
      <c r="I91" s="6"/>
    </row>
    <row r="92" spans="1:9" s="1" customFormat="1">
      <c r="A92" s="9"/>
      <c r="B92" s="9"/>
      <c r="C92" s="9" t="s">
        <v>15</v>
      </c>
      <c r="D92" s="17"/>
      <c r="E92" s="18"/>
      <c r="F92" s="29"/>
      <c r="G92" s="24"/>
      <c r="H92" s="34"/>
      <c r="I92" s="2"/>
    </row>
    <row r="93" spans="1:9" s="1" customFormat="1">
      <c r="A93" s="9"/>
      <c r="B93" s="9"/>
      <c r="C93" s="9"/>
      <c r="D93" s="17"/>
      <c r="E93" s="18"/>
      <c r="F93" s="29"/>
      <c r="G93" s="24"/>
      <c r="H93" s="34"/>
      <c r="I93" s="2"/>
    </row>
    <row r="94" spans="1:9" s="1" customFormat="1">
      <c r="A94" s="9"/>
      <c r="B94" s="59"/>
      <c r="C94" s="9" t="s">
        <v>49</v>
      </c>
      <c r="D94" s="17"/>
      <c r="E94" s="18"/>
      <c r="F94" s="29"/>
      <c r="G94" s="24"/>
      <c r="H94" s="34">
        <v>1311.63</v>
      </c>
      <c r="I94" s="2" t="s">
        <v>235</v>
      </c>
    </row>
    <row r="95" spans="1:9" s="1" customFormat="1">
      <c r="A95" s="9"/>
      <c r="B95" s="59"/>
      <c r="C95" s="9" t="s">
        <v>50</v>
      </c>
      <c r="D95" s="17"/>
      <c r="E95" s="18"/>
      <c r="F95" s="29"/>
      <c r="G95" s="24"/>
      <c r="H95" s="34">
        <v>413.86</v>
      </c>
      <c r="I95" s="2" t="s">
        <v>285</v>
      </c>
    </row>
    <row r="96" spans="1:9">
      <c r="A96" s="9"/>
      <c r="B96" s="59"/>
      <c r="C96" s="9"/>
      <c r="D96" s="47"/>
      <c r="E96" s="48"/>
      <c r="F96" s="29"/>
      <c r="G96" s="24"/>
      <c r="H96" s="34"/>
      <c r="I96" s="18"/>
    </row>
    <row r="97" spans="1:9">
      <c r="A97" s="12" t="s">
        <v>4</v>
      </c>
      <c r="B97" s="10"/>
      <c r="C97" s="10"/>
      <c r="D97" s="20">
        <f>SUM(D90:D96)</f>
        <v>0</v>
      </c>
      <c r="E97" s="6"/>
      <c r="F97" s="31">
        <f>SUM(F90:F96)</f>
        <v>0</v>
      </c>
      <c r="G97" s="26"/>
      <c r="H97" s="36">
        <f>SUM(H90:H96)</f>
        <v>1725.4900000000002</v>
      </c>
      <c r="I97" s="18"/>
    </row>
    <row r="98" spans="1:9" ht="15.75" thickBot="1">
      <c r="A98" s="13" t="s">
        <v>5</v>
      </c>
      <c r="B98" s="39">
        <f>SUM(D97+F97+H97)</f>
        <v>1725.4900000000002</v>
      </c>
      <c r="C98" s="38"/>
      <c r="D98" s="21"/>
      <c r="E98" s="22"/>
      <c r="F98" s="32"/>
      <c r="G98" s="27"/>
      <c r="H98" s="37"/>
      <c r="I98" s="2"/>
    </row>
    <row r="99" spans="1:9" s="1" customFormat="1">
      <c r="A99" s="1" t="s">
        <v>269</v>
      </c>
      <c r="B99" s="11" t="s">
        <v>230</v>
      </c>
      <c r="C99" s="9" t="s">
        <v>22</v>
      </c>
      <c r="D99" s="15">
        <v>40.79</v>
      </c>
      <c r="E99" s="16" t="s">
        <v>41</v>
      </c>
      <c r="F99" s="28">
        <v>2.2999999999999998</v>
      </c>
      <c r="G99" s="23" t="s">
        <v>110</v>
      </c>
      <c r="H99" s="28"/>
      <c r="I99" s="5"/>
    </row>
    <row r="100" spans="1:9" s="1" customFormat="1">
      <c r="A100" s="9"/>
      <c r="B100" s="9"/>
      <c r="C100" s="10"/>
      <c r="D100" s="17">
        <v>14.5</v>
      </c>
      <c r="E100" s="18" t="s">
        <v>157</v>
      </c>
      <c r="F100" s="29">
        <f>21+20.7</f>
        <v>41.7</v>
      </c>
      <c r="G100" s="24" t="s">
        <v>39</v>
      </c>
      <c r="H100" s="29"/>
      <c r="I100" s="6"/>
    </row>
    <row r="101" spans="1:9" s="1" customFormat="1">
      <c r="A101" s="9"/>
      <c r="B101" s="59"/>
      <c r="C101" s="9" t="s">
        <v>49</v>
      </c>
      <c r="D101" s="17"/>
      <c r="E101" s="18"/>
      <c r="F101" s="29"/>
      <c r="G101" s="24"/>
      <c r="H101" s="29">
        <v>581.79999999999995</v>
      </c>
      <c r="I101" s="2" t="s">
        <v>294</v>
      </c>
    </row>
    <row r="102" spans="1:9" s="1" customFormat="1">
      <c r="A102" s="9"/>
      <c r="B102" s="59"/>
      <c r="C102" s="9" t="s">
        <v>50</v>
      </c>
      <c r="D102" s="17"/>
      <c r="E102" s="18"/>
      <c r="F102" s="29"/>
      <c r="G102" s="24"/>
      <c r="H102" s="29">
        <v>1393.32</v>
      </c>
      <c r="I102" s="2" t="s">
        <v>132</v>
      </c>
    </row>
    <row r="103" spans="1:9">
      <c r="A103" s="9"/>
      <c r="B103" s="59"/>
      <c r="C103" s="9"/>
      <c r="D103" s="47"/>
      <c r="E103" s="48"/>
      <c r="F103" s="29"/>
      <c r="G103" s="24"/>
      <c r="H103" s="29"/>
      <c r="I103" s="18"/>
    </row>
    <row r="104" spans="1:9">
      <c r="A104" s="12" t="s">
        <v>4</v>
      </c>
      <c r="B104" s="10"/>
      <c r="C104" s="10"/>
      <c r="D104" s="20">
        <f>SUM(D99:D103)</f>
        <v>55.29</v>
      </c>
      <c r="E104" s="6"/>
      <c r="F104" s="31">
        <f>SUM(F99:F103)</f>
        <v>44</v>
      </c>
      <c r="G104" s="26"/>
      <c r="H104" s="31">
        <f>SUM(H99:H103)</f>
        <v>1975.12</v>
      </c>
      <c r="I104" s="18"/>
    </row>
    <row r="105" spans="1:9" ht="15.75" thickBot="1">
      <c r="A105" s="13" t="s">
        <v>5</v>
      </c>
      <c r="B105" s="39">
        <f>SUM(D104+F104+H104)</f>
        <v>2074.41</v>
      </c>
      <c r="C105" s="38"/>
      <c r="D105" s="21"/>
      <c r="E105" s="22"/>
      <c r="F105" s="32"/>
      <c r="G105" s="27"/>
      <c r="H105" s="68"/>
      <c r="I105" s="3"/>
    </row>
    <row r="106" spans="1:9" ht="15.75" thickBot="1">
      <c r="A106" s="65"/>
      <c r="B106" s="66"/>
      <c r="C106" s="56"/>
      <c r="D106" s="57"/>
      <c r="E106" s="67"/>
      <c r="F106" s="36"/>
      <c r="G106" s="57"/>
      <c r="H106" s="35"/>
      <c r="I106" s="56"/>
    </row>
    <row r="107" spans="1:9" ht="20.25" thickBot="1">
      <c r="A107" s="51" t="s">
        <v>191</v>
      </c>
      <c r="B107" s="52">
        <f>SUM(B12+B48+B64+B76+B89+B98+B105)</f>
        <v>42398.099999999991</v>
      </c>
      <c r="C107" s="56"/>
      <c r="D107" s="57"/>
      <c r="E107" s="67"/>
      <c r="F107" s="36"/>
      <c r="G107" s="57"/>
      <c r="H107" s="35"/>
      <c r="I107" s="56"/>
    </row>
    <row r="108" spans="1:9">
      <c r="A108" s="65"/>
      <c r="B108" s="66"/>
      <c r="C108" s="56"/>
      <c r="D108" s="57"/>
      <c r="E108" s="67"/>
      <c r="F108" s="36"/>
      <c r="G108" s="57"/>
      <c r="H108" s="35"/>
      <c r="I108" s="56"/>
    </row>
    <row r="109" spans="1:9">
      <c r="A109" s="65"/>
      <c r="B109" s="66"/>
      <c r="C109" s="56"/>
      <c r="D109" s="57"/>
      <c r="E109" s="67"/>
      <c r="F109" s="36"/>
      <c r="G109" s="57"/>
      <c r="H109" s="35"/>
      <c r="I109" s="56"/>
    </row>
    <row r="110" spans="1:9">
      <c r="A110" s="65"/>
      <c r="B110" s="66"/>
      <c r="C110" s="56"/>
      <c r="D110" s="57"/>
      <c r="E110" s="67"/>
      <c r="F110" s="36"/>
      <c r="G110" s="57"/>
      <c r="H110" s="35"/>
      <c r="I110" s="56"/>
    </row>
    <row r="111" spans="1:9">
      <c r="G111" s="57"/>
      <c r="H111" s="35"/>
      <c r="I111" s="56"/>
    </row>
    <row r="112" spans="1:9">
      <c r="E112" s="61"/>
      <c r="F112" s="61"/>
      <c r="G112" s="57"/>
      <c r="H112" s="35"/>
      <c r="I112" s="56"/>
    </row>
    <row r="113" spans="1:7">
      <c r="A113" s="59"/>
      <c r="B113" s="60"/>
      <c r="C113" s="60"/>
      <c r="D113" s="61"/>
      <c r="G113" s="62"/>
    </row>
    <row r="114" spans="1:7">
      <c r="A114" s="62"/>
      <c r="B114" s="62"/>
      <c r="C114" s="62"/>
      <c r="D114" s="62"/>
      <c r="E114" s="62"/>
      <c r="F114" s="62"/>
      <c r="G114" s="62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workbookViewId="0">
      <pane ySplit="1" topLeftCell="A86" activePane="bottomLeft" state="frozen"/>
      <selection pane="bottomLeft" activeCell="D99" sqref="D99"/>
    </sheetView>
  </sheetViews>
  <sheetFormatPr defaultRowHeight="15"/>
  <cols>
    <col min="1" max="1" width="21.7109375" customWidth="1"/>
    <col min="2" max="2" width="29" bestFit="1" customWidth="1"/>
    <col min="3" max="3" width="19.42578125" customWidth="1"/>
    <col min="4" max="4" width="14.85546875" customWidth="1"/>
    <col min="5" max="5" width="23.42578125" customWidth="1"/>
    <col min="6" max="6" width="22.5703125" customWidth="1"/>
    <col min="7" max="7" width="23.5703125" customWidth="1"/>
    <col min="8" max="8" width="26.42578125" customWidth="1"/>
    <col min="9" max="9" width="40.8554687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 ht="30">
      <c r="A2" s="8" t="s">
        <v>295</v>
      </c>
      <c r="B2" s="8" t="s">
        <v>301</v>
      </c>
      <c r="C2" s="8" t="s">
        <v>26</v>
      </c>
      <c r="D2" s="28">
        <v>23.27</v>
      </c>
      <c r="E2" s="23" t="s">
        <v>33</v>
      </c>
      <c r="F2" s="15">
        <f>33.4+11+2+9.1</f>
        <v>55.5</v>
      </c>
      <c r="G2" s="40" t="s">
        <v>323</v>
      </c>
      <c r="H2" s="33"/>
      <c r="I2" s="5"/>
    </row>
    <row r="3" spans="1:11" s="1" customFormat="1">
      <c r="A3" s="9"/>
      <c r="B3" s="9"/>
      <c r="C3" s="10"/>
      <c r="D3" s="29"/>
      <c r="E3" s="24"/>
      <c r="F3" s="17">
        <f>43.5+41</f>
        <v>84.5</v>
      </c>
      <c r="G3" s="18" t="s">
        <v>39</v>
      </c>
      <c r="H3" s="34"/>
      <c r="I3" s="6"/>
    </row>
    <row r="4" spans="1:11" s="1" customFormat="1">
      <c r="A4" s="55"/>
      <c r="B4" s="9"/>
      <c r="C4" s="9" t="s">
        <v>102</v>
      </c>
      <c r="D4" s="29"/>
      <c r="E4" s="24"/>
      <c r="F4" s="47">
        <v>110</v>
      </c>
      <c r="G4" s="48" t="s">
        <v>41</v>
      </c>
      <c r="H4" s="34"/>
      <c r="I4" s="6"/>
    </row>
    <row r="5" spans="1:11" s="1" customFormat="1">
      <c r="A5" s="9"/>
      <c r="B5" s="9"/>
      <c r="C5" s="9"/>
      <c r="D5" s="29"/>
      <c r="E5" s="24"/>
      <c r="F5" s="17">
        <v>90</v>
      </c>
      <c r="G5" s="18" t="s">
        <v>41</v>
      </c>
      <c r="H5" s="34"/>
      <c r="I5" s="2"/>
      <c r="K5" s="4"/>
    </row>
    <row r="6" spans="1:11" s="1" customFormat="1">
      <c r="A6" s="9"/>
      <c r="B6" s="9"/>
      <c r="C6" s="9" t="s">
        <v>97</v>
      </c>
      <c r="D6" s="29"/>
      <c r="E6" s="24"/>
      <c r="F6" s="17"/>
      <c r="G6" s="18"/>
      <c r="H6" s="64"/>
      <c r="I6" s="2"/>
      <c r="K6" s="4"/>
    </row>
    <row r="7" spans="1:11" s="1" customFormat="1" ht="14.25" customHeight="1">
      <c r="A7" s="9"/>
      <c r="B7" s="9"/>
      <c r="C7" s="9"/>
      <c r="D7" s="29"/>
      <c r="E7" s="24"/>
      <c r="F7" s="17"/>
      <c r="G7" s="18"/>
      <c r="H7" s="34"/>
      <c r="I7" s="6"/>
      <c r="K7" s="4"/>
    </row>
    <row r="8" spans="1:11" s="1" customFormat="1" ht="14.25" customHeight="1">
      <c r="A8" s="9"/>
      <c r="B8" s="9"/>
      <c r="C8" s="9" t="s">
        <v>296</v>
      </c>
      <c r="D8" s="29"/>
      <c r="E8" s="24"/>
      <c r="F8" s="17"/>
      <c r="G8" s="18"/>
      <c r="H8" s="34"/>
      <c r="I8" s="6"/>
      <c r="K8" s="4"/>
    </row>
    <row r="9" spans="1:11" s="1" customFormat="1">
      <c r="A9" s="10"/>
      <c r="B9" s="14"/>
      <c r="C9" s="10"/>
      <c r="D9" s="30"/>
      <c r="E9" s="25"/>
      <c r="F9" s="19"/>
      <c r="G9" s="6"/>
      <c r="H9" s="34"/>
      <c r="I9" s="6"/>
    </row>
    <row r="10" spans="1:11" s="1" customFormat="1">
      <c r="A10" s="10"/>
      <c r="B10" s="14"/>
      <c r="C10" s="9"/>
      <c r="D10" s="30"/>
      <c r="E10" s="25"/>
      <c r="F10" s="19"/>
      <c r="G10" s="6"/>
      <c r="H10" s="34"/>
      <c r="I10" s="6"/>
    </row>
    <row r="11" spans="1:11" s="1" customFormat="1">
      <c r="A11" s="10"/>
      <c r="B11" s="14"/>
      <c r="C11" s="9" t="s">
        <v>49</v>
      </c>
      <c r="D11" s="30"/>
      <c r="E11" s="25"/>
      <c r="F11" s="19"/>
      <c r="G11" s="6"/>
      <c r="H11" s="34"/>
      <c r="I11" s="6" t="s">
        <v>187</v>
      </c>
    </row>
    <row r="12" spans="1:11" s="1" customFormat="1">
      <c r="A12" s="10"/>
      <c r="B12" s="14"/>
      <c r="C12" s="9" t="s">
        <v>50</v>
      </c>
      <c r="D12" s="30"/>
      <c r="E12" s="25"/>
      <c r="F12" s="19"/>
      <c r="G12" s="6"/>
      <c r="H12" s="34">
        <v>1401.97</v>
      </c>
      <c r="I12" s="6" t="s">
        <v>287</v>
      </c>
    </row>
    <row r="13" spans="1:11" s="1" customFormat="1">
      <c r="A13" s="10"/>
      <c r="B13" s="14"/>
      <c r="C13" s="9"/>
      <c r="D13" s="30"/>
      <c r="E13" s="25"/>
      <c r="F13" s="19"/>
      <c r="G13" s="6"/>
      <c r="H13" s="34">
        <v>3984.36</v>
      </c>
      <c r="I13" s="6" t="s">
        <v>343</v>
      </c>
    </row>
    <row r="14" spans="1:11" s="1" customFormat="1">
      <c r="A14" s="10"/>
      <c r="B14" s="14"/>
      <c r="C14" s="9"/>
      <c r="D14" s="30"/>
      <c r="E14" s="25"/>
      <c r="F14" s="19"/>
      <c r="G14" s="6"/>
      <c r="H14" s="34"/>
      <c r="I14" s="6"/>
    </row>
    <row r="15" spans="1:11" s="1" customFormat="1">
      <c r="A15" s="12" t="s">
        <v>4</v>
      </c>
      <c r="B15" s="10"/>
      <c r="C15" s="9"/>
      <c r="D15" s="20">
        <f>SUM(D2:D12)</f>
        <v>23.27</v>
      </c>
      <c r="E15" s="26"/>
      <c r="F15" s="20">
        <f>SUM(F2:F12)</f>
        <v>340</v>
      </c>
      <c r="G15" s="6"/>
      <c r="H15" s="20">
        <f>SUM(H2:H13)</f>
        <v>5386.33</v>
      </c>
      <c r="I15" s="2"/>
    </row>
    <row r="16" spans="1:11" s="1" customFormat="1" ht="15.75" thickBot="1">
      <c r="A16" s="13" t="s">
        <v>5</v>
      </c>
      <c r="B16" s="39">
        <f>SUM(F15+D15+H15)</f>
        <v>5749.6</v>
      </c>
      <c r="C16" s="38"/>
      <c r="D16" s="32"/>
      <c r="E16" s="27"/>
      <c r="F16" s="21"/>
      <c r="G16" s="22"/>
      <c r="H16" s="37"/>
      <c r="I16" s="3"/>
    </row>
    <row r="17" spans="1:9" s="1" customFormat="1">
      <c r="A17" s="9" t="s">
        <v>297</v>
      </c>
      <c r="B17" s="1" t="s">
        <v>300</v>
      </c>
      <c r="C17" s="8" t="s">
        <v>9</v>
      </c>
      <c r="D17" s="28">
        <v>3.8</v>
      </c>
      <c r="E17" s="24" t="s">
        <v>318</v>
      </c>
      <c r="F17" s="15">
        <f>17.2+20</f>
        <v>37.200000000000003</v>
      </c>
      <c r="G17" s="16" t="s">
        <v>107</v>
      </c>
      <c r="H17" s="33"/>
      <c r="I17" s="5"/>
    </row>
    <row r="18" spans="1:9" s="1" customFormat="1">
      <c r="A18" s="9"/>
      <c r="C18" s="10"/>
      <c r="D18" s="29"/>
      <c r="E18" s="24"/>
      <c r="F18" s="17">
        <f>58+1.5+2.8</f>
        <v>62.3</v>
      </c>
      <c r="G18" s="18" t="s">
        <v>357</v>
      </c>
      <c r="H18" s="34"/>
      <c r="I18" s="6"/>
    </row>
    <row r="19" spans="1:9" s="1" customFormat="1">
      <c r="A19" s="9"/>
      <c r="C19" s="10"/>
      <c r="D19" s="29"/>
      <c r="E19" s="24"/>
      <c r="F19" s="17">
        <f>7.05*2</f>
        <v>14.1</v>
      </c>
      <c r="G19" s="18" t="s">
        <v>35</v>
      </c>
      <c r="H19" s="34"/>
      <c r="I19" s="6"/>
    </row>
    <row r="20" spans="1:9" s="1" customFormat="1">
      <c r="A20" s="9"/>
      <c r="C20" s="10" t="s">
        <v>195</v>
      </c>
      <c r="D20" s="29"/>
      <c r="E20" s="24"/>
      <c r="F20" s="17">
        <v>17</v>
      </c>
      <c r="G20" s="18" t="s">
        <v>33</v>
      </c>
      <c r="H20" s="34"/>
      <c r="I20" s="6"/>
    </row>
    <row r="21" spans="1:9" s="1" customFormat="1">
      <c r="A21" s="9"/>
      <c r="C21" s="10"/>
      <c r="D21" s="29"/>
      <c r="E21" s="24"/>
      <c r="F21" s="17">
        <v>11</v>
      </c>
      <c r="G21" s="18" t="s">
        <v>320</v>
      </c>
      <c r="H21" s="34"/>
      <c r="I21" s="6"/>
    </row>
    <row r="22" spans="1:9" s="1" customFormat="1">
      <c r="A22" s="9"/>
      <c r="B22" s="59"/>
      <c r="C22" s="9" t="s">
        <v>49</v>
      </c>
      <c r="D22" s="29"/>
      <c r="E22" s="24"/>
      <c r="F22" s="47"/>
      <c r="G22" s="48"/>
      <c r="H22" s="34">
        <v>344.31</v>
      </c>
      <c r="I22" s="6" t="s">
        <v>339</v>
      </c>
    </row>
    <row r="23" spans="1:9" s="1" customFormat="1">
      <c r="A23" s="9"/>
      <c r="B23" s="59"/>
      <c r="C23" s="9" t="s">
        <v>50</v>
      </c>
      <c r="D23" s="29"/>
      <c r="E23" s="24"/>
      <c r="F23" s="47"/>
      <c r="G23" s="48"/>
      <c r="H23" s="34">
        <v>787.88</v>
      </c>
      <c r="I23" s="6" t="s">
        <v>56</v>
      </c>
    </row>
    <row r="24" spans="1:9" s="1" customFormat="1">
      <c r="A24" s="9"/>
      <c r="B24" s="59"/>
      <c r="C24" s="9"/>
      <c r="D24" s="29"/>
      <c r="E24" s="24"/>
      <c r="F24" s="47"/>
      <c r="G24" s="48"/>
      <c r="H24" s="34"/>
      <c r="I24" s="6"/>
    </row>
    <row r="25" spans="1:9" s="1" customFormat="1">
      <c r="A25" s="12" t="s">
        <v>4</v>
      </c>
      <c r="B25" s="10"/>
      <c r="C25" s="10"/>
      <c r="D25" s="31">
        <f>SUM(D17:D24)</f>
        <v>3.8</v>
      </c>
      <c r="E25" s="26"/>
      <c r="F25" s="20">
        <f>SUM(F17:F24)</f>
        <v>141.6</v>
      </c>
      <c r="G25" s="6"/>
      <c r="H25" s="36">
        <f>SUM(H17:H24)</f>
        <v>1132.19</v>
      </c>
      <c r="I25" s="2"/>
    </row>
    <row r="26" spans="1:9" s="1" customFormat="1" ht="15.75" thickBot="1">
      <c r="A26" s="13" t="s">
        <v>5</v>
      </c>
      <c r="B26" s="39">
        <f>SUM(F25+D25+H25)</f>
        <v>1277.5900000000001</v>
      </c>
      <c r="C26" s="38"/>
      <c r="D26" s="32"/>
      <c r="E26" s="27"/>
      <c r="F26" s="21"/>
      <c r="G26" s="22"/>
      <c r="H26" s="37"/>
      <c r="I26" s="3"/>
    </row>
    <row r="27" spans="1:9" s="1" customFormat="1">
      <c r="A27" s="9" t="s">
        <v>298</v>
      </c>
      <c r="B27" s="11" t="s">
        <v>299</v>
      </c>
      <c r="C27" s="9" t="s">
        <v>8</v>
      </c>
      <c r="D27" s="29">
        <f>8.14+0.94+8.12+2.46+1.64+1.43+4.09+8.16+4.07+6.21</f>
        <v>45.260000000000005</v>
      </c>
      <c r="E27" s="24" t="s">
        <v>329</v>
      </c>
      <c r="F27" s="29">
        <v>12</v>
      </c>
      <c r="G27" s="24" t="s">
        <v>33</v>
      </c>
      <c r="H27" s="34">
        <v>223.1</v>
      </c>
      <c r="I27" s="2" t="s">
        <v>272</v>
      </c>
    </row>
    <row r="28" spans="1:9" s="1" customFormat="1">
      <c r="B28" s="10"/>
      <c r="C28" s="9"/>
      <c r="D28" s="29">
        <f>4.6+221.38+6.83+5.25+19.13+3.87+4.44+4.36+26.5+65.35+3.66+47.39+9.22+33.8</f>
        <v>455.78000000000009</v>
      </c>
      <c r="E28" s="24" t="s">
        <v>326</v>
      </c>
      <c r="F28" s="29">
        <v>11</v>
      </c>
      <c r="G28" s="24" t="s">
        <v>320</v>
      </c>
      <c r="H28" s="34">
        <v>69.56</v>
      </c>
      <c r="I28" s="2" t="s">
        <v>174</v>
      </c>
    </row>
    <row r="29" spans="1:9" s="1" customFormat="1">
      <c r="B29" s="10"/>
      <c r="C29" s="9"/>
      <c r="D29" s="29">
        <v>110.68</v>
      </c>
      <c r="E29" s="24" t="s">
        <v>327</v>
      </c>
      <c r="F29" s="29">
        <v>3</v>
      </c>
      <c r="G29" s="24" t="s">
        <v>72</v>
      </c>
      <c r="H29" s="34"/>
      <c r="I29" s="2"/>
    </row>
    <row r="30" spans="1:9" s="1" customFormat="1">
      <c r="B30" s="10"/>
      <c r="C30" s="9"/>
      <c r="D30" s="29">
        <v>61.3</v>
      </c>
      <c r="E30" s="24" t="s">
        <v>328</v>
      </c>
      <c r="F30" s="17"/>
      <c r="G30" s="18"/>
      <c r="H30" s="34"/>
      <c r="I30" s="2"/>
    </row>
    <row r="31" spans="1:9" s="1" customFormat="1">
      <c r="B31" s="10"/>
      <c r="C31" s="9"/>
      <c r="D31" s="29">
        <v>22.7</v>
      </c>
      <c r="E31" s="24" t="s">
        <v>330</v>
      </c>
      <c r="F31" s="17"/>
      <c r="G31" s="18"/>
      <c r="H31" s="34"/>
      <c r="I31" s="2"/>
    </row>
    <row r="32" spans="1:9" s="1" customFormat="1">
      <c r="B32" s="10"/>
      <c r="C32" s="9"/>
      <c r="D32" s="29">
        <v>35.51</v>
      </c>
      <c r="E32" s="24" t="s">
        <v>331</v>
      </c>
      <c r="F32" s="17"/>
      <c r="G32" s="18"/>
      <c r="H32" s="34"/>
      <c r="I32" s="2"/>
    </row>
    <row r="33" spans="1:9" s="1" customFormat="1">
      <c r="B33" s="10"/>
      <c r="C33" s="9"/>
      <c r="D33" s="29">
        <v>211.96</v>
      </c>
      <c r="E33" s="24" t="s">
        <v>332</v>
      </c>
      <c r="F33" s="17"/>
      <c r="G33" s="18"/>
      <c r="H33" s="34"/>
      <c r="I33" s="2"/>
    </row>
    <row r="34" spans="1:9" s="1" customFormat="1">
      <c r="B34" s="10"/>
      <c r="C34" s="9"/>
      <c r="D34" s="29">
        <v>6.48</v>
      </c>
      <c r="E34" s="24" t="s">
        <v>333</v>
      </c>
      <c r="F34" s="17"/>
      <c r="G34" s="18"/>
      <c r="H34" s="34"/>
      <c r="I34" s="2"/>
    </row>
    <row r="35" spans="1:9" s="1" customFormat="1">
      <c r="A35" s="9"/>
      <c r="B35" s="9"/>
      <c r="C35" s="10" t="s">
        <v>147</v>
      </c>
      <c r="D35" s="29">
        <v>70.7</v>
      </c>
      <c r="E35" s="24" t="s">
        <v>107</v>
      </c>
      <c r="F35" s="17">
        <v>91.44</v>
      </c>
      <c r="G35" s="18" t="s">
        <v>35</v>
      </c>
      <c r="H35" s="34"/>
      <c r="I35" s="6"/>
    </row>
    <row r="36" spans="1:9" s="1" customFormat="1">
      <c r="A36" s="9"/>
      <c r="B36" s="9"/>
      <c r="C36" s="9"/>
      <c r="D36" s="29">
        <v>19</v>
      </c>
      <c r="E36" s="24" t="s">
        <v>336</v>
      </c>
      <c r="F36" s="17"/>
      <c r="G36" s="18"/>
      <c r="H36" s="34"/>
      <c r="I36" s="2"/>
    </row>
    <row r="37" spans="1:9" s="1" customFormat="1">
      <c r="A37" s="9"/>
      <c r="B37" s="9"/>
      <c r="C37" s="9"/>
      <c r="D37" s="29">
        <v>106.39</v>
      </c>
      <c r="E37" s="24" t="s">
        <v>337</v>
      </c>
      <c r="F37" s="17"/>
      <c r="G37" s="18"/>
      <c r="H37" s="34"/>
      <c r="I37" s="2"/>
    </row>
    <row r="38" spans="1:9" s="1" customFormat="1">
      <c r="A38" s="9"/>
      <c r="B38" s="59"/>
      <c r="C38" s="9" t="s">
        <v>49</v>
      </c>
      <c r="D38" s="29"/>
      <c r="E38" s="24"/>
      <c r="F38" s="17"/>
      <c r="G38" s="18"/>
      <c r="H38" s="34">
        <v>909.87</v>
      </c>
      <c r="I38" s="2" t="s">
        <v>175</v>
      </c>
    </row>
    <row r="39" spans="1:9" s="1" customFormat="1">
      <c r="A39" s="9"/>
      <c r="B39" s="59"/>
      <c r="C39" s="9" t="s">
        <v>50</v>
      </c>
      <c r="D39" s="29"/>
      <c r="E39" s="24"/>
      <c r="F39" s="17"/>
      <c r="G39" s="18"/>
      <c r="H39" s="34">
        <f>1915.24+2042.13-1577.86-1720.24+277.26</f>
        <v>936.5300000000002</v>
      </c>
      <c r="I39" s="2" t="s">
        <v>186</v>
      </c>
    </row>
    <row r="40" spans="1:9" s="1" customFormat="1">
      <c r="A40" s="9"/>
      <c r="B40" s="59"/>
      <c r="C40" s="9"/>
      <c r="D40" s="29"/>
      <c r="E40" s="24"/>
      <c r="F40" s="47"/>
      <c r="G40" s="48"/>
      <c r="H40" s="34"/>
      <c r="I40" s="6"/>
    </row>
    <row r="41" spans="1:9" s="1" customFormat="1">
      <c r="A41" s="12" t="s">
        <v>4</v>
      </c>
      <c r="B41" s="10"/>
      <c r="C41" s="10"/>
      <c r="D41" s="31">
        <f>SUM(D27:D40)</f>
        <v>1145.7600000000002</v>
      </c>
      <c r="E41" s="26"/>
      <c r="F41" s="20">
        <f>SUM(F27:F40)</f>
        <v>117.44</v>
      </c>
      <c r="G41" s="6"/>
      <c r="H41" s="36">
        <f>SUM(H27:H40)</f>
        <v>2139.0600000000004</v>
      </c>
      <c r="I41" s="2"/>
    </row>
    <row r="42" spans="1:9" s="1" customFormat="1" ht="15.75" thickBot="1">
      <c r="A42" s="13" t="s">
        <v>5</v>
      </c>
      <c r="B42" s="39">
        <f>SUM(F41+D41+H41)</f>
        <v>3402.2600000000007</v>
      </c>
      <c r="C42" s="38"/>
      <c r="D42" s="32"/>
      <c r="E42" s="27"/>
      <c r="F42" s="21"/>
      <c r="G42" s="22"/>
      <c r="H42" s="37"/>
      <c r="I42" s="3"/>
    </row>
    <row r="43" spans="1:9" s="1" customFormat="1">
      <c r="A43" s="9" t="s">
        <v>303</v>
      </c>
      <c r="B43" s="9" t="s">
        <v>302</v>
      </c>
      <c r="C43" s="10" t="s">
        <v>15</v>
      </c>
      <c r="D43" s="29">
        <f>10.01+18.45</f>
        <v>28.46</v>
      </c>
      <c r="E43" s="24" t="s">
        <v>107</v>
      </c>
      <c r="F43" s="17">
        <f>3.7+3.9+59.4</f>
        <v>67</v>
      </c>
      <c r="G43" s="18" t="s">
        <v>81</v>
      </c>
      <c r="H43" s="34">
        <v>580.86</v>
      </c>
      <c r="I43" s="6" t="s">
        <v>272</v>
      </c>
    </row>
    <row r="44" spans="1:9" s="1" customFormat="1">
      <c r="A44" s="9"/>
      <c r="B44" s="9"/>
      <c r="C44" s="9"/>
      <c r="D44" s="29">
        <v>20.43</v>
      </c>
      <c r="E44" s="24" t="s">
        <v>322</v>
      </c>
      <c r="F44" s="17">
        <f>37.34*2</f>
        <v>74.680000000000007</v>
      </c>
      <c r="G44" s="18" t="s">
        <v>35</v>
      </c>
      <c r="H44" s="34"/>
      <c r="I44" s="2"/>
    </row>
    <row r="45" spans="1:9" s="1" customFormat="1">
      <c r="A45" s="9"/>
      <c r="B45" s="9"/>
      <c r="C45" s="9"/>
      <c r="D45" s="29"/>
      <c r="E45" s="24"/>
      <c r="F45" s="17"/>
      <c r="G45" s="18"/>
      <c r="H45" s="34"/>
      <c r="I45" s="2"/>
    </row>
    <row r="46" spans="1:9" s="1" customFormat="1">
      <c r="A46" s="9"/>
      <c r="B46" s="9"/>
      <c r="C46" s="9"/>
      <c r="D46" s="29"/>
      <c r="E46" s="24"/>
      <c r="F46" s="17"/>
      <c r="G46" s="18"/>
      <c r="H46" s="34"/>
      <c r="I46" s="2"/>
    </row>
    <row r="47" spans="1:9" s="1" customFormat="1">
      <c r="A47" s="9"/>
      <c r="B47" s="9"/>
      <c r="C47" s="9"/>
      <c r="D47" s="29"/>
      <c r="E47" s="24"/>
      <c r="F47" s="17"/>
      <c r="G47" s="18"/>
      <c r="H47" s="34"/>
      <c r="I47" s="2"/>
    </row>
    <row r="48" spans="1:9" s="1" customFormat="1">
      <c r="A48" s="9"/>
      <c r="B48" s="59"/>
      <c r="C48" s="9" t="s">
        <v>49</v>
      </c>
      <c r="D48" s="29"/>
      <c r="E48" s="24"/>
      <c r="F48" s="17"/>
      <c r="G48" s="18"/>
      <c r="H48" s="34"/>
      <c r="I48" s="2"/>
    </row>
    <row r="49" spans="1:9" s="1" customFormat="1">
      <c r="A49" s="9"/>
      <c r="B49" s="59"/>
      <c r="C49" s="9" t="s">
        <v>50</v>
      </c>
      <c r="D49" s="29"/>
      <c r="E49" s="24"/>
      <c r="F49" s="17"/>
      <c r="G49" s="18"/>
      <c r="H49" s="34">
        <f>1543.17+1679.41+739.3-682.3-1584.41</f>
        <v>1695.1699999999998</v>
      </c>
      <c r="I49" s="2" t="s">
        <v>164</v>
      </c>
    </row>
    <row r="50" spans="1:9" s="1" customFormat="1">
      <c r="A50" s="9"/>
      <c r="B50" s="59"/>
      <c r="C50" s="9"/>
      <c r="D50" s="29"/>
      <c r="E50" s="24"/>
      <c r="F50" s="47"/>
      <c r="G50" s="48"/>
      <c r="H50" s="34"/>
      <c r="I50" s="6"/>
    </row>
    <row r="51" spans="1:9" s="1" customFormat="1">
      <c r="A51" s="12" t="s">
        <v>4</v>
      </c>
      <c r="B51" s="10"/>
      <c r="C51" s="10"/>
      <c r="D51" s="31">
        <f>SUM(D43:D50)</f>
        <v>48.89</v>
      </c>
      <c r="E51" s="26"/>
      <c r="F51" s="20">
        <f>SUM(F43:F50)</f>
        <v>141.68</v>
      </c>
      <c r="G51" s="6"/>
      <c r="H51" s="36">
        <f>SUM(H43:H50)</f>
        <v>2276.0299999999997</v>
      </c>
      <c r="I51" s="2"/>
    </row>
    <row r="52" spans="1:9" s="1" customFormat="1" ht="15.75" thickBot="1">
      <c r="A52" s="13" t="s">
        <v>5</v>
      </c>
      <c r="B52" s="39">
        <f>SUM(F51+D51+H51)</f>
        <v>2466.6</v>
      </c>
      <c r="C52" s="38"/>
      <c r="D52" s="32"/>
      <c r="E52" s="27"/>
      <c r="F52" s="21"/>
      <c r="G52" s="22"/>
      <c r="H52" s="37"/>
      <c r="I52" s="3"/>
    </row>
    <row r="53" spans="1:9" s="1" customFormat="1">
      <c r="A53" s="9" t="s">
        <v>304</v>
      </c>
      <c r="B53" s="11" t="s">
        <v>305</v>
      </c>
      <c r="C53" s="9" t="s">
        <v>8</v>
      </c>
      <c r="D53" s="28"/>
      <c r="E53" s="23"/>
      <c r="F53" s="15"/>
      <c r="G53" s="16"/>
      <c r="H53" s="33"/>
      <c r="I53" s="5"/>
    </row>
    <row r="54" spans="1:9" s="1" customFormat="1">
      <c r="A54" s="9"/>
      <c r="B54" s="9"/>
      <c r="C54" s="10"/>
      <c r="D54" s="29"/>
      <c r="E54" s="24"/>
      <c r="F54" s="17"/>
      <c r="G54" s="18"/>
      <c r="H54" s="34"/>
      <c r="I54" s="6"/>
    </row>
    <row r="55" spans="1:9" s="1" customFormat="1">
      <c r="A55" s="9"/>
      <c r="B55" s="9"/>
      <c r="C55" s="10" t="s">
        <v>147</v>
      </c>
      <c r="D55" s="29">
        <v>365.91</v>
      </c>
      <c r="E55" s="24" t="s">
        <v>137</v>
      </c>
      <c r="F55" s="17"/>
      <c r="G55" s="18"/>
      <c r="H55" s="34"/>
      <c r="I55" s="6"/>
    </row>
    <row r="56" spans="1:9" s="1" customFormat="1">
      <c r="A56" s="9"/>
      <c r="B56" s="9"/>
      <c r="C56" s="10"/>
      <c r="D56" s="29"/>
      <c r="E56" s="24"/>
      <c r="F56" s="17"/>
      <c r="G56" s="18"/>
      <c r="H56" s="34"/>
      <c r="I56" s="6"/>
    </row>
    <row r="57" spans="1:9" s="1" customFormat="1">
      <c r="A57" s="9"/>
      <c r="B57" s="9"/>
      <c r="C57" s="10"/>
      <c r="D57" s="29"/>
      <c r="E57" s="24"/>
      <c r="F57" s="17"/>
      <c r="G57" s="18"/>
      <c r="H57" s="34"/>
      <c r="I57" s="6"/>
    </row>
    <row r="58" spans="1:9" s="1" customFormat="1">
      <c r="A58" s="9"/>
      <c r="B58" s="9"/>
      <c r="C58" s="9" t="s">
        <v>49</v>
      </c>
      <c r="D58" s="29"/>
      <c r="E58" s="24"/>
      <c r="F58" s="17"/>
      <c r="G58" s="18"/>
      <c r="H58" s="34">
        <v>1154.96</v>
      </c>
      <c r="I58" s="2" t="s">
        <v>338</v>
      </c>
    </row>
    <row r="59" spans="1:9" s="1" customFormat="1">
      <c r="A59" s="9"/>
      <c r="B59" s="9"/>
      <c r="C59" s="9" t="s">
        <v>50</v>
      </c>
      <c r="D59" s="29"/>
      <c r="E59" s="24"/>
      <c r="F59" s="17"/>
      <c r="G59" s="18"/>
      <c r="H59" s="34">
        <v>0</v>
      </c>
      <c r="I59" s="2"/>
    </row>
    <row r="60" spans="1:9" s="1" customFormat="1">
      <c r="A60" s="9"/>
      <c r="B60" s="59"/>
      <c r="C60" s="9"/>
      <c r="D60" s="29"/>
      <c r="E60" s="24"/>
      <c r="F60" s="17"/>
      <c r="G60" s="18"/>
      <c r="H60" s="34"/>
      <c r="I60" s="2"/>
    </row>
    <row r="61" spans="1:9">
      <c r="A61" s="9"/>
      <c r="B61" s="59"/>
      <c r="C61" s="9"/>
      <c r="D61" s="29"/>
      <c r="E61" s="24"/>
      <c r="F61" s="47"/>
      <c r="G61" s="48"/>
      <c r="H61" s="34"/>
      <c r="I61" s="18"/>
    </row>
    <row r="62" spans="1:9">
      <c r="A62" s="12" t="s">
        <v>4</v>
      </c>
      <c r="B62" s="10"/>
      <c r="C62" s="10"/>
      <c r="D62" s="31">
        <f>SUM(D53:D61)</f>
        <v>365.91</v>
      </c>
      <c r="E62" s="26"/>
      <c r="F62" s="20">
        <f>SUM(F53:F61)</f>
        <v>0</v>
      </c>
      <c r="G62" s="6"/>
      <c r="H62" s="36">
        <f>SUM(H53:H61)</f>
        <v>1154.96</v>
      </c>
      <c r="I62" s="18"/>
    </row>
    <row r="63" spans="1:9" ht="15.75" thickBot="1">
      <c r="A63" s="13" t="s">
        <v>5</v>
      </c>
      <c r="B63" s="39">
        <f>SUM(F62+D62+H62)</f>
        <v>1520.8700000000001</v>
      </c>
      <c r="C63" s="38"/>
      <c r="D63" s="32"/>
      <c r="E63" s="27"/>
      <c r="F63" s="21"/>
      <c r="G63" s="22"/>
      <c r="H63" s="37"/>
      <c r="I63" s="2"/>
    </row>
    <row r="64" spans="1:9" s="1" customFormat="1">
      <c r="A64" s="9" t="s">
        <v>306</v>
      </c>
      <c r="B64" s="11" t="s">
        <v>307</v>
      </c>
      <c r="C64" s="9" t="s">
        <v>9</v>
      </c>
      <c r="D64" s="28">
        <f>139.66+25.78</f>
        <v>165.44</v>
      </c>
      <c r="E64" s="23" t="s">
        <v>107</v>
      </c>
      <c r="F64" s="15">
        <f>8.1+13.3</f>
        <v>21.4</v>
      </c>
      <c r="G64" s="16" t="s">
        <v>107</v>
      </c>
      <c r="H64" s="33">
        <v>156.66</v>
      </c>
      <c r="I64" s="5" t="s">
        <v>188</v>
      </c>
    </row>
    <row r="65" spans="1:9" s="1" customFormat="1">
      <c r="A65" s="9"/>
      <c r="B65" s="9"/>
      <c r="C65" s="10"/>
      <c r="D65" s="29">
        <f>6.49+10.74</f>
        <v>17.23</v>
      </c>
      <c r="E65" s="24" t="s">
        <v>39</v>
      </c>
      <c r="F65" s="17">
        <f>5+58</f>
        <v>63</v>
      </c>
      <c r="G65" s="18" t="s">
        <v>381</v>
      </c>
      <c r="H65" s="34"/>
      <c r="I65" s="6"/>
    </row>
    <row r="66" spans="1:9" s="1" customFormat="1">
      <c r="A66" s="9"/>
      <c r="B66" s="9"/>
      <c r="C66" s="9" t="s">
        <v>22</v>
      </c>
      <c r="D66" s="29">
        <f>1.44+9.13+56.66+60.13+42.37</f>
        <v>169.73</v>
      </c>
      <c r="E66" s="24" t="s">
        <v>221</v>
      </c>
      <c r="F66" s="17">
        <f>7.05*2</f>
        <v>14.1</v>
      </c>
      <c r="G66" s="18" t="s">
        <v>35</v>
      </c>
      <c r="H66" s="34">
        <v>130.01</v>
      </c>
      <c r="I66" s="2" t="s">
        <v>272</v>
      </c>
    </row>
    <row r="67" spans="1:9" s="1" customFormat="1">
      <c r="A67" s="9"/>
      <c r="B67" s="9"/>
      <c r="C67" s="9"/>
      <c r="D67" s="29"/>
      <c r="E67" s="24"/>
      <c r="F67" s="17">
        <v>6.5</v>
      </c>
      <c r="G67" s="18" t="s">
        <v>110</v>
      </c>
      <c r="H67" s="34"/>
      <c r="I67" s="2"/>
    </row>
    <row r="68" spans="1:9" s="1" customFormat="1">
      <c r="A68" s="9"/>
      <c r="B68" s="59"/>
      <c r="C68" s="9"/>
      <c r="D68" s="29"/>
      <c r="E68" s="24"/>
      <c r="F68" s="17">
        <f>25+26+14</f>
        <v>65</v>
      </c>
      <c r="G68" s="18" t="s">
        <v>47</v>
      </c>
      <c r="H68" s="34"/>
      <c r="I68" s="2"/>
    </row>
    <row r="69" spans="1:9" s="1" customFormat="1">
      <c r="A69" s="9"/>
      <c r="B69" s="59"/>
      <c r="C69" s="9" t="s">
        <v>195</v>
      </c>
      <c r="D69" s="29">
        <v>41.21</v>
      </c>
      <c r="E69" s="24" t="s">
        <v>158</v>
      </c>
      <c r="F69" s="17">
        <f>107.7+114</f>
        <v>221.7</v>
      </c>
      <c r="G69" s="18" t="s">
        <v>39</v>
      </c>
      <c r="H69" s="34"/>
      <c r="I69" s="2"/>
    </row>
    <row r="70" spans="1:9" s="1" customFormat="1">
      <c r="A70" s="9"/>
      <c r="B70" s="59"/>
      <c r="C70" s="9"/>
      <c r="D70" s="29">
        <v>29.49</v>
      </c>
      <c r="E70" s="24" t="s">
        <v>318</v>
      </c>
      <c r="F70" s="17"/>
      <c r="G70" s="18"/>
      <c r="H70" s="34"/>
      <c r="I70" s="2"/>
    </row>
    <row r="71" spans="1:9" s="1" customFormat="1">
      <c r="A71" s="9"/>
      <c r="B71" s="59"/>
      <c r="C71" s="9"/>
      <c r="D71" s="29">
        <v>33.1</v>
      </c>
      <c r="E71" s="24" t="s">
        <v>181</v>
      </c>
      <c r="F71" s="17"/>
      <c r="G71" s="18"/>
      <c r="H71" s="34"/>
      <c r="I71" s="2"/>
    </row>
    <row r="72" spans="1:9" s="1" customFormat="1">
      <c r="A72" s="9"/>
      <c r="B72" s="59"/>
      <c r="C72" s="9" t="s">
        <v>49</v>
      </c>
      <c r="D72" s="29"/>
      <c r="E72" s="24"/>
      <c r="F72" s="17"/>
      <c r="G72" s="18"/>
      <c r="H72" s="34">
        <v>1399.68</v>
      </c>
      <c r="I72" s="2" t="s">
        <v>338</v>
      </c>
    </row>
    <row r="73" spans="1:9">
      <c r="A73" s="9"/>
      <c r="B73" s="59"/>
      <c r="C73" s="9" t="s">
        <v>50</v>
      </c>
      <c r="D73" s="29"/>
      <c r="E73" s="24"/>
      <c r="F73" s="47"/>
      <c r="G73" s="48"/>
      <c r="H73" s="34">
        <f>771.3+677.86</f>
        <v>1449.1599999999999</v>
      </c>
      <c r="I73" s="18" t="s">
        <v>57</v>
      </c>
    </row>
    <row r="74" spans="1:9">
      <c r="A74" s="9"/>
      <c r="B74" s="59"/>
      <c r="C74" s="9"/>
      <c r="D74" s="29"/>
      <c r="E74" s="24"/>
      <c r="F74" s="47"/>
      <c r="G74" s="48"/>
      <c r="H74" s="34"/>
      <c r="I74" s="18"/>
    </row>
    <row r="75" spans="1:9">
      <c r="A75" s="12" t="s">
        <v>4</v>
      </c>
      <c r="B75" s="10"/>
      <c r="C75" s="10"/>
      <c r="D75" s="31">
        <f>SUM(D64:D73)</f>
        <v>456.2</v>
      </c>
      <c r="E75" s="26"/>
      <c r="F75" s="20">
        <f>SUM(F64:F73)</f>
        <v>391.7</v>
      </c>
      <c r="G75" s="6"/>
      <c r="H75" s="36">
        <f>SUM(H64:H73)</f>
        <v>3135.5099999999998</v>
      </c>
      <c r="I75" s="18"/>
    </row>
    <row r="76" spans="1:9" ht="15.75" thickBot="1">
      <c r="A76" s="13" t="s">
        <v>5</v>
      </c>
      <c r="B76" s="39">
        <f>SUM(F75+D75+H75)</f>
        <v>3983.41</v>
      </c>
      <c r="C76" s="38"/>
      <c r="D76" s="32"/>
      <c r="E76" s="27"/>
      <c r="F76" s="21"/>
      <c r="G76" s="22"/>
      <c r="H76" s="37"/>
      <c r="I76" s="2"/>
    </row>
    <row r="77" spans="1:9" s="1" customFormat="1">
      <c r="A77" s="9" t="s">
        <v>308</v>
      </c>
      <c r="B77" s="11" t="s">
        <v>309</v>
      </c>
      <c r="C77" s="9" t="s">
        <v>8</v>
      </c>
      <c r="D77" s="28">
        <v>70.98</v>
      </c>
      <c r="E77" s="23" t="s">
        <v>324</v>
      </c>
      <c r="F77" s="15"/>
      <c r="G77" s="16"/>
      <c r="H77" s="28"/>
      <c r="I77" s="5"/>
    </row>
    <row r="78" spans="1:9" s="1" customFormat="1">
      <c r="A78" s="9"/>
      <c r="B78" s="9"/>
      <c r="C78" s="10"/>
      <c r="D78" s="29">
        <f>101.25+15.38+60.24</f>
        <v>176.87</v>
      </c>
      <c r="E78" s="24" t="s">
        <v>274</v>
      </c>
      <c r="F78" s="17"/>
      <c r="G78" s="18"/>
      <c r="H78" s="29"/>
      <c r="I78" s="6"/>
    </row>
    <row r="79" spans="1:9" s="1" customFormat="1">
      <c r="A79" s="9"/>
      <c r="B79" s="59"/>
      <c r="C79" s="10"/>
      <c r="D79" s="29">
        <v>21.94</v>
      </c>
      <c r="E79" s="24" t="s">
        <v>325</v>
      </c>
      <c r="F79" s="17"/>
      <c r="G79" s="18"/>
      <c r="H79" s="29"/>
      <c r="I79" s="6"/>
    </row>
    <row r="80" spans="1:9" s="1" customFormat="1">
      <c r="A80" s="9"/>
      <c r="B80" s="59"/>
      <c r="C80" s="10"/>
      <c r="D80" s="29">
        <v>24.97</v>
      </c>
      <c r="E80" s="24" t="s">
        <v>33</v>
      </c>
      <c r="F80" s="17"/>
      <c r="G80" s="18"/>
      <c r="H80" s="29"/>
      <c r="I80" s="6"/>
    </row>
    <row r="81" spans="1:9" s="1" customFormat="1">
      <c r="A81" s="9"/>
      <c r="B81" s="59"/>
      <c r="C81" s="9" t="s">
        <v>147</v>
      </c>
      <c r="D81" s="29"/>
      <c r="E81" s="24"/>
      <c r="F81" s="17"/>
      <c r="G81" s="18"/>
      <c r="H81" s="29">
        <v>608.44000000000005</v>
      </c>
      <c r="I81" s="6" t="s">
        <v>335</v>
      </c>
    </row>
    <row r="82" spans="1:9" s="1" customFormat="1">
      <c r="A82" s="9"/>
      <c r="B82" s="59"/>
      <c r="C82" s="9"/>
      <c r="D82" s="29"/>
      <c r="E82" s="24"/>
      <c r="F82" s="17"/>
      <c r="G82" s="18"/>
      <c r="H82" s="29"/>
      <c r="I82" s="2"/>
    </row>
    <row r="83" spans="1:9" s="1" customFormat="1">
      <c r="A83" s="9"/>
      <c r="B83" s="59"/>
      <c r="C83" s="9" t="s">
        <v>49</v>
      </c>
      <c r="D83" s="29"/>
      <c r="E83" s="24"/>
      <c r="F83" s="17"/>
      <c r="G83" s="18"/>
      <c r="H83" s="29">
        <v>1103.04</v>
      </c>
      <c r="I83" s="2" t="s">
        <v>338</v>
      </c>
    </row>
    <row r="84" spans="1:9" s="1" customFormat="1">
      <c r="A84" s="9"/>
      <c r="B84" s="59"/>
      <c r="C84" s="9" t="s">
        <v>50</v>
      </c>
      <c r="D84" s="29"/>
      <c r="E84" s="24"/>
      <c r="F84" s="17"/>
      <c r="G84" s="18"/>
      <c r="H84" s="29">
        <v>3522.16</v>
      </c>
      <c r="I84" s="2" t="s">
        <v>346</v>
      </c>
    </row>
    <row r="85" spans="1:9">
      <c r="A85" s="9"/>
      <c r="B85" s="59"/>
      <c r="C85" s="9"/>
      <c r="D85" s="29"/>
      <c r="E85" s="24"/>
      <c r="F85" s="47"/>
      <c r="G85" s="48"/>
      <c r="H85" s="29"/>
      <c r="I85" s="18"/>
    </row>
    <row r="86" spans="1:9">
      <c r="A86" s="12" t="s">
        <v>4</v>
      </c>
      <c r="B86" s="10"/>
      <c r="C86" s="10"/>
      <c r="D86" s="31">
        <f>SUM(D77:D85)</f>
        <v>294.76</v>
      </c>
      <c r="E86" s="26"/>
      <c r="F86" s="20">
        <f>SUM(F77:F85)</f>
        <v>0</v>
      </c>
      <c r="G86" s="6"/>
      <c r="H86" s="31">
        <f>SUM(H77:H85)</f>
        <v>5233.6399999999994</v>
      </c>
      <c r="I86" s="18"/>
    </row>
    <row r="87" spans="1:9" ht="15.75" thickBot="1">
      <c r="A87" s="13" t="s">
        <v>5</v>
      </c>
      <c r="B87" s="39">
        <f>SUM(F86+D86+H86)</f>
        <v>5528.4</v>
      </c>
      <c r="C87" s="38"/>
      <c r="D87" s="32"/>
      <c r="E87" s="27"/>
      <c r="F87" s="21"/>
      <c r="G87" s="22"/>
      <c r="H87" s="68"/>
      <c r="I87" s="3"/>
    </row>
    <row r="88" spans="1:9" s="1" customFormat="1">
      <c r="A88" s="9" t="s">
        <v>310</v>
      </c>
      <c r="B88" s="11" t="s">
        <v>311</v>
      </c>
      <c r="C88" s="9" t="s">
        <v>26</v>
      </c>
      <c r="D88" s="28"/>
      <c r="E88" s="23"/>
      <c r="F88" s="15">
        <v>126.72</v>
      </c>
      <c r="G88" s="16" t="s">
        <v>35</v>
      </c>
      <c r="H88" s="28"/>
      <c r="I88" s="5"/>
    </row>
    <row r="89" spans="1:9" s="1" customFormat="1">
      <c r="A89" s="9"/>
      <c r="B89" s="9"/>
      <c r="C89" s="10"/>
      <c r="D89" s="29"/>
      <c r="E89" s="24"/>
      <c r="F89" s="17">
        <v>48</v>
      </c>
      <c r="G89" s="18" t="s">
        <v>34</v>
      </c>
      <c r="H89" s="29"/>
      <c r="I89" s="6"/>
    </row>
    <row r="90" spans="1:9" s="1" customFormat="1">
      <c r="A90" s="9"/>
      <c r="B90" s="59"/>
      <c r="C90" s="10"/>
      <c r="D90" s="29"/>
      <c r="E90" s="24"/>
      <c r="F90" s="17">
        <v>11.3</v>
      </c>
      <c r="G90" s="18" t="s">
        <v>273</v>
      </c>
      <c r="H90" s="29"/>
      <c r="I90" s="6"/>
    </row>
    <row r="91" spans="1:9" s="1" customFormat="1">
      <c r="A91" s="9"/>
      <c r="B91" s="59"/>
      <c r="C91" s="9" t="s">
        <v>97</v>
      </c>
      <c r="D91" s="29"/>
      <c r="E91" s="24"/>
      <c r="F91" s="17"/>
      <c r="G91" s="18"/>
      <c r="H91" s="29"/>
      <c r="I91" s="2"/>
    </row>
    <row r="92" spans="1:9" s="1" customFormat="1">
      <c r="A92" s="9"/>
      <c r="B92" s="59"/>
      <c r="C92" s="9"/>
      <c r="D92" s="29"/>
      <c r="E92" s="24"/>
      <c r="F92" s="17"/>
      <c r="G92" s="18"/>
      <c r="H92" s="29"/>
      <c r="I92" s="2"/>
    </row>
    <row r="93" spans="1:9" s="1" customFormat="1">
      <c r="A93" s="9"/>
      <c r="B93" s="59"/>
      <c r="C93" s="9" t="s">
        <v>49</v>
      </c>
      <c r="D93" s="29"/>
      <c r="E93" s="24"/>
      <c r="F93" s="17"/>
      <c r="G93" s="18"/>
      <c r="H93" s="29">
        <v>965.75</v>
      </c>
      <c r="I93" s="2" t="s">
        <v>349</v>
      </c>
    </row>
    <row r="94" spans="1:9" s="1" customFormat="1">
      <c r="A94" s="9"/>
      <c r="B94" s="59"/>
      <c r="C94" s="9" t="s">
        <v>50</v>
      </c>
      <c r="D94" s="29"/>
      <c r="E94" s="24"/>
      <c r="F94" s="17"/>
      <c r="G94" s="18"/>
      <c r="H94" s="29">
        <v>1386.14</v>
      </c>
      <c r="I94" s="2" t="s">
        <v>56</v>
      </c>
    </row>
    <row r="95" spans="1:9">
      <c r="A95" s="9"/>
      <c r="B95" s="59"/>
      <c r="C95" s="9"/>
      <c r="D95" s="29"/>
      <c r="E95" s="24"/>
      <c r="F95" s="47"/>
      <c r="G95" s="48"/>
      <c r="H95" s="29"/>
      <c r="I95" s="18"/>
    </row>
    <row r="96" spans="1:9">
      <c r="A96" s="12" t="s">
        <v>4</v>
      </c>
      <c r="B96" s="10"/>
      <c r="C96" s="10"/>
      <c r="D96" s="31">
        <f>SUM(D88:D95)</f>
        <v>0</v>
      </c>
      <c r="E96" s="26"/>
      <c r="F96" s="20">
        <f>SUM(F88:F95)</f>
        <v>186.02</v>
      </c>
      <c r="G96" s="6"/>
      <c r="H96" s="31">
        <f>SUM(H88:H95)</f>
        <v>2351.8900000000003</v>
      </c>
      <c r="I96" s="18"/>
    </row>
    <row r="97" spans="1:9" ht="15.75" thickBot="1">
      <c r="A97" s="13" t="s">
        <v>5</v>
      </c>
      <c r="B97" s="39">
        <f>SUM(F96+D96+H96)</f>
        <v>2537.9100000000003</v>
      </c>
      <c r="C97" s="38"/>
      <c r="D97" s="32"/>
      <c r="E97" s="27"/>
      <c r="F97" s="21"/>
      <c r="G97" s="22"/>
      <c r="H97" s="68"/>
      <c r="I97" s="3"/>
    </row>
    <row r="98" spans="1:9" s="1" customFormat="1">
      <c r="A98" s="9" t="s">
        <v>313</v>
      </c>
      <c r="B98" s="11" t="s">
        <v>312</v>
      </c>
      <c r="C98" s="9" t="s">
        <v>195</v>
      </c>
      <c r="D98" s="28">
        <v>41.68</v>
      </c>
      <c r="E98" s="23" t="s">
        <v>33</v>
      </c>
      <c r="F98" s="15">
        <v>63</v>
      </c>
      <c r="G98" s="16" t="s">
        <v>74</v>
      </c>
      <c r="H98" s="28">
        <v>82.72</v>
      </c>
      <c r="I98" s="5" t="s">
        <v>174</v>
      </c>
    </row>
    <row r="99" spans="1:9" s="1" customFormat="1" ht="30">
      <c r="A99" s="9"/>
      <c r="B99" s="9"/>
      <c r="C99" s="10"/>
      <c r="D99" s="29">
        <v>7.28</v>
      </c>
      <c r="E99" s="24" t="s">
        <v>319</v>
      </c>
      <c r="F99" s="17">
        <f>4.3+27+3.1</f>
        <v>34.4</v>
      </c>
      <c r="G99" s="70" t="s">
        <v>321</v>
      </c>
      <c r="H99" s="29"/>
      <c r="I99" s="6"/>
    </row>
    <row r="100" spans="1:9" s="1" customFormat="1">
      <c r="A100" s="9"/>
      <c r="B100" s="59"/>
      <c r="C100" s="10"/>
      <c r="D100" s="29"/>
      <c r="E100" s="24"/>
      <c r="F100" s="17">
        <f>15+7+22+90</f>
        <v>134</v>
      </c>
      <c r="G100" s="70" t="s">
        <v>44</v>
      </c>
      <c r="H100" s="29"/>
      <c r="I100" s="6"/>
    </row>
    <row r="101" spans="1:9" s="1" customFormat="1">
      <c r="A101" s="9"/>
      <c r="B101" s="59"/>
      <c r="C101" s="9"/>
      <c r="D101" s="29"/>
      <c r="E101" s="24"/>
      <c r="F101" s="17">
        <v>11</v>
      </c>
      <c r="G101" s="18" t="s">
        <v>320</v>
      </c>
      <c r="H101" s="29"/>
      <c r="I101" s="2"/>
    </row>
    <row r="102" spans="1:9" s="1" customFormat="1">
      <c r="A102" s="9"/>
      <c r="B102" s="59"/>
      <c r="C102" s="9"/>
      <c r="D102" s="29"/>
      <c r="E102" s="24"/>
      <c r="F102" s="17"/>
      <c r="G102" s="18"/>
      <c r="H102" s="29"/>
      <c r="I102" s="2"/>
    </row>
    <row r="103" spans="1:9" s="1" customFormat="1">
      <c r="A103" s="9"/>
      <c r="B103" s="59"/>
      <c r="C103" s="9" t="s">
        <v>49</v>
      </c>
      <c r="D103" s="29"/>
      <c r="E103" s="24"/>
      <c r="F103" s="17"/>
      <c r="G103" s="18"/>
      <c r="H103" s="29">
        <v>571</v>
      </c>
      <c r="I103" s="2" t="s">
        <v>338</v>
      </c>
    </row>
    <row r="104" spans="1:9" s="1" customFormat="1">
      <c r="A104" s="9"/>
      <c r="B104" s="59"/>
      <c r="C104" s="9" t="s">
        <v>50</v>
      </c>
      <c r="D104" s="29"/>
      <c r="E104" s="24"/>
      <c r="F104" s="17"/>
      <c r="G104" s="18"/>
      <c r="H104" s="29">
        <v>796.36</v>
      </c>
      <c r="I104" s="2" t="s">
        <v>164</v>
      </c>
    </row>
    <row r="105" spans="1:9">
      <c r="A105" s="9"/>
      <c r="B105" s="59"/>
      <c r="C105" s="9"/>
      <c r="D105" s="29"/>
      <c r="E105" s="24"/>
      <c r="F105" s="47"/>
      <c r="G105" s="48"/>
      <c r="H105" s="29"/>
      <c r="I105" s="18"/>
    </row>
    <row r="106" spans="1:9">
      <c r="A106" s="12" t="s">
        <v>4</v>
      </c>
      <c r="B106" s="10"/>
      <c r="C106" s="10"/>
      <c r="D106" s="31">
        <f>SUM(D98:D105)</f>
        <v>48.96</v>
      </c>
      <c r="E106" s="26"/>
      <c r="F106" s="20">
        <f>SUM(F98:F105)</f>
        <v>242.4</v>
      </c>
      <c r="G106" s="6"/>
      <c r="H106" s="31">
        <f>SUM(H98:H105)</f>
        <v>1450.08</v>
      </c>
      <c r="I106" s="18"/>
    </row>
    <row r="107" spans="1:9" ht="15.75" thickBot="1">
      <c r="A107" s="13" t="s">
        <v>5</v>
      </c>
      <c r="B107" s="39">
        <f>SUM(F106+D106+H106)</f>
        <v>1741.44</v>
      </c>
      <c r="C107" s="38"/>
      <c r="D107" s="32"/>
      <c r="E107" s="27"/>
      <c r="F107" s="21"/>
      <c r="G107" s="22"/>
      <c r="H107" s="68"/>
      <c r="I107" s="3"/>
    </row>
    <row r="108" spans="1:9" s="1" customFormat="1">
      <c r="A108" s="9" t="s">
        <v>315</v>
      </c>
      <c r="B108" s="11" t="s">
        <v>314</v>
      </c>
      <c r="C108" s="9" t="s">
        <v>8</v>
      </c>
      <c r="D108" s="28">
        <v>7.03</v>
      </c>
      <c r="E108" s="23" t="s">
        <v>319</v>
      </c>
      <c r="F108" s="15"/>
      <c r="G108" s="16"/>
      <c r="H108" s="28"/>
      <c r="I108" s="5"/>
    </row>
    <row r="109" spans="1:9" s="1" customFormat="1">
      <c r="A109" s="9"/>
      <c r="B109" s="10"/>
      <c r="C109" s="9"/>
      <c r="D109" s="29">
        <v>20.22</v>
      </c>
      <c r="E109" s="24" t="s">
        <v>33</v>
      </c>
      <c r="F109" s="17"/>
      <c r="G109" s="18"/>
      <c r="H109" s="29"/>
      <c r="I109" s="6"/>
    </row>
    <row r="110" spans="1:9" s="1" customFormat="1">
      <c r="A110" s="9"/>
      <c r="B110" s="10"/>
      <c r="C110" s="9" t="s">
        <v>147</v>
      </c>
      <c r="D110" s="29">
        <v>1.42</v>
      </c>
      <c r="E110" s="24" t="s">
        <v>110</v>
      </c>
      <c r="F110" s="17">
        <f>92.16*2</f>
        <v>184.32</v>
      </c>
      <c r="G110" s="18" t="s">
        <v>39</v>
      </c>
      <c r="H110" s="29"/>
      <c r="I110" s="6"/>
    </row>
    <row r="111" spans="1:9" s="1" customFormat="1">
      <c r="A111" s="9"/>
      <c r="B111" s="10"/>
      <c r="C111" s="9"/>
      <c r="D111" s="29">
        <v>19.73</v>
      </c>
      <c r="E111" s="24" t="s">
        <v>33</v>
      </c>
      <c r="F111" s="17"/>
      <c r="G111" s="18"/>
      <c r="H111" s="29"/>
      <c r="I111" s="6"/>
    </row>
    <row r="112" spans="1:9" s="1" customFormat="1">
      <c r="A112" s="9"/>
      <c r="B112" s="9"/>
      <c r="C112" s="9" t="s">
        <v>28</v>
      </c>
      <c r="D112" s="29">
        <f>20.23+292.32+17.38+330.94-275.56</f>
        <v>385.31</v>
      </c>
      <c r="E112" s="24" t="s">
        <v>356</v>
      </c>
      <c r="F112" s="17">
        <f>3.92*2</f>
        <v>7.84</v>
      </c>
      <c r="G112" s="18" t="s">
        <v>35</v>
      </c>
      <c r="H112" s="29">
        <v>275.56</v>
      </c>
      <c r="I112" s="6" t="s">
        <v>174</v>
      </c>
    </row>
    <row r="113" spans="1:9" s="1" customFormat="1">
      <c r="A113" s="9"/>
      <c r="B113" s="59"/>
      <c r="C113" s="10"/>
      <c r="D113" s="29"/>
      <c r="E113" s="24"/>
      <c r="F113" s="17">
        <f>75+143</f>
        <v>218</v>
      </c>
      <c r="G113" s="18" t="s">
        <v>359</v>
      </c>
      <c r="H113" s="29"/>
      <c r="I113" s="6"/>
    </row>
    <row r="114" spans="1:9" s="1" customFormat="1">
      <c r="A114" s="9"/>
      <c r="B114" s="59"/>
      <c r="C114" s="10"/>
      <c r="D114" s="29"/>
      <c r="E114" s="24"/>
      <c r="F114" s="17">
        <v>8</v>
      </c>
      <c r="G114" s="18" t="s">
        <v>31</v>
      </c>
      <c r="H114" s="29"/>
      <c r="I114" s="6"/>
    </row>
    <row r="115" spans="1:9" s="1" customFormat="1">
      <c r="A115" s="9"/>
      <c r="B115" s="59"/>
      <c r="C115" s="9" t="s">
        <v>9</v>
      </c>
      <c r="D115" s="29">
        <f>16.74+203.94+2.31</f>
        <v>222.99</v>
      </c>
      <c r="E115" s="24" t="s">
        <v>274</v>
      </c>
      <c r="F115" s="17">
        <v>40</v>
      </c>
      <c r="G115" s="18" t="s">
        <v>41</v>
      </c>
      <c r="H115" s="29"/>
      <c r="I115" s="6"/>
    </row>
    <row r="116" spans="1:9" s="1" customFormat="1">
      <c r="A116" s="9"/>
      <c r="B116" s="59"/>
      <c r="C116" s="10"/>
      <c r="D116" s="29">
        <f>10.09+20.27+12.16+8.11+9.28+8.09+8.09+9.34+10.15</f>
        <v>95.580000000000013</v>
      </c>
      <c r="E116" s="24" t="s">
        <v>136</v>
      </c>
      <c r="F116" s="17">
        <v>8.4</v>
      </c>
      <c r="G116" s="18" t="s">
        <v>110</v>
      </c>
      <c r="H116" s="29"/>
      <c r="I116" s="6"/>
    </row>
    <row r="117" spans="1:9" s="1" customFormat="1">
      <c r="A117" s="9"/>
      <c r="B117" s="59"/>
      <c r="C117" s="10"/>
      <c r="D117" s="29"/>
      <c r="E117" s="24"/>
      <c r="F117" s="17">
        <f>5+24.5+27</f>
        <v>56.5</v>
      </c>
      <c r="G117" s="18" t="s">
        <v>381</v>
      </c>
      <c r="H117" s="29"/>
      <c r="I117" s="6"/>
    </row>
    <row r="118" spans="1:9" s="1" customFormat="1">
      <c r="A118" s="9"/>
      <c r="B118" s="59"/>
      <c r="C118" s="9" t="s">
        <v>102</v>
      </c>
      <c r="D118" s="29">
        <f>406.23+131.46</f>
        <v>537.69000000000005</v>
      </c>
      <c r="E118" s="24" t="s">
        <v>181</v>
      </c>
      <c r="F118" s="17">
        <v>106.7</v>
      </c>
      <c r="G118" s="18" t="s">
        <v>41</v>
      </c>
      <c r="H118" s="29">
        <v>15.5</v>
      </c>
      <c r="I118" s="6" t="s">
        <v>174</v>
      </c>
    </row>
    <row r="119" spans="1:9" s="1" customFormat="1">
      <c r="A119" s="9"/>
      <c r="B119" s="59"/>
      <c r="C119" s="10"/>
      <c r="D119" s="29"/>
      <c r="E119" s="24"/>
      <c r="F119" s="17">
        <v>21.35</v>
      </c>
      <c r="G119" s="18" t="s">
        <v>31</v>
      </c>
      <c r="H119" s="29"/>
      <c r="I119" s="6"/>
    </row>
    <row r="120" spans="1:9" s="1" customFormat="1">
      <c r="A120" s="9"/>
      <c r="B120" s="59"/>
      <c r="C120" s="10" t="s">
        <v>21</v>
      </c>
      <c r="D120" s="29"/>
      <c r="E120" s="24"/>
      <c r="F120" s="17">
        <v>75</v>
      </c>
      <c r="G120" s="18" t="s">
        <v>34</v>
      </c>
      <c r="H120" s="29"/>
      <c r="I120" s="6"/>
    </row>
    <row r="121" spans="1:9" s="1" customFormat="1">
      <c r="A121" s="9"/>
      <c r="B121" s="59"/>
      <c r="C121" s="10"/>
      <c r="D121" s="29"/>
      <c r="E121" s="24"/>
      <c r="F121" s="17">
        <v>11.59</v>
      </c>
      <c r="G121" s="18" t="s">
        <v>35</v>
      </c>
      <c r="H121" s="29"/>
      <c r="I121" s="6"/>
    </row>
    <row r="122" spans="1:9" s="1" customFormat="1">
      <c r="A122" s="9"/>
      <c r="B122" s="59"/>
      <c r="C122" s="9"/>
      <c r="D122" s="29"/>
      <c r="E122" s="24"/>
      <c r="F122" s="17"/>
      <c r="G122" s="18"/>
      <c r="H122" s="29"/>
      <c r="I122" s="2"/>
    </row>
    <row r="123" spans="1:9" s="1" customFormat="1">
      <c r="A123" s="9"/>
      <c r="B123" s="59"/>
      <c r="C123" s="9" t="s">
        <v>49</v>
      </c>
      <c r="D123" s="29"/>
      <c r="E123" s="24"/>
      <c r="F123" s="17"/>
      <c r="G123" s="18"/>
      <c r="H123" s="29">
        <v>3775.1</v>
      </c>
      <c r="I123" s="2" t="s">
        <v>175</v>
      </c>
    </row>
    <row r="124" spans="1:9" s="1" customFormat="1">
      <c r="A124" s="9"/>
      <c r="B124" s="59"/>
      <c r="C124" s="9" t="s">
        <v>50</v>
      </c>
      <c r="D124" s="29"/>
      <c r="E124" s="24"/>
      <c r="F124" s="17"/>
      <c r="G124" s="18"/>
      <c r="H124" s="29">
        <f>120+120</f>
        <v>240</v>
      </c>
      <c r="I124" s="2" t="s">
        <v>342</v>
      </c>
    </row>
    <row r="125" spans="1:9" s="1" customFormat="1">
      <c r="A125" s="9"/>
      <c r="B125" s="59"/>
      <c r="C125" s="9"/>
      <c r="D125" s="29"/>
      <c r="E125" s="24"/>
      <c r="F125" s="17"/>
      <c r="G125" s="18"/>
      <c r="H125" s="29">
        <v>11247.64</v>
      </c>
      <c r="I125" s="2" t="s">
        <v>344</v>
      </c>
    </row>
    <row r="126" spans="1:9">
      <c r="A126" s="9"/>
      <c r="B126" s="59"/>
      <c r="C126" s="9"/>
      <c r="D126" s="29"/>
      <c r="E126" s="24"/>
      <c r="F126" s="47"/>
      <c r="G126" s="48"/>
      <c r="H126" s="29">
        <v>3629.56</v>
      </c>
      <c r="I126" s="18" t="s">
        <v>345</v>
      </c>
    </row>
    <row r="127" spans="1:9">
      <c r="A127" s="9"/>
      <c r="B127" s="59"/>
      <c r="C127" s="9"/>
      <c r="D127" s="29"/>
      <c r="E127" s="24"/>
      <c r="F127" s="47"/>
      <c r="G127" s="48"/>
      <c r="H127" s="29">
        <v>1085.99</v>
      </c>
      <c r="I127" s="18" t="s">
        <v>347</v>
      </c>
    </row>
    <row r="128" spans="1:9">
      <c r="A128" s="9"/>
      <c r="B128" s="59"/>
      <c r="C128" s="9"/>
      <c r="D128" s="29"/>
      <c r="E128" s="24"/>
      <c r="F128" s="47"/>
      <c r="G128" s="48"/>
      <c r="H128" s="29">
        <v>824.63</v>
      </c>
      <c r="I128" s="18" t="s">
        <v>348</v>
      </c>
    </row>
    <row r="129" spans="1:9">
      <c r="A129" s="12" t="s">
        <v>4</v>
      </c>
      <c r="B129" s="10"/>
      <c r="C129" s="10"/>
      <c r="D129" s="31">
        <f>SUM(D108:D126)</f>
        <v>1289.9700000000003</v>
      </c>
      <c r="E129" s="26"/>
      <c r="F129" s="20">
        <f>SUM(F108:F126)</f>
        <v>737.7</v>
      </c>
      <c r="G129" s="6"/>
      <c r="H129" s="31">
        <f>SUM(H108:H128)</f>
        <v>21093.980000000003</v>
      </c>
      <c r="I129" s="18"/>
    </row>
    <row r="130" spans="1:9" ht="15.75" thickBot="1">
      <c r="A130" s="13" t="s">
        <v>5</v>
      </c>
      <c r="B130" s="39">
        <f>SUM(F129+D129+H129)</f>
        <v>23121.650000000005</v>
      </c>
      <c r="C130" s="38"/>
      <c r="D130" s="32"/>
      <c r="E130" s="27"/>
      <c r="F130" s="21"/>
      <c r="G130" s="22"/>
      <c r="H130" s="68"/>
      <c r="I130" s="3"/>
    </row>
    <row r="131" spans="1:9" s="1" customFormat="1">
      <c r="A131" s="9" t="s">
        <v>316</v>
      </c>
      <c r="B131" s="11" t="s">
        <v>317</v>
      </c>
      <c r="C131" s="9" t="s">
        <v>28</v>
      </c>
      <c r="D131" s="28"/>
      <c r="E131" s="23"/>
      <c r="F131" s="15">
        <f>7.83+10.96</f>
        <v>18.79</v>
      </c>
      <c r="G131" s="16" t="s">
        <v>35</v>
      </c>
      <c r="H131" s="28">
        <v>782.82</v>
      </c>
      <c r="I131" s="5" t="s">
        <v>355</v>
      </c>
    </row>
    <row r="132" spans="1:9" s="1" customFormat="1">
      <c r="A132" s="9"/>
      <c r="B132" s="9"/>
      <c r="C132" s="10"/>
      <c r="D132" s="29"/>
      <c r="E132" s="24"/>
      <c r="F132" s="17">
        <f>62.1+4.7</f>
        <v>66.8</v>
      </c>
      <c r="G132" s="18" t="s">
        <v>357</v>
      </c>
      <c r="H132" s="29"/>
      <c r="I132" s="6"/>
    </row>
    <row r="133" spans="1:9" s="1" customFormat="1">
      <c r="A133" s="9"/>
      <c r="B133" s="59"/>
      <c r="C133" s="10"/>
      <c r="D133" s="29"/>
      <c r="E133" s="24"/>
      <c r="F133" s="17">
        <v>11.5</v>
      </c>
      <c r="G133" s="18" t="s">
        <v>358</v>
      </c>
      <c r="H133" s="29"/>
      <c r="I133" s="6"/>
    </row>
    <row r="134" spans="1:9" s="1" customFormat="1">
      <c r="A134" s="9"/>
      <c r="B134" s="59"/>
      <c r="C134" s="10"/>
      <c r="D134" s="29"/>
      <c r="E134" s="24"/>
      <c r="F134" s="17"/>
      <c r="G134" s="18"/>
      <c r="H134" s="29"/>
      <c r="I134" s="6"/>
    </row>
    <row r="135" spans="1:9" s="1" customFormat="1">
      <c r="A135" s="9"/>
      <c r="B135" s="59"/>
      <c r="C135" s="10" t="s">
        <v>195</v>
      </c>
      <c r="D135" s="29">
        <v>4.67</v>
      </c>
      <c r="E135" s="24" t="s">
        <v>352</v>
      </c>
      <c r="F135" s="17">
        <v>12</v>
      </c>
      <c r="G135" s="18" t="s">
        <v>41</v>
      </c>
      <c r="H135" s="29">
        <v>503.1</v>
      </c>
      <c r="I135" s="6" t="s">
        <v>353</v>
      </c>
    </row>
    <row r="136" spans="1:9" s="1" customFormat="1">
      <c r="A136" s="9"/>
      <c r="B136" s="59"/>
      <c r="C136" s="9"/>
      <c r="D136" s="29">
        <v>129.04</v>
      </c>
      <c r="E136" s="24" t="s">
        <v>354</v>
      </c>
      <c r="F136" s="17">
        <v>11</v>
      </c>
      <c r="G136" s="18" t="s">
        <v>350</v>
      </c>
      <c r="H136" s="29"/>
      <c r="I136" s="2"/>
    </row>
    <row r="137" spans="1:9" s="1" customFormat="1">
      <c r="A137" s="9"/>
      <c r="B137" s="59"/>
      <c r="C137" s="9"/>
      <c r="D137" s="29"/>
      <c r="E137" s="24"/>
      <c r="F137" s="17">
        <v>8.5</v>
      </c>
      <c r="G137" s="18" t="s">
        <v>351</v>
      </c>
      <c r="H137" s="29"/>
      <c r="I137" s="2"/>
    </row>
    <row r="138" spans="1:9" s="1" customFormat="1">
      <c r="A138" s="9"/>
      <c r="B138" s="59"/>
      <c r="C138" s="9" t="s">
        <v>49</v>
      </c>
      <c r="D138" s="29"/>
      <c r="E138" s="24"/>
      <c r="F138" s="17"/>
      <c r="G138" s="18"/>
      <c r="H138" s="29"/>
      <c r="I138" s="2"/>
    </row>
    <row r="139" spans="1:9" s="1" customFormat="1">
      <c r="A139" s="9"/>
      <c r="B139" s="59"/>
      <c r="C139" s="9" t="s">
        <v>50</v>
      </c>
      <c r="D139" s="29"/>
      <c r="E139" s="24"/>
      <c r="F139" s="17"/>
      <c r="G139" s="18"/>
      <c r="H139" s="29">
        <v>3212</v>
      </c>
      <c r="I139" s="2" t="s">
        <v>340</v>
      </c>
    </row>
    <row r="140" spans="1:9" s="1" customFormat="1">
      <c r="A140" s="9"/>
      <c r="B140" s="59"/>
      <c r="C140" s="9"/>
      <c r="D140" s="29"/>
      <c r="E140" s="24"/>
      <c r="F140" s="17"/>
      <c r="G140" s="18"/>
      <c r="H140" s="29">
        <v>2081.1999999999998</v>
      </c>
      <c r="I140" s="2" t="s">
        <v>341</v>
      </c>
    </row>
    <row r="141" spans="1:9">
      <c r="A141" s="9"/>
      <c r="B141" s="59"/>
      <c r="C141" s="9"/>
      <c r="D141" s="29"/>
      <c r="E141" s="24"/>
      <c r="F141" s="47"/>
      <c r="G141" s="48"/>
      <c r="H141" s="29"/>
      <c r="I141" s="18"/>
    </row>
    <row r="142" spans="1:9">
      <c r="A142" s="12" t="s">
        <v>4</v>
      </c>
      <c r="B142" s="10"/>
      <c r="C142" s="10"/>
      <c r="D142" s="31">
        <f>SUM(D131:D141)</f>
        <v>133.70999999999998</v>
      </c>
      <c r="E142" s="26"/>
      <c r="F142" s="20">
        <f>SUM(F131:F141)</f>
        <v>128.59</v>
      </c>
      <c r="G142" s="6"/>
      <c r="H142" s="31">
        <f>SUM(H131:H141)</f>
        <v>6579.12</v>
      </c>
      <c r="I142" s="18"/>
    </row>
    <row r="143" spans="1:9" ht="15.75" thickBot="1">
      <c r="A143" s="13" t="s">
        <v>5</v>
      </c>
      <c r="B143" s="39">
        <f>SUM(F142+D142+H142)</f>
        <v>6841.42</v>
      </c>
      <c r="C143" s="38"/>
      <c r="D143" s="32"/>
      <c r="E143" s="27"/>
      <c r="F143" s="21"/>
      <c r="G143" s="22"/>
      <c r="H143" s="68"/>
      <c r="I143" s="3"/>
    </row>
    <row r="144" spans="1:9">
      <c r="A144" s="65"/>
      <c r="B144" s="66"/>
      <c r="C144" s="56"/>
      <c r="D144" s="36"/>
      <c r="E144" s="57"/>
      <c r="F144" s="57"/>
      <c r="G144" s="67"/>
      <c r="H144" s="35"/>
      <c r="I144" s="56"/>
    </row>
    <row r="145" spans="1:9" ht="15.75" thickBot="1">
      <c r="A145" s="65"/>
      <c r="B145" s="66"/>
      <c r="C145" s="56"/>
      <c r="D145" s="36"/>
      <c r="E145" s="57"/>
      <c r="F145" s="57"/>
      <c r="G145" s="67"/>
      <c r="H145" s="35"/>
      <c r="I145" s="56"/>
    </row>
    <row r="146" spans="1:9" ht="20.25" thickBot="1">
      <c r="A146" s="51" t="s">
        <v>191</v>
      </c>
      <c r="B146" s="52">
        <f>SUM(B16+B26+B42+B52+B63+B76+B87+B97+B107+B130+B143)</f>
        <v>58171.150000000009</v>
      </c>
      <c r="C146" s="56"/>
      <c r="D146" s="36"/>
      <c r="E146" s="57"/>
      <c r="F146" s="57"/>
      <c r="G146" s="67"/>
      <c r="H146" s="35"/>
      <c r="I146" s="56"/>
    </row>
    <row r="147" spans="1:9">
      <c r="A147" s="65"/>
      <c r="B147" s="66"/>
      <c r="C147" s="56"/>
      <c r="D147" s="36"/>
      <c r="E147" s="57"/>
      <c r="F147" s="57"/>
      <c r="G147" s="67"/>
      <c r="H147" s="35"/>
      <c r="I147" s="56"/>
    </row>
    <row r="148" spans="1:9">
      <c r="A148" s="65"/>
      <c r="B148" s="66"/>
      <c r="C148" s="56"/>
      <c r="D148" s="36"/>
      <c r="E148" s="57"/>
      <c r="F148" s="57"/>
      <c r="G148" s="67"/>
      <c r="H148" s="35"/>
      <c r="I148" s="56"/>
    </row>
    <row r="149" spans="1:9">
      <c r="A149" s="65"/>
      <c r="B149" s="66"/>
      <c r="C149" s="56"/>
      <c r="D149" s="36"/>
      <c r="E149" s="57"/>
      <c r="F149" s="57"/>
      <c r="G149" s="67"/>
      <c r="H149" s="35"/>
      <c r="I149" s="56"/>
    </row>
    <row r="150" spans="1:9">
      <c r="E150" s="57"/>
      <c r="H150" s="35"/>
      <c r="I150" s="56"/>
    </row>
    <row r="151" spans="1:9">
      <c r="D151" s="61"/>
      <c r="E151" s="57"/>
      <c r="G151" s="61"/>
      <c r="H151" s="35"/>
      <c r="I151" s="56"/>
    </row>
    <row r="152" spans="1:9">
      <c r="A152" s="59"/>
      <c r="B152" s="60"/>
      <c r="C152" s="60"/>
      <c r="E152" s="62"/>
      <c r="F152" s="61"/>
    </row>
    <row r="153" spans="1:9">
      <c r="A153" s="62"/>
      <c r="B153" s="62"/>
      <c r="C153" s="62"/>
      <c r="D153" s="62"/>
      <c r="E153" s="62"/>
      <c r="F153" s="62"/>
      <c r="G153" s="62"/>
    </row>
  </sheetData>
  <mergeCells count="3">
    <mergeCell ref="F1:G1"/>
    <mergeCell ref="H1:I1"/>
    <mergeCell ref="D1:E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I73" sqref="I73"/>
    </sheetView>
  </sheetViews>
  <sheetFormatPr defaultRowHeight="15"/>
  <cols>
    <col min="1" max="1" width="21.7109375" customWidth="1"/>
    <col min="2" max="2" width="29" bestFit="1" customWidth="1"/>
    <col min="3" max="3" width="19.42578125" customWidth="1"/>
    <col min="4" max="4" width="14.85546875" customWidth="1"/>
    <col min="5" max="5" width="23.42578125" customWidth="1"/>
    <col min="6" max="6" width="22.5703125" customWidth="1"/>
    <col min="7" max="7" width="23.5703125" customWidth="1"/>
    <col min="8" max="8" width="26.42578125" customWidth="1"/>
    <col min="9" max="9" width="40.8554687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361</v>
      </c>
      <c r="B2" s="8" t="s">
        <v>362</v>
      </c>
      <c r="C2" s="8" t="s">
        <v>360</v>
      </c>
      <c r="D2" s="28">
        <v>17.04</v>
      </c>
      <c r="E2" s="85" t="s">
        <v>392</v>
      </c>
      <c r="F2" s="15">
        <f>42+40</f>
        <v>82</v>
      </c>
      <c r="G2" s="40" t="s">
        <v>39</v>
      </c>
      <c r="H2" s="33"/>
      <c r="I2" s="5"/>
    </row>
    <row r="3" spans="1:11" s="1" customFormat="1">
      <c r="A3" s="9"/>
      <c r="B3" s="9"/>
      <c r="C3" s="10"/>
      <c r="D3" s="29">
        <v>5</v>
      </c>
      <c r="E3" s="24" t="s">
        <v>41</v>
      </c>
      <c r="F3" s="17">
        <v>5.7</v>
      </c>
      <c r="G3" s="18" t="s">
        <v>122</v>
      </c>
      <c r="H3" s="34"/>
      <c r="I3" s="6"/>
    </row>
    <row r="4" spans="1:11" s="1" customFormat="1">
      <c r="A4" s="9"/>
      <c r="B4" s="9"/>
      <c r="C4" s="10" t="s">
        <v>15</v>
      </c>
      <c r="D4" s="29">
        <v>11.87</v>
      </c>
      <c r="E4" s="24" t="s">
        <v>74</v>
      </c>
      <c r="F4" s="17">
        <f>37.34*2</f>
        <v>74.680000000000007</v>
      </c>
      <c r="G4" s="18" t="s">
        <v>35</v>
      </c>
      <c r="H4" s="64"/>
      <c r="I4" s="2"/>
      <c r="K4" s="4"/>
    </row>
    <row r="5" spans="1:11" s="1" customFormat="1" ht="14.25" customHeight="1">
      <c r="A5" s="9"/>
      <c r="B5" s="9"/>
      <c r="C5" s="9"/>
      <c r="D5" s="29"/>
      <c r="E5" s="24"/>
      <c r="F5" s="17">
        <f>4.9+3.7+59.4</f>
        <v>68</v>
      </c>
      <c r="G5" s="18" t="s">
        <v>81</v>
      </c>
      <c r="H5" s="34"/>
      <c r="I5" s="6"/>
      <c r="K5" s="4"/>
    </row>
    <row r="6" spans="1:11" s="1" customFormat="1" ht="14.25" customHeight="1">
      <c r="A6" s="9"/>
      <c r="B6" s="9"/>
      <c r="C6" s="9"/>
      <c r="D6" s="29"/>
      <c r="E6" s="24"/>
      <c r="F6" s="17">
        <v>22.5</v>
      </c>
      <c r="G6" s="18" t="s">
        <v>386</v>
      </c>
      <c r="H6" s="34"/>
      <c r="I6" s="6"/>
      <c r="K6" s="4"/>
    </row>
    <row r="7" spans="1:11" s="1" customFormat="1">
      <c r="A7" s="10"/>
      <c r="B7" s="14"/>
      <c r="C7" s="10"/>
      <c r="D7" s="30"/>
      <c r="E7" s="25"/>
      <c r="F7" s="19">
        <v>25</v>
      </c>
      <c r="G7" s="6" t="s">
        <v>41</v>
      </c>
      <c r="H7" s="34"/>
      <c r="I7" s="6"/>
    </row>
    <row r="8" spans="1:11" s="1" customFormat="1">
      <c r="A8" s="10"/>
      <c r="B8" s="14"/>
      <c r="C8" s="9"/>
      <c r="D8" s="30"/>
      <c r="E8" s="25"/>
      <c r="F8" s="47">
        <v>92</v>
      </c>
      <c r="G8" s="86" t="s">
        <v>391</v>
      </c>
      <c r="H8" s="34"/>
      <c r="I8" s="6"/>
    </row>
    <row r="9" spans="1:11" s="1" customFormat="1">
      <c r="A9" s="10"/>
      <c r="B9" s="14"/>
      <c r="C9" s="9" t="s">
        <v>49</v>
      </c>
      <c r="D9" s="30"/>
      <c r="E9" s="25"/>
      <c r="F9" s="19"/>
      <c r="G9" s="6"/>
      <c r="H9" s="34"/>
      <c r="I9" s="6" t="s">
        <v>187</v>
      </c>
    </row>
    <row r="10" spans="1:11" s="1" customFormat="1">
      <c r="A10" s="10"/>
      <c r="B10" s="14"/>
      <c r="C10" s="9" t="s">
        <v>50</v>
      </c>
      <c r="D10" s="30"/>
      <c r="E10" s="25"/>
      <c r="F10" s="19"/>
      <c r="G10" s="6"/>
      <c r="H10" s="34">
        <v>1491.69</v>
      </c>
      <c r="I10" s="6" t="s">
        <v>287</v>
      </c>
    </row>
    <row r="11" spans="1:11" s="1" customFormat="1">
      <c r="A11" s="10"/>
      <c r="B11" s="14"/>
      <c r="C11" s="9"/>
      <c r="D11" s="30"/>
      <c r="E11" s="25"/>
      <c r="F11" s="19"/>
      <c r="G11" s="6"/>
      <c r="H11" s="34">
        <v>1418.04</v>
      </c>
      <c r="I11" s="6" t="s">
        <v>395</v>
      </c>
    </row>
    <row r="12" spans="1:11" s="1" customFormat="1">
      <c r="A12" s="12" t="s">
        <v>4</v>
      </c>
      <c r="B12" s="10"/>
      <c r="C12" s="9"/>
      <c r="D12" s="20">
        <f>SUM(D2:D10)</f>
        <v>33.909999999999997</v>
      </c>
      <c r="E12" s="26"/>
      <c r="F12" s="20">
        <f>SUM(F2:F10)</f>
        <v>369.88</v>
      </c>
      <c r="G12" s="6"/>
      <c r="H12" s="20">
        <f>SUM(H2:H11)</f>
        <v>2909.73</v>
      </c>
      <c r="I12" s="2"/>
    </row>
    <row r="13" spans="1:11" s="1" customFormat="1" ht="15.75" thickBot="1">
      <c r="A13" s="13" t="s">
        <v>5</v>
      </c>
      <c r="B13" s="39">
        <f>SUM(F12+D12+H12)</f>
        <v>3313.52</v>
      </c>
      <c r="C13" s="38"/>
      <c r="D13" s="32"/>
      <c r="E13" s="27"/>
      <c r="F13" s="21"/>
      <c r="G13" s="22"/>
      <c r="H13" s="37"/>
      <c r="I13" s="3"/>
    </row>
    <row r="14" spans="1:11" s="1" customFormat="1">
      <c r="A14" s="9" t="s">
        <v>365</v>
      </c>
      <c r="B14" s="1" t="s">
        <v>364</v>
      </c>
      <c r="C14" s="9" t="s">
        <v>147</v>
      </c>
      <c r="D14" s="28">
        <v>11</v>
      </c>
      <c r="E14" s="24" t="s">
        <v>41</v>
      </c>
      <c r="F14" s="15"/>
      <c r="G14" s="16"/>
      <c r="H14" s="33"/>
      <c r="I14" s="5"/>
    </row>
    <row r="15" spans="1:11" s="1" customFormat="1">
      <c r="A15" s="9"/>
      <c r="C15" s="10"/>
      <c r="D15" s="29">
        <v>12</v>
      </c>
      <c r="E15" s="24" t="s">
        <v>405</v>
      </c>
      <c r="F15" s="17"/>
      <c r="G15" s="18"/>
      <c r="H15" s="34"/>
      <c r="I15" s="6"/>
    </row>
    <row r="16" spans="1:11" s="1" customFormat="1">
      <c r="A16" s="9"/>
      <c r="C16" s="10"/>
      <c r="D16" s="29">
        <v>1.8</v>
      </c>
      <c r="E16" s="24" t="s">
        <v>406</v>
      </c>
      <c r="F16" s="17"/>
      <c r="G16" s="18"/>
      <c r="H16" s="34"/>
      <c r="I16" s="6"/>
    </row>
    <row r="17" spans="1:9" s="1" customFormat="1">
      <c r="A17" s="9"/>
      <c r="C17" s="10"/>
      <c r="D17" s="29">
        <v>211</v>
      </c>
      <c r="E17" s="24" t="s">
        <v>407</v>
      </c>
      <c r="F17" s="17"/>
      <c r="G17" s="18"/>
      <c r="H17" s="34"/>
      <c r="I17" s="6"/>
    </row>
    <row r="18" spans="1:9" s="1" customFormat="1">
      <c r="A18" s="9"/>
      <c r="B18" s="59"/>
      <c r="C18" s="9" t="s">
        <v>49</v>
      </c>
      <c r="D18" s="29"/>
      <c r="E18" s="24"/>
      <c r="F18" s="47"/>
      <c r="G18" s="48"/>
      <c r="H18" s="87">
        <v>300</v>
      </c>
      <c r="I18" s="6" t="s">
        <v>396</v>
      </c>
    </row>
    <row r="19" spans="1:9" s="1" customFormat="1">
      <c r="A19" s="9"/>
      <c r="B19" s="59"/>
      <c r="C19" s="9" t="s">
        <v>50</v>
      </c>
      <c r="D19" s="29"/>
      <c r="E19" s="24"/>
      <c r="F19" s="47"/>
      <c r="G19" s="48"/>
      <c r="H19" s="34">
        <v>120</v>
      </c>
      <c r="I19" s="6" t="s">
        <v>393</v>
      </c>
    </row>
    <row r="20" spans="1:9" s="1" customFormat="1">
      <c r="A20" s="12" t="s">
        <v>4</v>
      </c>
      <c r="B20" s="10"/>
      <c r="C20" s="10"/>
      <c r="D20" s="31">
        <f>SUM(D14:D19)</f>
        <v>235.8</v>
      </c>
      <c r="E20" s="26"/>
      <c r="F20" s="20">
        <f>SUM(F14:F19)</f>
        <v>0</v>
      </c>
      <c r="G20" s="6"/>
      <c r="H20" s="36">
        <f>SUM(H14:H19)</f>
        <v>420</v>
      </c>
      <c r="I20" s="2"/>
    </row>
    <row r="21" spans="1:9" s="1" customFormat="1" ht="15.75" thickBot="1">
      <c r="A21" s="13" t="s">
        <v>5</v>
      </c>
      <c r="B21" s="39">
        <f>SUM(F20+D20+H20)</f>
        <v>655.8</v>
      </c>
      <c r="C21" s="38"/>
      <c r="D21" s="32"/>
      <c r="E21" s="27"/>
      <c r="F21" s="21"/>
      <c r="G21" s="22"/>
      <c r="H21" s="37"/>
      <c r="I21" s="3"/>
    </row>
    <row r="22" spans="1:9" s="1" customFormat="1">
      <c r="A22" s="9" t="s">
        <v>366</v>
      </c>
      <c r="B22" s="76" t="s">
        <v>371</v>
      </c>
      <c r="C22" s="9" t="s">
        <v>28</v>
      </c>
      <c r="D22" s="72">
        <f>18.65+7.31+18.17+9.65+10.09</f>
        <v>63.86999999999999</v>
      </c>
      <c r="E22" s="73" t="s">
        <v>221</v>
      </c>
      <c r="F22" s="72">
        <f>11.31+8.08</f>
        <v>19.39</v>
      </c>
      <c r="G22" s="73" t="s">
        <v>35</v>
      </c>
      <c r="H22" s="74">
        <v>586.5</v>
      </c>
      <c r="I22" s="75" t="s">
        <v>272</v>
      </c>
    </row>
    <row r="23" spans="1:9" s="1" customFormat="1">
      <c r="B23" s="78" t="s">
        <v>317</v>
      </c>
      <c r="C23" s="9"/>
      <c r="D23" s="72">
        <f>28.91+44.62</f>
        <v>73.53</v>
      </c>
      <c r="E23" s="73" t="s">
        <v>181</v>
      </c>
      <c r="F23" s="72">
        <f>2.8+89.8</f>
        <v>92.6</v>
      </c>
      <c r="G23" s="73" t="s">
        <v>81</v>
      </c>
      <c r="H23" s="34"/>
      <c r="I23" s="2"/>
    </row>
    <row r="24" spans="1:9" s="1" customFormat="1">
      <c r="B24" s="10"/>
      <c r="C24" s="10"/>
      <c r="D24" s="29"/>
      <c r="E24" s="24"/>
      <c r="F24" s="72">
        <v>10.95</v>
      </c>
      <c r="G24" s="73" t="s">
        <v>31</v>
      </c>
      <c r="H24" s="34"/>
      <c r="I24" s="2"/>
    </row>
    <row r="25" spans="1:9" s="1" customFormat="1">
      <c r="B25" s="10"/>
      <c r="C25" s="9" t="s">
        <v>22</v>
      </c>
      <c r="D25" s="72">
        <v>31.25</v>
      </c>
      <c r="E25" s="73" t="s">
        <v>319</v>
      </c>
      <c r="F25" s="83">
        <f>11+11+13</f>
        <v>35</v>
      </c>
      <c r="G25" s="84" t="s">
        <v>32</v>
      </c>
      <c r="H25" s="74">
        <v>461.13</v>
      </c>
      <c r="I25" s="75" t="s">
        <v>272</v>
      </c>
    </row>
    <row r="26" spans="1:9" s="1" customFormat="1">
      <c r="B26" s="10"/>
      <c r="C26" s="10"/>
      <c r="D26" s="72">
        <f>4.66+10.09</f>
        <v>14.75</v>
      </c>
      <c r="E26" s="73" t="s">
        <v>39</v>
      </c>
      <c r="F26" s="17"/>
      <c r="G26" s="18"/>
      <c r="H26" s="81">
        <v>199.44</v>
      </c>
      <c r="I26" s="82" t="s">
        <v>174</v>
      </c>
    </row>
    <row r="27" spans="1:9" s="1" customFormat="1">
      <c r="B27" s="10"/>
      <c r="C27" s="9"/>
      <c r="D27" s="79">
        <f>6.56+11.31+5+10.04+10.04+7.5+17.51+17.46</f>
        <v>85.419999999999987</v>
      </c>
      <c r="E27" s="80" t="s">
        <v>242</v>
      </c>
      <c r="F27" s="17"/>
      <c r="G27" s="18"/>
      <c r="H27" s="34"/>
      <c r="I27" s="2"/>
    </row>
    <row r="28" spans="1:9" s="1" customFormat="1">
      <c r="B28" s="77"/>
      <c r="C28" s="9"/>
      <c r="D28" s="79">
        <v>9.85</v>
      </c>
      <c r="E28" s="80" t="s">
        <v>378</v>
      </c>
      <c r="F28" s="17"/>
      <c r="G28" s="18"/>
      <c r="H28" s="34"/>
      <c r="I28" s="2"/>
    </row>
    <row r="29" spans="1:9" s="1" customFormat="1">
      <c r="B29" s="77"/>
      <c r="C29" s="9"/>
      <c r="D29" s="79">
        <f>93.39</f>
        <v>93.39</v>
      </c>
      <c r="E29" s="80" t="s">
        <v>319</v>
      </c>
      <c r="F29" s="17"/>
      <c r="G29" s="18"/>
      <c r="H29" s="34"/>
      <c r="I29" s="2"/>
    </row>
    <row r="30" spans="1:9" s="1" customFormat="1">
      <c r="B30" s="77"/>
      <c r="C30" s="9"/>
      <c r="D30" s="79">
        <v>4.49</v>
      </c>
      <c r="E30" s="80" t="s">
        <v>379</v>
      </c>
      <c r="F30" s="17"/>
      <c r="G30" s="18"/>
      <c r="H30" s="34"/>
      <c r="I30" s="2"/>
    </row>
    <row r="31" spans="1:9" s="1" customFormat="1">
      <c r="A31" s="9"/>
      <c r="B31" s="59"/>
      <c r="C31" s="9" t="s">
        <v>49</v>
      </c>
      <c r="D31" s="29"/>
      <c r="E31" s="24"/>
      <c r="F31" s="17"/>
      <c r="G31" s="18"/>
      <c r="H31" s="81">
        <v>516</v>
      </c>
      <c r="I31" s="82" t="s">
        <v>402</v>
      </c>
    </row>
    <row r="32" spans="1:9" s="1" customFormat="1">
      <c r="A32" s="9"/>
      <c r="B32" s="59"/>
      <c r="C32" s="9" t="s">
        <v>50</v>
      </c>
      <c r="D32" s="29"/>
      <c r="E32" s="24"/>
      <c r="F32" s="17"/>
      <c r="G32" s="18"/>
      <c r="H32" s="34">
        <f>1686.3+1246.89</f>
        <v>2933.19</v>
      </c>
      <c r="I32" s="2" t="s">
        <v>56</v>
      </c>
    </row>
    <row r="33" spans="1:9" s="1" customFormat="1">
      <c r="A33" s="12" t="s">
        <v>4</v>
      </c>
      <c r="B33" s="10"/>
      <c r="C33" s="10"/>
      <c r="D33" s="31">
        <f>SUM(D22:D32)</f>
        <v>376.54999999999995</v>
      </c>
      <c r="E33" s="26"/>
      <c r="F33" s="20">
        <f>SUM(F22:F32)</f>
        <v>157.94</v>
      </c>
      <c r="G33" s="6"/>
      <c r="H33" s="36">
        <f>SUM(H22:H32)</f>
        <v>4696.26</v>
      </c>
      <c r="I33" s="2"/>
    </row>
    <row r="34" spans="1:9" s="1" customFormat="1" ht="15.75" thickBot="1">
      <c r="A34" s="13" t="s">
        <v>5</v>
      </c>
      <c r="B34" s="39">
        <f>SUM(F33+D33+H33)</f>
        <v>5230.75</v>
      </c>
      <c r="C34" s="38"/>
      <c r="D34" s="32"/>
      <c r="E34" s="27"/>
      <c r="F34" s="21"/>
      <c r="G34" s="22"/>
      <c r="H34" s="37"/>
      <c r="I34" s="3"/>
    </row>
    <row r="35" spans="1:9" s="1" customFormat="1">
      <c r="A35" s="9" t="s">
        <v>367</v>
      </c>
      <c r="B35" s="1" t="s">
        <v>312</v>
      </c>
      <c r="C35" s="9" t="s">
        <v>9</v>
      </c>
      <c r="D35" s="29"/>
      <c r="E35" s="24"/>
      <c r="F35" s="17">
        <f>7.27*2</f>
        <v>14.54</v>
      </c>
      <c r="G35" s="18" t="s">
        <v>35</v>
      </c>
      <c r="H35" s="34"/>
      <c r="I35" s="6"/>
    </row>
    <row r="36" spans="1:9" s="1" customFormat="1">
      <c r="B36" s="10"/>
      <c r="C36" s="9"/>
      <c r="D36" s="29"/>
      <c r="E36" s="24"/>
      <c r="F36" s="17">
        <f>2.5+1.5+145</f>
        <v>149</v>
      </c>
      <c r="G36" s="18" t="s">
        <v>357</v>
      </c>
      <c r="H36" s="34"/>
      <c r="I36" s="2"/>
    </row>
    <row r="37" spans="1:9" s="1" customFormat="1">
      <c r="B37" s="10"/>
      <c r="C37" s="9"/>
      <c r="D37" s="29"/>
      <c r="E37" s="24"/>
      <c r="F37" s="17">
        <f>7+13.8+20+25</f>
        <v>65.8</v>
      </c>
      <c r="G37" s="18" t="s">
        <v>44</v>
      </c>
      <c r="H37" s="34"/>
      <c r="I37" s="2"/>
    </row>
    <row r="38" spans="1:9" s="1" customFormat="1">
      <c r="B38" s="10"/>
      <c r="C38" s="9"/>
      <c r="D38" s="29"/>
      <c r="E38" s="24"/>
      <c r="F38" s="17">
        <f>60+60+6</f>
        <v>126</v>
      </c>
      <c r="G38" s="18" t="s">
        <v>72</v>
      </c>
      <c r="H38" s="34"/>
      <c r="I38" s="2"/>
    </row>
    <row r="39" spans="1:9" s="1" customFormat="1">
      <c r="B39" s="10"/>
      <c r="C39" s="9"/>
      <c r="D39" s="29"/>
      <c r="E39" s="24"/>
      <c r="F39" s="17">
        <v>18.5</v>
      </c>
      <c r="G39" s="18" t="s">
        <v>319</v>
      </c>
      <c r="H39" s="34"/>
      <c r="I39" s="2"/>
    </row>
    <row r="40" spans="1:9" s="1" customFormat="1">
      <c r="B40" s="10"/>
      <c r="C40" s="10" t="s">
        <v>195</v>
      </c>
      <c r="D40" s="29">
        <v>10.76</v>
      </c>
      <c r="E40" s="24" t="s">
        <v>31</v>
      </c>
      <c r="F40" s="17">
        <f>18+20.8</f>
        <v>38.799999999999997</v>
      </c>
      <c r="G40" s="18" t="s">
        <v>39</v>
      </c>
      <c r="H40" s="34">
        <f>708.73</f>
        <v>708.73</v>
      </c>
      <c r="I40" s="2" t="s">
        <v>377</v>
      </c>
    </row>
    <row r="41" spans="1:9" s="1" customFormat="1">
      <c r="A41" s="9"/>
      <c r="B41" s="9"/>
      <c r="C41" s="9"/>
      <c r="D41" s="29"/>
      <c r="E41" s="24"/>
      <c r="F41" s="17">
        <v>11</v>
      </c>
      <c r="G41" s="18" t="s">
        <v>270</v>
      </c>
      <c r="H41" s="34"/>
      <c r="I41" s="2"/>
    </row>
    <row r="42" spans="1:9" s="1" customFormat="1">
      <c r="A42" s="9"/>
      <c r="B42" s="9"/>
      <c r="C42" s="9"/>
      <c r="D42" s="29"/>
      <c r="E42" s="24"/>
      <c r="F42" s="17">
        <v>14.4</v>
      </c>
      <c r="G42" s="18" t="s">
        <v>122</v>
      </c>
      <c r="H42" s="34"/>
      <c r="I42" s="2"/>
    </row>
    <row r="43" spans="1:9" s="1" customFormat="1">
      <c r="A43" s="9"/>
      <c r="B43" s="59"/>
      <c r="C43" s="9" t="s">
        <v>49</v>
      </c>
      <c r="D43" s="29"/>
      <c r="E43" s="24"/>
      <c r="F43" s="17"/>
      <c r="G43" s="18"/>
      <c r="H43" s="34">
        <v>2282</v>
      </c>
      <c r="I43" s="2" t="s">
        <v>401</v>
      </c>
    </row>
    <row r="44" spans="1:9" s="1" customFormat="1">
      <c r="A44" s="9"/>
      <c r="B44" s="59"/>
      <c r="C44" s="9" t="s">
        <v>50</v>
      </c>
      <c r="D44" s="29"/>
      <c r="E44" s="24"/>
      <c r="F44" s="17"/>
      <c r="G44" s="18"/>
      <c r="H44" s="34">
        <f>2434.2+1100</f>
        <v>3534.2</v>
      </c>
      <c r="I44" s="2" t="s">
        <v>56</v>
      </c>
    </row>
    <row r="45" spans="1:9" s="1" customFormat="1">
      <c r="A45" s="12" t="s">
        <v>4</v>
      </c>
      <c r="B45" s="10"/>
      <c r="C45" s="10"/>
      <c r="D45" s="31">
        <f>SUM(D35:D44)</f>
        <v>10.76</v>
      </c>
      <c r="E45" s="26"/>
      <c r="F45" s="20">
        <f>SUM(F35:F44)</f>
        <v>438.03999999999996</v>
      </c>
      <c r="G45" s="6"/>
      <c r="H45" s="36">
        <f>SUM(H35:H44)</f>
        <v>6524.93</v>
      </c>
      <c r="I45" s="2"/>
    </row>
    <row r="46" spans="1:9" s="1" customFormat="1" ht="15.75" thickBot="1">
      <c r="A46" s="13" t="s">
        <v>5</v>
      </c>
      <c r="B46" s="39">
        <f>SUM(F45+D45+H45)</f>
        <v>6973.7300000000005</v>
      </c>
      <c r="C46" s="38"/>
      <c r="D46" s="32"/>
      <c r="E46" s="27"/>
      <c r="F46" s="21"/>
      <c r="G46" s="22"/>
      <c r="H46" s="37"/>
      <c r="I46" s="3"/>
    </row>
    <row r="47" spans="1:9" s="1" customFormat="1">
      <c r="A47" s="9" t="s">
        <v>363</v>
      </c>
      <c r="B47" s="1" t="s">
        <v>370</v>
      </c>
      <c r="C47" s="9" t="s">
        <v>8</v>
      </c>
      <c r="D47" s="28">
        <f>23.35+22.62+31.2+9.36+37.44+28.87+32.85+10.17+30.5+30.46+22.65+3.12+26.4+10.87+8.9</f>
        <v>328.75999999999993</v>
      </c>
      <c r="E47" s="23" t="s">
        <v>384</v>
      </c>
      <c r="F47" s="15">
        <f>2.8+3.5+6.6</f>
        <v>12.899999999999999</v>
      </c>
      <c r="G47" s="16" t="s">
        <v>383</v>
      </c>
      <c r="H47" s="33">
        <v>148.36000000000001</v>
      </c>
      <c r="I47" s="5" t="s">
        <v>174</v>
      </c>
    </row>
    <row r="48" spans="1:9" s="1" customFormat="1">
      <c r="B48" s="10"/>
      <c r="C48" s="9"/>
      <c r="D48" s="29">
        <f>14.04+17.16+16.38+15.6+15.6+9.38+10.17+10.93+12.42</f>
        <v>121.67999999999999</v>
      </c>
      <c r="E48" s="24" t="s">
        <v>136</v>
      </c>
      <c r="F48" s="17">
        <f>10+11+30</f>
        <v>51</v>
      </c>
      <c r="G48" s="18" t="s">
        <v>32</v>
      </c>
      <c r="H48" s="34"/>
      <c r="I48" s="6"/>
    </row>
    <row r="49" spans="1:9" s="1" customFormat="1">
      <c r="B49" s="10"/>
      <c r="C49" s="9" t="s">
        <v>147</v>
      </c>
      <c r="D49" s="29">
        <v>20</v>
      </c>
      <c r="E49" s="24" t="s">
        <v>41</v>
      </c>
      <c r="F49" s="17">
        <v>50.67</v>
      </c>
      <c r="G49" s="18" t="s">
        <v>31</v>
      </c>
      <c r="H49" s="34"/>
      <c r="I49" s="6"/>
    </row>
    <row r="50" spans="1:9" s="1" customFormat="1">
      <c r="A50" s="9"/>
      <c r="B50" s="9"/>
      <c r="C50" s="10"/>
      <c r="D50" s="29">
        <v>38</v>
      </c>
      <c r="E50" s="24" t="s">
        <v>386</v>
      </c>
      <c r="F50" s="17"/>
      <c r="G50" s="18"/>
      <c r="H50" s="34"/>
      <c r="I50" s="6"/>
    </row>
    <row r="51" spans="1:9" s="1" customFormat="1">
      <c r="A51" s="9"/>
      <c r="B51" s="9"/>
      <c r="C51" s="10"/>
      <c r="D51" s="29">
        <v>18</v>
      </c>
      <c r="E51" s="24" t="s">
        <v>403</v>
      </c>
      <c r="F51" s="17"/>
      <c r="G51" s="18"/>
      <c r="H51" s="34"/>
      <c r="I51" s="6"/>
    </row>
    <row r="52" spans="1:9" s="1" customFormat="1">
      <c r="A52" s="9"/>
      <c r="B52" s="9"/>
      <c r="C52" s="10"/>
      <c r="D52" s="29">
        <v>18</v>
      </c>
      <c r="E52" s="24" t="s">
        <v>404</v>
      </c>
      <c r="F52" s="17"/>
      <c r="G52" s="18"/>
      <c r="H52" s="34"/>
      <c r="I52" s="6"/>
    </row>
    <row r="53" spans="1:9" s="1" customFormat="1">
      <c r="A53" s="9"/>
      <c r="B53" s="9"/>
      <c r="C53" s="9" t="s">
        <v>49</v>
      </c>
      <c r="D53" s="29"/>
      <c r="E53" s="24"/>
      <c r="F53" s="17"/>
      <c r="G53" s="18"/>
      <c r="H53" s="87">
        <v>1051</v>
      </c>
      <c r="I53" s="2" t="s">
        <v>398</v>
      </c>
    </row>
    <row r="54" spans="1:9" s="1" customFormat="1">
      <c r="A54" s="9"/>
      <c r="B54" s="9"/>
      <c r="C54" s="9" t="s">
        <v>50</v>
      </c>
      <c r="D54" s="29"/>
      <c r="E54" s="24"/>
      <c r="F54" s="17"/>
      <c r="G54" s="18"/>
      <c r="H54" s="34">
        <v>32</v>
      </c>
      <c r="I54" s="2" t="s">
        <v>394</v>
      </c>
    </row>
    <row r="55" spans="1:9" s="1" customFormat="1">
      <c r="A55" s="9"/>
      <c r="B55" s="59"/>
      <c r="C55" s="9"/>
      <c r="D55" s="29"/>
      <c r="E55" s="24"/>
      <c r="F55" s="17"/>
      <c r="G55" s="18"/>
      <c r="H55" s="34">
        <v>878.54</v>
      </c>
      <c r="I55" s="2" t="s">
        <v>186</v>
      </c>
    </row>
    <row r="56" spans="1:9" s="1" customFormat="1">
      <c r="A56" s="9"/>
      <c r="B56" s="59"/>
      <c r="C56" s="9"/>
      <c r="D56" s="29"/>
      <c r="E56" s="24"/>
      <c r="F56" s="17"/>
      <c r="G56" s="18"/>
      <c r="H56" s="34">
        <f>546.83+352.09</f>
        <v>898.92000000000007</v>
      </c>
      <c r="I56" s="2" t="s">
        <v>185</v>
      </c>
    </row>
    <row r="57" spans="1:9">
      <c r="A57" s="12" t="s">
        <v>4</v>
      </c>
      <c r="B57" s="10"/>
      <c r="C57" s="10"/>
      <c r="D57" s="31">
        <f>SUM(D47:D56)</f>
        <v>544.43999999999994</v>
      </c>
      <c r="E57" s="26"/>
      <c r="F57" s="20">
        <f>SUM(F47:F56)</f>
        <v>114.57</v>
      </c>
      <c r="G57" s="6"/>
      <c r="H57" s="36">
        <f>SUM(H47:H56)</f>
        <v>3008.82</v>
      </c>
      <c r="I57" s="18"/>
    </row>
    <row r="58" spans="1:9" ht="15.75" thickBot="1">
      <c r="A58" s="13" t="s">
        <v>5</v>
      </c>
      <c r="B58" s="39">
        <f>SUM(F57+D57+H57)</f>
        <v>3667.83</v>
      </c>
      <c r="C58" s="38"/>
      <c r="D58" s="32"/>
      <c r="E58" s="27"/>
      <c r="F58" s="21"/>
      <c r="G58" s="22"/>
      <c r="H58" s="37"/>
      <c r="I58" s="2"/>
    </row>
    <row r="59" spans="1:9" s="1" customFormat="1">
      <c r="A59" s="9" t="s">
        <v>368</v>
      </c>
      <c r="B59" s="11" t="s">
        <v>369</v>
      </c>
      <c r="C59" s="9" t="s">
        <v>8</v>
      </c>
      <c r="D59" s="28">
        <f>96.02+120.12+4.09+48.35+3.22</f>
        <v>271.8</v>
      </c>
      <c r="E59" s="23" t="s">
        <v>220</v>
      </c>
      <c r="F59" s="15"/>
      <c r="G59" s="16"/>
      <c r="H59" s="33">
        <v>38.57</v>
      </c>
      <c r="I59" s="5" t="s">
        <v>174</v>
      </c>
    </row>
    <row r="60" spans="1:9" s="1" customFormat="1">
      <c r="A60" s="9"/>
      <c r="B60" s="9"/>
      <c r="C60" s="10"/>
      <c r="D60" s="29">
        <f>23.33+8.06</f>
        <v>31.39</v>
      </c>
      <c r="E60" s="24" t="s">
        <v>72</v>
      </c>
      <c r="F60" s="17"/>
      <c r="G60" s="18"/>
      <c r="H60" s="34"/>
      <c r="I60" s="6"/>
    </row>
    <row r="61" spans="1:9" s="1" customFormat="1">
      <c r="A61" s="9"/>
      <c r="B61" s="9"/>
      <c r="C61" s="9" t="s">
        <v>147</v>
      </c>
      <c r="D61" s="29">
        <v>117</v>
      </c>
      <c r="E61" s="24" t="s">
        <v>41</v>
      </c>
      <c r="F61" s="17">
        <v>195</v>
      </c>
      <c r="G61" s="18" t="s">
        <v>35</v>
      </c>
      <c r="H61" s="34"/>
      <c r="I61" s="2"/>
    </row>
    <row r="62" spans="1:9" s="1" customFormat="1">
      <c r="A62" s="9"/>
      <c r="B62" s="59"/>
      <c r="C62" s="9"/>
      <c r="D62" s="29">
        <v>1.9</v>
      </c>
      <c r="E62" s="24" t="s">
        <v>157</v>
      </c>
      <c r="F62" s="17"/>
      <c r="G62" s="18"/>
      <c r="H62" s="34"/>
      <c r="I62" s="2"/>
    </row>
    <row r="63" spans="1:9" s="1" customFormat="1">
      <c r="A63" s="9"/>
      <c r="B63" s="59"/>
      <c r="C63" s="9"/>
      <c r="D63" s="29">
        <v>315</v>
      </c>
      <c r="E63" s="24" t="s">
        <v>408</v>
      </c>
      <c r="F63" s="17"/>
      <c r="G63" s="18"/>
      <c r="H63" s="34"/>
      <c r="I63" s="2"/>
    </row>
    <row r="64" spans="1:9" s="1" customFormat="1">
      <c r="A64" s="9"/>
      <c r="B64" s="59"/>
      <c r="C64" s="9"/>
      <c r="D64" s="29">
        <v>17</v>
      </c>
      <c r="E64" s="24" t="s">
        <v>378</v>
      </c>
      <c r="F64" s="17"/>
      <c r="G64" s="18"/>
      <c r="H64" s="34"/>
      <c r="I64" s="2"/>
    </row>
    <row r="65" spans="1:9" s="1" customFormat="1">
      <c r="A65" s="9"/>
      <c r="B65" s="59"/>
      <c r="C65" s="9" t="s">
        <v>49</v>
      </c>
      <c r="D65" s="29"/>
      <c r="E65" s="24"/>
      <c r="F65" s="17"/>
      <c r="G65" s="18"/>
      <c r="H65" s="34">
        <v>989</v>
      </c>
      <c r="I65" s="2" t="s">
        <v>397</v>
      </c>
    </row>
    <row r="66" spans="1:9">
      <c r="A66" s="9"/>
      <c r="B66" s="59"/>
      <c r="C66" s="9" t="s">
        <v>50</v>
      </c>
      <c r="D66" s="29"/>
      <c r="E66" s="24"/>
      <c r="F66" s="47"/>
      <c r="G66" s="48"/>
      <c r="H66" s="34">
        <f>224.71+256.33</f>
        <v>481.03999999999996</v>
      </c>
      <c r="I66" s="18" t="s">
        <v>186</v>
      </c>
    </row>
    <row r="67" spans="1:9">
      <c r="A67" s="9"/>
      <c r="B67" s="59"/>
      <c r="C67" s="9"/>
      <c r="D67" s="29"/>
      <c r="E67" s="24"/>
      <c r="F67" s="47"/>
      <c r="G67" s="48"/>
      <c r="H67" s="34">
        <f>256.33+224.71</f>
        <v>481.03999999999996</v>
      </c>
      <c r="I67" s="18" t="s">
        <v>185</v>
      </c>
    </row>
    <row r="68" spans="1:9">
      <c r="A68" s="12" t="s">
        <v>4</v>
      </c>
      <c r="B68" s="10"/>
      <c r="C68" s="10"/>
      <c r="D68" s="31">
        <f>SUM(D59:D66)</f>
        <v>754.08999999999992</v>
      </c>
      <c r="E68" s="26"/>
      <c r="F68" s="20">
        <f>SUM(F59:F66)</f>
        <v>195</v>
      </c>
      <c r="G68" s="6"/>
      <c r="H68" s="36">
        <f>SUM(H59:H66)</f>
        <v>1508.61</v>
      </c>
      <c r="I68" s="18"/>
    </row>
    <row r="69" spans="1:9" ht="15.75" thickBot="1">
      <c r="A69" s="13" t="s">
        <v>5</v>
      </c>
      <c r="B69" s="39">
        <f>SUM(F68+D68+H68)</f>
        <v>2457.6999999999998</v>
      </c>
      <c r="C69" s="38"/>
      <c r="D69" s="32"/>
      <c r="E69" s="27"/>
      <c r="F69" s="21"/>
      <c r="G69" s="22"/>
      <c r="H69" s="37"/>
      <c r="I69" s="2"/>
    </row>
    <row r="70" spans="1:9" s="1" customFormat="1">
      <c r="A70" s="9" t="s">
        <v>372</v>
      </c>
      <c r="B70" s="11" t="s">
        <v>380</v>
      </c>
      <c r="C70" s="9" t="s">
        <v>9</v>
      </c>
      <c r="D70" s="28">
        <f>26.98+23.13+38.89+30.32</f>
        <v>119.32</v>
      </c>
      <c r="E70" s="23" t="s">
        <v>44</v>
      </c>
      <c r="F70" s="15">
        <f>28+2.5+5</f>
        <v>35.5</v>
      </c>
      <c r="G70" s="16" t="s">
        <v>357</v>
      </c>
      <c r="H70" s="28">
        <v>115</v>
      </c>
      <c r="I70" s="40" t="s">
        <v>497</v>
      </c>
    </row>
    <row r="71" spans="1:9" s="1" customFormat="1">
      <c r="A71" s="9"/>
      <c r="B71" s="9"/>
      <c r="C71" s="10"/>
      <c r="D71" s="29">
        <f>7.32+108.82+28.35</f>
        <v>144.48999999999998</v>
      </c>
      <c r="E71" s="24" t="s">
        <v>274</v>
      </c>
      <c r="F71" s="17">
        <f>7.27*2</f>
        <v>14.54</v>
      </c>
      <c r="G71" s="18" t="s">
        <v>35</v>
      </c>
      <c r="H71" s="29"/>
      <c r="I71" s="6"/>
    </row>
    <row r="72" spans="1:9" s="1" customFormat="1">
      <c r="A72" s="9"/>
      <c r="B72" s="59"/>
      <c r="C72" s="10"/>
      <c r="D72" s="29"/>
      <c r="E72" s="24"/>
      <c r="F72" s="17">
        <f>10.8+16.5</f>
        <v>27.3</v>
      </c>
      <c r="G72" s="18" t="s">
        <v>107</v>
      </c>
      <c r="H72" s="29"/>
      <c r="I72" s="6"/>
    </row>
    <row r="73" spans="1:9" s="1" customFormat="1">
      <c r="A73" s="9"/>
      <c r="B73" s="59"/>
      <c r="C73" s="10"/>
      <c r="D73" s="29"/>
      <c r="E73" s="24"/>
      <c r="F73" s="17">
        <v>9</v>
      </c>
      <c r="G73" s="18" t="s">
        <v>72</v>
      </c>
      <c r="H73" s="29"/>
      <c r="I73" s="6"/>
    </row>
    <row r="74" spans="1:9" s="1" customFormat="1">
      <c r="A74" s="9"/>
      <c r="B74" s="59"/>
      <c r="C74" s="10" t="s">
        <v>16</v>
      </c>
      <c r="D74" s="29">
        <f>116.61+43.39+11.67</f>
        <v>171.67</v>
      </c>
      <c r="E74" s="24" t="s">
        <v>387</v>
      </c>
      <c r="F74" s="17">
        <v>10</v>
      </c>
      <c r="G74" s="18" t="s">
        <v>385</v>
      </c>
      <c r="H74" s="29"/>
      <c r="I74" s="6"/>
    </row>
    <row r="75" spans="1:9" s="1" customFormat="1">
      <c r="A75" s="9"/>
      <c r="B75" s="59"/>
      <c r="C75" s="9" t="s">
        <v>50</v>
      </c>
      <c r="D75" s="29"/>
      <c r="E75" s="24"/>
      <c r="F75" s="17"/>
      <c r="G75" s="18"/>
      <c r="H75" s="29">
        <v>285.77999999999997</v>
      </c>
      <c r="I75" s="2" t="s">
        <v>56</v>
      </c>
    </row>
    <row r="76" spans="1:9">
      <c r="A76" s="12" t="s">
        <v>4</v>
      </c>
      <c r="B76" s="10"/>
      <c r="C76" s="10"/>
      <c r="D76" s="31">
        <f>SUM(D70:D75)</f>
        <v>435.4799999999999</v>
      </c>
      <c r="E76" s="26"/>
      <c r="F76" s="20">
        <f>SUM(F70:F75)</f>
        <v>96.34</v>
      </c>
      <c r="G76" s="6"/>
      <c r="H76" s="31">
        <f>SUM(H70:H75)</f>
        <v>400.78</v>
      </c>
      <c r="I76" s="18"/>
    </row>
    <row r="77" spans="1:9" ht="15.75" thickBot="1">
      <c r="A77" s="13" t="s">
        <v>5</v>
      </c>
      <c r="B77" s="39">
        <f>SUM(F76+D76+H76)</f>
        <v>932.59999999999991</v>
      </c>
      <c r="C77" s="38"/>
      <c r="D77" s="32"/>
      <c r="E77" s="27"/>
      <c r="F77" s="21"/>
      <c r="G77" s="22"/>
      <c r="H77" s="68"/>
      <c r="I77" s="3"/>
    </row>
    <row r="78" spans="1:9" s="1" customFormat="1">
      <c r="A78" s="9" t="s">
        <v>374</v>
      </c>
      <c r="B78" s="11" t="s">
        <v>373</v>
      </c>
      <c r="C78" s="9" t="s">
        <v>26</v>
      </c>
      <c r="D78" s="28"/>
      <c r="E78" s="23"/>
      <c r="F78" s="15">
        <v>72</v>
      </c>
      <c r="G78" s="16" t="s">
        <v>34</v>
      </c>
      <c r="H78" s="28">
        <v>1074.8699999999999</v>
      </c>
      <c r="I78" s="5" t="s">
        <v>389</v>
      </c>
    </row>
    <row r="79" spans="1:9" s="1" customFormat="1">
      <c r="A79" s="9"/>
      <c r="B79" s="9"/>
      <c r="C79" s="10"/>
      <c r="D79" s="29"/>
      <c r="E79" s="24"/>
      <c r="F79" s="17">
        <v>116</v>
      </c>
      <c r="G79" s="18" t="s">
        <v>35</v>
      </c>
      <c r="H79" s="29"/>
      <c r="I79" s="6"/>
    </row>
    <row r="80" spans="1:9" s="1" customFormat="1">
      <c r="A80" s="9"/>
      <c r="B80" s="59"/>
      <c r="C80" s="9" t="s">
        <v>97</v>
      </c>
      <c r="D80" s="29"/>
      <c r="E80" s="24"/>
      <c r="F80" s="17"/>
      <c r="G80" s="18"/>
      <c r="H80" s="29"/>
      <c r="I80" s="6"/>
    </row>
    <row r="81" spans="1:9" s="1" customFormat="1">
      <c r="A81" s="9"/>
      <c r="B81" s="59"/>
      <c r="C81" s="10"/>
      <c r="D81" s="29"/>
      <c r="E81" s="24"/>
      <c r="F81" s="17"/>
      <c r="G81" s="18"/>
      <c r="H81" s="29"/>
      <c r="I81" s="2"/>
    </row>
    <row r="82" spans="1:9" s="1" customFormat="1">
      <c r="A82" s="9"/>
      <c r="B82" s="59"/>
      <c r="C82" s="9"/>
      <c r="D82" s="29"/>
      <c r="E82" s="24"/>
      <c r="F82" s="17"/>
      <c r="G82" s="18"/>
      <c r="H82" s="29"/>
      <c r="I82" s="2"/>
    </row>
    <row r="83" spans="1:9" s="1" customFormat="1">
      <c r="A83" s="9"/>
      <c r="B83" s="59"/>
      <c r="C83" s="9" t="s">
        <v>50</v>
      </c>
      <c r="D83" s="29"/>
      <c r="E83" s="24"/>
      <c r="F83" s="17"/>
      <c r="G83" s="18"/>
      <c r="H83" s="29">
        <v>1925.5</v>
      </c>
      <c r="I83" s="2" t="s">
        <v>56</v>
      </c>
    </row>
    <row r="84" spans="1:9">
      <c r="A84" s="12" t="s">
        <v>4</v>
      </c>
      <c r="B84" s="10"/>
      <c r="C84" s="10"/>
      <c r="D84" s="31">
        <f>SUM(D78:D83)</f>
        <v>0</v>
      </c>
      <c r="E84" s="26"/>
      <c r="F84" s="20">
        <f>SUM(F78:F83)</f>
        <v>188</v>
      </c>
      <c r="G84" s="6"/>
      <c r="H84" s="31">
        <f>SUM(H78:H83)</f>
        <v>3000.37</v>
      </c>
      <c r="I84" s="18"/>
    </row>
    <row r="85" spans="1:9" ht="15.75" thickBot="1">
      <c r="A85" s="13" t="s">
        <v>5</v>
      </c>
      <c r="B85" s="39">
        <f>SUM(F84+D84+H84)</f>
        <v>3188.37</v>
      </c>
      <c r="C85" s="38"/>
      <c r="D85" s="32"/>
      <c r="E85" s="27"/>
      <c r="F85" s="21"/>
      <c r="G85" s="22"/>
      <c r="H85" s="68"/>
      <c r="I85" s="3"/>
    </row>
    <row r="86" spans="1:9" s="1" customFormat="1">
      <c r="A86" s="71">
        <v>41170</v>
      </c>
      <c r="B86" s="11" t="s">
        <v>314</v>
      </c>
      <c r="C86" s="9" t="s">
        <v>28</v>
      </c>
      <c r="D86" s="28">
        <f>30.84+18.27+19.04</f>
        <v>68.150000000000006</v>
      </c>
      <c r="E86" s="23" t="s">
        <v>47</v>
      </c>
      <c r="F86" s="15">
        <v>4.8</v>
      </c>
      <c r="G86" s="16" t="s">
        <v>31</v>
      </c>
      <c r="H86" s="28">
        <v>39.979999999999997</v>
      </c>
      <c r="I86" s="5" t="s">
        <v>377</v>
      </c>
    </row>
    <row r="87" spans="1:9" s="1" customFormat="1">
      <c r="A87" s="9"/>
      <c r="B87" s="9"/>
      <c r="C87" s="10"/>
      <c r="D87" s="29">
        <f>127.64+149.98</f>
        <v>277.62</v>
      </c>
      <c r="E87" s="24" t="s">
        <v>181</v>
      </c>
      <c r="F87" s="17">
        <f>4.04*2</f>
        <v>8.08</v>
      </c>
      <c r="G87" s="70" t="s">
        <v>35</v>
      </c>
      <c r="H87" s="29"/>
      <c r="I87" s="6"/>
    </row>
    <row r="88" spans="1:9" s="1" customFormat="1">
      <c r="A88" s="9"/>
      <c r="B88" s="59"/>
      <c r="C88" s="10"/>
      <c r="D88" s="29"/>
      <c r="E88" s="24"/>
      <c r="F88" s="17">
        <v>75</v>
      </c>
      <c r="G88" s="70" t="s">
        <v>34</v>
      </c>
      <c r="H88" s="29"/>
      <c r="I88" s="6"/>
    </row>
    <row r="89" spans="1:9" s="1" customFormat="1">
      <c r="A89" s="9"/>
      <c r="B89" s="59"/>
      <c r="C89" s="10" t="s">
        <v>195</v>
      </c>
      <c r="D89" s="29"/>
      <c r="E89" s="24"/>
      <c r="F89" s="17">
        <f>30+105</f>
        <v>135</v>
      </c>
      <c r="G89" s="70" t="s">
        <v>39</v>
      </c>
      <c r="H89" s="29"/>
      <c r="I89" s="6"/>
    </row>
    <row r="90" spans="1:9" s="1" customFormat="1">
      <c r="A90" s="9"/>
      <c r="B90" s="59"/>
      <c r="C90" s="9" t="s">
        <v>49</v>
      </c>
      <c r="D90" s="29"/>
      <c r="E90" s="24"/>
      <c r="F90" s="17"/>
      <c r="G90" s="18"/>
      <c r="H90" s="29">
        <v>1237</v>
      </c>
      <c r="I90" s="2" t="s">
        <v>400</v>
      </c>
    </row>
    <row r="91" spans="1:9" s="1" customFormat="1">
      <c r="A91" s="9"/>
      <c r="B91" s="59"/>
      <c r="C91" s="9" t="s">
        <v>50</v>
      </c>
      <c r="D91" s="29"/>
      <c r="E91" s="24"/>
      <c r="F91" s="17"/>
      <c r="G91" s="18"/>
      <c r="H91" s="29">
        <f>2422.02</f>
        <v>2422.02</v>
      </c>
      <c r="I91" s="2" t="s">
        <v>56</v>
      </c>
    </row>
    <row r="92" spans="1:9">
      <c r="A92" s="12" t="s">
        <v>4</v>
      </c>
      <c r="B92" s="10"/>
      <c r="C92" s="10"/>
      <c r="D92" s="31">
        <f>SUM(D86:D91)</f>
        <v>345.77</v>
      </c>
      <c r="E92" s="26"/>
      <c r="F92" s="20">
        <f>SUM(F86:F91)</f>
        <v>222.88</v>
      </c>
      <c r="G92" s="6"/>
      <c r="H92" s="31">
        <f>SUM(H86:H91)</f>
        <v>3699</v>
      </c>
      <c r="I92" s="18"/>
    </row>
    <row r="93" spans="1:9" ht="15.75" thickBot="1">
      <c r="A93" s="13" t="s">
        <v>5</v>
      </c>
      <c r="B93" s="39">
        <f>SUM(F92+D92+H92)</f>
        <v>4267.6499999999996</v>
      </c>
      <c r="C93" s="38"/>
      <c r="D93" s="32"/>
      <c r="E93" s="27"/>
      <c r="F93" s="21"/>
      <c r="G93" s="22"/>
      <c r="H93" s="68"/>
      <c r="I93" s="3"/>
    </row>
    <row r="94" spans="1:9" s="1" customFormat="1">
      <c r="A94" s="9" t="s">
        <v>376</v>
      </c>
      <c r="B94" s="11" t="s">
        <v>375</v>
      </c>
      <c r="C94" s="9" t="s">
        <v>93</v>
      </c>
      <c r="D94" s="28">
        <f>28.24+12.05+24.91</f>
        <v>65.2</v>
      </c>
      <c r="E94" s="23" t="s">
        <v>47</v>
      </c>
      <c r="F94" s="15">
        <f>10+11</f>
        <v>21</v>
      </c>
      <c r="G94" s="16" t="s">
        <v>388</v>
      </c>
      <c r="H94" s="28"/>
      <c r="I94" s="5"/>
    </row>
    <row r="95" spans="1:9" s="1" customFormat="1">
      <c r="A95" s="9"/>
      <c r="B95" s="10"/>
      <c r="C95" s="9"/>
      <c r="D95" s="29">
        <f>8.27+12.99+20.27+11.29</f>
        <v>52.82</v>
      </c>
      <c r="E95" s="24" t="s">
        <v>137</v>
      </c>
      <c r="F95" s="17">
        <v>2.8</v>
      </c>
      <c r="G95" s="18" t="s">
        <v>72</v>
      </c>
      <c r="H95" s="29"/>
      <c r="I95" s="6"/>
    </row>
    <row r="96" spans="1:9" s="1" customFormat="1">
      <c r="A96" s="9"/>
      <c r="B96" s="10"/>
      <c r="C96" s="9"/>
      <c r="D96" s="29">
        <f>4.44</f>
        <v>4.4400000000000004</v>
      </c>
      <c r="E96" s="24" t="s">
        <v>390</v>
      </c>
      <c r="F96" s="17"/>
      <c r="G96" s="18"/>
      <c r="H96" s="29"/>
      <c r="I96" s="6"/>
    </row>
    <row r="97" spans="1:9" s="1" customFormat="1">
      <c r="A97" s="9"/>
      <c r="B97" s="10"/>
      <c r="C97" s="9"/>
      <c r="D97" s="29">
        <f>1.12+6.43</f>
        <v>7.55</v>
      </c>
      <c r="E97" s="24" t="s">
        <v>318</v>
      </c>
      <c r="F97" s="17"/>
      <c r="G97" s="18"/>
      <c r="H97" s="29"/>
      <c r="I97" s="6"/>
    </row>
    <row r="98" spans="1:9" s="1" customFormat="1">
      <c r="A98" s="9"/>
      <c r="B98" s="59"/>
      <c r="C98" s="9" t="s">
        <v>49</v>
      </c>
      <c r="D98" s="29"/>
      <c r="E98" s="24"/>
      <c r="F98" s="17"/>
      <c r="G98" s="18"/>
      <c r="H98" s="29">
        <v>304</v>
      </c>
      <c r="I98" s="2" t="s">
        <v>399</v>
      </c>
    </row>
    <row r="99" spans="1:9" s="1" customFormat="1">
      <c r="A99" s="9"/>
      <c r="B99" s="59"/>
      <c r="C99" s="9" t="s">
        <v>50</v>
      </c>
      <c r="D99" s="29"/>
      <c r="E99" s="24"/>
      <c r="F99" s="17"/>
      <c r="G99" s="18"/>
      <c r="H99" s="29">
        <v>350.71</v>
      </c>
      <c r="I99" s="2" t="s">
        <v>164</v>
      </c>
    </row>
    <row r="100" spans="1:9">
      <c r="A100" s="12" t="s">
        <v>4</v>
      </c>
      <c r="B100" s="10"/>
      <c r="C100" s="10"/>
      <c r="D100" s="31">
        <f>SUM(D94:D99)</f>
        <v>130.01000000000002</v>
      </c>
      <c r="E100" s="26"/>
      <c r="F100" s="20">
        <f>SUM(F94:F99)</f>
        <v>23.8</v>
      </c>
      <c r="G100" s="6"/>
      <c r="H100" s="31">
        <f>SUM(H94:H99)</f>
        <v>654.71</v>
      </c>
      <c r="I100" s="18"/>
    </row>
    <row r="101" spans="1:9" ht="15.75" thickBot="1">
      <c r="A101" s="13" t="s">
        <v>5</v>
      </c>
      <c r="B101" s="39">
        <f>SUM(F100+D100+H100)</f>
        <v>808.5200000000001</v>
      </c>
      <c r="C101" s="38"/>
      <c r="D101" s="32"/>
      <c r="E101" s="27"/>
      <c r="F101" s="21"/>
      <c r="G101" s="22"/>
      <c r="H101" s="68"/>
      <c r="I101" s="3"/>
    </row>
    <row r="102" spans="1:9">
      <c r="A102" s="65"/>
      <c r="B102" s="66"/>
      <c r="C102" s="56"/>
      <c r="D102" s="36"/>
      <c r="E102" s="57"/>
      <c r="F102" s="57"/>
      <c r="G102" s="67"/>
      <c r="H102" s="35"/>
      <c r="I102" s="56"/>
    </row>
    <row r="103" spans="1:9" ht="15.75" thickBot="1">
      <c r="A103" s="65"/>
      <c r="B103" s="66"/>
      <c r="C103" s="56"/>
      <c r="D103" s="36"/>
      <c r="E103" s="57"/>
      <c r="F103" s="57"/>
      <c r="G103" s="67"/>
      <c r="H103" s="35"/>
      <c r="I103" s="56"/>
    </row>
    <row r="104" spans="1:9" ht="20.25" thickBot="1">
      <c r="A104" s="51" t="s">
        <v>191</v>
      </c>
      <c r="B104" s="52">
        <f>SUM(B13+B21+B34+B46+B58+B69+B77+B85+B93+B101)</f>
        <v>31496.469999999998</v>
      </c>
      <c r="C104" s="56"/>
      <c r="D104" s="36"/>
      <c r="E104" s="57"/>
      <c r="F104" s="57"/>
      <c r="G104" s="67"/>
      <c r="H104" s="35"/>
      <c r="I104" s="56"/>
    </row>
    <row r="105" spans="1:9">
      <c r="A105" s="65"/>
      <c r="B105" s="66"/>
      <c r="C105" s="56"/>
      <c r="D105" s="36"/>
      <c r="E105" s="57"/>
      <c r="F105" s="57"/>
      <c r="G105" s="67"/>
      <c r="H105" s="35"/>
      <c r="I105" s="56"/>
    </row>
    <row r="106" spans="1:9">
      <c r="A106" s="65"/>
      <c r="B106" s="66"/>
      <c r="C106" s="56"/>
      <c r="D106" s="36"/>
      <c r="E106" s="57"/>
      <c r="F106" s="57"/>
      <c r="G106" s="67"/>
      <c r="H106" s="35"/>
      <c r="I106" s="56"/>
    </row>
    <row r="107" spans="1:9">
      <c r="A107" s="65"/>
      <c r="B107" s="66"/>
      <c r="C107" s="56"/>
      <c r="D107" s="36"/>
      <c r="E107" s="57"/>
      <c r="F107" s="57"/>
      <c r="G107" s="67"/>
      <c r="H107" s="35"/>
      <c r="I107" s="56"/>
    </row>
    <row r="108" spans="1:9">
      <c r="B108" s="62"/>
      <c r="E108" s="57"/>
      <c r="H108" s="35"/>
      <c r="I108" s="56"/>
    </row>
    <row r="109" spans="1:9">
      <c r="D109" s="61"/>
      <c r="E109" s="57"/>
      <c r="G109" s="61"/>
      <c r="H109" s="35"/>
      <c r="I109" s="56"/>
    </row>
    <row r="110" spans="1:9">
      <c r="A110" s="59"/>
      <c r="B110" s="60"/>
      <c r="C110" s="60"/>
      <c r="E110" s="62"/>
      <c r="F110" s="61"/>
    </row>
    <row r="111" spans="1:9">
      <c r="A111" s="62"/>
      <c r="B111" s="62"/>
      <c r="C111" s="62"/>
      <c r="D111" s="62"/>
      <c r="E111" s="62"/>
      <c r="F111" s="62"/>
      <c r="G111" s="62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1"/>
  <sheetViews>
    <sheetView topLeftCell="A31" zoomScaleNormal="100" workbookViewId="0">
      <selection activeCell="B122" sqref="B122"/>
    </sheetView>
  </sheetViews>
  <sheetFormatPr defaultRowHeight="15"/>
  <cols>
    <col min="1" max="1" width="21.7109375" customWidth="1"/>
    <col min="2" max="2" width="29" bestFit="1" customWidth="1"/>
    <col min="3" max="3" width="19.42578125" customWidth="1"/>
    <col min="4" max="4" width="14.85546875" customWidth="1"/>
    <col min="5" max="5" width="30" customWidth="1"/>
    <col min="6" max="6" width="22.5703125" customWidth="1"/>
    <col min="7" max="7" width="23.5703125" customWidth="1"/>
    <col min="8" max="8" width="26.42578125" customWidth="1"/>
    <col min="9" max="9" width="40.85546875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114" t="s">
        <v>7</v>
      </c>
      <c r="E1" s="115"/>
      <c r="F1" s="116" t="s">
        <v>6</v>
      </c>
      <c r="G1" s="117"/>
      <c r="H1" s="116" t="s">
        <v>3</v>
      </c>
      <c r="I1" s="117"/>
    </row>
    <row r="2" spans="1:11" s="1" customFormat="1">
      <c r="A2" s="8" t="s">
        <v>409</v>
      </c>
      <c r="B2" s="8" t="s">
        <v>410</v>
      </c>
      <c r="C2" s="8" t="s">
        <v>195</v>
      </c>
      <c r="D2" s="28"/>
      <c r="E2" s="85"/>
      <c r="F2" s="15">
        <f>7+11+20+13</f>
        <v>51</v>
      </c>
      <c r="G2" s="40" t="s">
        <v>44</v>
      </c>
      <c r="H2" s="33"/>
      <c r="I2" s="5"/>
    </row>
    <row r="3" spans="1:11" s="1" customFormat="1" ht="14.25" customHeight="1">
      <c r="A3" s="9"/>
      <c r="B3" s="9"/>
      <c r="C3" s="9"/>
      <c r="D3" s="29"/>
      <c r="E3" s="24"/>
      <c r="F3" s="17">
        <v>27</v>
      </c>
      <c r="G3" s="18" t="s">
        <v>31</v>
      </c>
      <c r="H3" s="34"/>
      <c r="I3" s="6"/>
      <c r="K3" s="4"/>
    </row>
    <row r="4" spans="1:11" s="1" customFormat="1">
      <c r="A4" s="9"/>
      <c r="B4" s="9"/>
      <c r="C4" s="10"/>
      <c r="D4" s="29"/>
      <c r="E4" s="24"/>
      <c r="F4" s="17">
        <v>17</v>
      </c>
      <c r="G4" s="18" t="s">
        <v>74</v>
      </c>
      <c r="H4" s="64"/>
      <c r="I4" s="2"/>
      <c r="K4" s="4"/>
    </row>
    <row r="5" spans="1:11" s="1" customFormat="1" ht="14.25" customHeight="1">
      <c r="A5" s="9"/>
      <c r="B5" s="9"/>
      <c r="C5" s="9"/>
      <c r="D5" s="29"/>
      <c r="E5" s="24"/>
      <c r="F5" s="17">
        <v>22</v>
      </c>
      <c r="G5" s="18" t="s">
        <v>431</v>
      </c>
      <c r="H5" s="34"/>
      <c r="I5" s="6"/>
      <c r="K5" s="4"/>
    </row>
    <row r="6" spans="1:11" s="1" customFormat="1" ht="14.25" customHeight="1">
      <c r="A6" s="9"/>
      <c r="B6" s="9"/>
      <c r="C6" s="9"/>
      <c r="D6" s="29"/>
      <c r="E6" s="24"/>
      <c r="F6" s="17">
        <v>26.01</v>
      </c>
      <c r="G6" s="18" t="s">
        <v>72</v>
      </c>
      <c r="H6" s="34"/>
      <c r="I6" s="6"/>
      <c r="K6" s="4"/>
    </row>
    <row r="7" spans="1:11" s="1" customFormat="1">
      <c r="A7" s="10"/>
      <c r="B7" s="14"/>
      <c r="C7" s="10"/>
      <c r="D7" s="30"/>
      <c r="E7" s="25"/>
      <c r="F7" s="19"/>
      <c r="G7" s="6"/>
      <c r="H7" s="34"/>
      <c r="I7" s="6"/>
    </row>
    <row r="8" spans="1:11" s="1" customFormat="1">
      <c r="A8" s="10"/>
      <c r="B8" s="14"/>
      <c r="C8" s="9"/>
      <c r="D8" s="30"/>
      <c r="E8" s="25"/>
      <c r="F8" s="47"/>
      <c r="G8" s="86"/>
      <c r="H8" s="34"/>
      <c r="I8" s="6"/>
    </row>
    <row r="9" spans="1:11" s="1" customFormat="1">
      <c r="A9" s="10"/>
      <c r="B9" s="14"/>
      <c r="C9" s="9" t="s">
        <v>49</v>
      </c>
      <c r="D9" s="30"/>
      <c r="E9" s="25"/>
      <c r="F9" s="19"/>
      <c r="G9" s="6"/>
      <c r="H9" s="34"/>
      <c r="I9" s="6" t="s">
        <v>237</v>
      </c>
    </row>
    <row r="10" spans="1:11" s="1" customFormat="1">
      <c r="A10" s="10"/>
      <c r="B10" s="14"/>
      <c r="C10" s="9" t="s">
        <v>50</v>
      </c>
      <c r="D10" s="30"/>
      <c r="E10" s="25"/>
      <c r="F10" s="19"/>
      <c r="G10" s="6"/>
      <c r="H10" s="34">
        <v>946.8</v>
      </c>
      <c r="I10" s="6" t="s">
        <v>483</v>
      </c>
    </row>
    <row r="11" spans="1:11" s="1" customFormat="1">
      <c r="A11" s="10"/>
      <c r="B11" s="14"/>
      <c r="C11" s="9"/>
      <c r="D11" s="30"/>
      <c r="E11" s="25"/>
      <c r="F11" s="19"/>
      <c r="G11" s="6"/>
      <c r="H11" s="34"/>
      <c r="I11" s="6"/>
    </row>
    <row r="12" spans="1:11" s="1" customFormat="1">
      <c r="A12" s="12" t="s">
        <v>4</v>
      </c>
      <c r="B12" s="10"/>
      <c r="C12" s="9"/>
      <c r="D12" s="20">
        <f>SUM(D2:D10)</f>
        <v>0</v>
      </c>
      <c r="E12" s="26"/>
      <c r="F12" s="20">
        <f>SUM(F2:F10)</f>
        <v>143.01</v>
      </c>
      <c r="G12" s="6"/>
      <c r="H12" s="20">
        <f>SUM(H2:H11)</f>
        <v>946.8</v>
      </c>
      <c r="I12" s="2"/>
    </row>
    <row r="13" spans="1:11" s="1" customFormat="1" ht="15.75" thickBot="1">
      <c r="A13" s="13" t="s">
        <v>5</v>
      </c>
      <c r="B13" s="39">
        <f>SUM(F12+D12+H12)</f>
        <v>1089.81</v>
      </c>
      <c r="C13" s="38"/>
      <c r="D13" s="32"/>
      <c r="E13" s="27"/>
      <c r="F13" s="21"/>
      <c r="G13" s="22"/>
      <c r="H13" s="37"/>
      <c r="I13" s="3"/>
    </row>
    <row r="14" spans="1:11" s="1" customFormat="1">
      <c r="A14" s="9" t="s">
        <v>411</v>
      </c>
      <c r="B14" s="1" t="s">
        <v>417</v>
      </c>
      <c r="C14" s="9" t="s">
        <v>28</v>
      </c>
      <c r="D14" s="28">
        <f>21.17</f>
        <v>21.17</v>
      </c>
      <c r="E14" s="24" t="s">
        <v>74</v>
      </c>
      <c r="F14" s="15">
        <f>2.7+62.2</f>
        <v>64.900000000000006</v>
      </c>
      <c r="G14" s="16" t="s">
        <v>357</v>
      </c>
      <c r="H14" s="33">
        <v>349.52</v>
      </c>
      <c r="I14" s="5" t="s">
        <v>455</v>
      </c>
    </row>
    <row r="15" spans="1:11" s="1" customFormat="1">
      <c r="A15" s="9"/>
      <c r="C15" s="10"/>
      <c r="D15" s="29">
        <f>6.31+6.28+52.29</f>
        <v>64.88</v>
      </c>
      <c r="E15" s="24" t="s">
        <v>47</v>
      </c>
      <c r="F15" s="17">
        <f>7.97*2</f>
        <v>15.94</v>
      </c>
      <c r="G15" s="18" t="s">
        <v>35</v>
      </c>
      <c r="H15" s="34"/>
      <c r="I15" s="6"/>
    </row>
    <row r="16" spans="1:11" s="1" customFormat="1">
      <c r="A16" s="9"/>
      <c r="C16" s="10"/>
      <c r="D16" s="29">
        <f>109.88</f>
        <v>109.88</v>
      </c>
      <c r="E16" s="24" t="s">
        <v>386</v>
      </c>
      <c r="F16" s="17"/>
      <c r="G16" s="18"/>
      <c r="H16" s="34"/>
      <c r="I16" s="6"/>
    </row>
    <row r="17" spans="1:9" s="1" customFormat="1" ht="45">
      <c r="A17" s="9"/>
      <c r="C17" s="49" t="s">
        <v>444</v>
      </c>
      <c r="D17" s="29">
        <f>6.27+3.42+4.92+6.28+10.46+24.39+15.55</f>
        <v>71.290000000000006</v>
      </c>
      <c r="E17" s="24" t="s">
        <v>158</v>
      </c>
      <c r="F17" s="17">
        <f>42+40</f>
        <v>82</v>
      </c>
      <c r="G17" s="18" t="s">
        <v>39</v>
      </c>
      <c r="H17" s="34">
        <v>649.71</v>
      </c>
      <c r="I17" s="6" t="s">
        <v>188</v>
      </c>
    </row>
    <row r="18" spans="1:9" s="1" customFormat="1">
      <c r="A18" s="9"/>
      <c r="C18" s="10"/>
      <c r="D18" s="29">
        <f>5.09+2.55+128.32+27.46+12.94</f>
        <v>176.35999999999999</v>
      </c>
      <c r="E18" s="24" t="s">
        <v>443</v>
      </c>
      <c r="F18" s="17">
        <f>6.6+10.45</f>
        <v>17.049999999999997</v>
      </c>
      <c r="G18" s="18" t="s">
        <v>440</v>
      </c>
      <c r="H18" s="34"/>
      <c r="I18" s="6"/>
    </row>
    <row r="19" spans="1:9" s="1" customFormat="1">
      <c r="A19" s="9"/>
      <c r="C19" s="10"/>
      <c r="D19" s="72">
        <f>151.51+53.68+20.18</f>
        <v>225.37</v>
      </c>
      <c r="E19" s="73" t="s">
        <v>445</v>
      </c>
      <c r="F19" s="89">
        <v>182.7</v>
      </c>
      <c r="G19" s="88" t="s">
        <v>441</v>
      </c>
      <c r="H19" s="34"/>
      <c r="I19" s="6"/>
    </row>
    <row r="20" spans="1:9" s="1" customFormat="1">
      <c r="A20" s="9"/>
      <c r="C20" s="10"/>
      <c r="D20" s="72">
        <f>50.5+50.5+50.45+50.5+51.13+51.13</f>
        <v>304.20999999999998</v>
      </c>
      <c r="E20" s="73" t="s">
        <v>68</v>
      </c>
      <c r="F20" s="47">
        <f>15.69+4.51</f>
        <v>20.2</v>
      </c>
      <c r="G20" s="48" t="s">
        <v>442</v>
      </c>
      <c r="H20" s="34"/>
      <c r="I20" s="6"/>
    </row>
    <row r="21" spans="1:9" s="1" customFormat="1">
      <c r="A21" s="9"/>
      <c r="C21" s="10"/>
      <c r="D21" s="72">
        <v>17.66</v>
      </c>
      <c r="E21" s="73" t="s">
        <v>446</v>
      </c>
      <c r="F21" s="47"/>
      <c r="G21" s="48"/>
      <c r="H21" s="34"/>
      <c r="I21" s="6"/>
    </row>
    <row r="22" spans="1:9" s="1" customFormat="1">
      <c r="A22" s="9"/>
      <c r="C22" s="10" t="s">
        <v>412</v>
      </c>
      <c r="D22" s="29">
        <v>21.35</v>
      </c>
      <c r="E22" s="24" t="s">
        <v>74</v>
      </c>
      <c r="F22" s="17">
        <v>15.39</v>
      </c>
      <c r="G22" s="18" t="s">
        <v>41</v>
      </c>
      <c r="H22" s="34">
        <f>215.04+56.63</f>
        <v>271.67</v>
      </c>
      <c r="I22" s="6" t="s">
        <v>240</v>
      </c>
    </row>
    <row r="23" spans="1:9" s="1" customFormat="1">
      <c r="A23" s="9"/>
      <c r="C23" s="10" t="s">
        <v>413</v>
      </c>
      <c r="D23" s="29">
        <v>21.5</v>
      </c>
      <c r="E23" s="24" t="s">
        <v>74</v>
      </c>
      <c r="F23" s="17">
        <f>10.85+7.6+3.34</f>
        <v>21.79</v>
      </c>
      <c r="G23" s="18" t="s">
        <v>47</v>
      </c>
      <c r="H23" s="34"/>
      <c r="I23" s="6"/>
    </row>
    <row r="24" spans="1:9" s="1" customFormat="1">
      <c r="A24" s="9"/>
      <c r="C24" s="10"/>
      <c r="D24" s="29">
        <f>23.82+3.06</f>
        <v>26.88</v>
      </c>
      <c r="E24" s="24" t="s">
        <v>39</v>
      </c>
      <c r="F24" s="17"/>
      <c r="G24" s="18"/>
      <c r="H24" s="34"/>
      <c r="I24" s="6"/>
    </row>
    <row r="25" spans="1:9" s="1" customFormat="1">
      <c r="A25" s="9"/>
      <c r="C25" s="10"/>
      <c r="D25" s="29"/>
      <c r="E25" s="24"/>
      <c r="F25" s="17"/>
      <c r="G25" s="18"/>
      <c r="H25" s="34"/>
      <c r="I25" s="6"/>
    </row>
    <row r="26" spans="1:9" s="1" customFormat="1">
      <c r="A26" s="9"/>
      <c r="C26" s="10"/>
      <c r="D26" s="29"/>
      <c r="E26" s="24"/>
      <c r="F26" s="17"/>
      <c r="G26" s="18"/>
      <c r="H26" s="34"/>
      <c r="I26" s="6"/>
    </row>
    <row r="27" spans="1:9" s="1" customFormat="1">
      <c r="A27" s="9"/>
      <c r="B27" s="59"/>
      <c r="C27" s="9" t="s">
        <v>49</v>
      </c>
      <c r="D27" s="29"/>
      <c r="E27" s="24"/>
      <c r="F27" s="47"/>
      <c r="G27" s="48"/>
      <c r="H27" s="87">
        <v>4917.25</v>
      </c>
      <c r="I27" s="6" t="s">
        <v>517</v>
      </c>
    </row>
    <row r="28" spans="1:9" s="1" customFormat="1">
      <c r="A28" s="9"/>
      <c r="B28" s="59"/>
      <c r="C28" s="9" t="s">
        <v>50</v>
      </c>
      <c r="D28" s="29"/>
      <c r="E28" s="24"/>
      <c r="F28" s="47"/>
      <c r="G28" s="48"/>
      <c r="H28" s="34">
        <f>839.1+437.58</f>
        <v>1276.68</v>
      </c>
      <c r="I28" s="6" t="s">
        <v>462</v>
      </c>
    </row>
    <row r="29" spans="1:9" s="1" customFormat="1">
      <c r="A29" s="9"/>
      <c r="B29" s="59"/>
      <c r="C29" s="9"/>
      <c r="D29" s="29"/>
      <c r="E29" s="24"/>
      <c r="F29" s="47"/>
      <c r="G29" s="48"/>
      <c r="H29" s="34">
        <v>100</v>
      </c>
      <c r="I29" s="6" t="s">
        <v>493</v>
      </c>
    </row>
    <row r="30" spans="1:9" s="1" customFormat="1">
      <c r="A30" s="12" t="s">
        <v>4</v>
      </c>
      <c r="B30" s="10"/>
      <c r="C30" s="10"/>
      <c r="D30" s="31">
        <f>SUM(D14:D28)</f>
        <v>1060.5500000000002</v>
      </c>
      <c r="E30" s="26"/>
      <c r="F30" s="20">
        <f>SUM(F14:F28)</f>
        <v>419.96999999999997</v>
      </c>
      <c r="G30" s="6"/>
      <c r="H30" s="36">
        <f>SUM(H14:H28)</f>
        <v>7464.83</v>
      </c>
      <c r="I30" s="2"/>
    </row>
    <row r="31" spans="1:9" s="1" customFormat="1" ht="15.75" thickBot="1">
      <c r="A31" s="13" t="s">
        <v>5</v>
      </c>
      <c r="B31" s="39">
        <f>SUM(F30+D30+H30)</f>
        <v>8945.35</v>
      </c>
      <c r="C31" s="38"/>
      <c r="D31" s="32"/>
      <c r="E31" s="27"/>
      <c r="F31" s="21"/>
      <c r="G31" s="22"/>
      <c r="H31" s="37"/>
      <c r="I31" s="3"/>
    </row>
    <row r="32" spans="1:9" s="1" customFormat="1">
      <c r="A32" s="9" t="s">
        <v>414</v>
      </c>
      <c r="B32" s="1" t="s">
        <v>416</v>
      </c>
      <c r="C32" s="9" t="s">
        <v>147</v>
      </c>
      <c r="D32" s="72"/>
      <c r="E32" s="73"/>
      <c r="F32" s="72"/>
      <c r="G32" s="73"/>
      <c r="H32" s="74"/>
      <c r="I32" s="75"/>
    </row>
    <row r="33" spans="2:9" s="1" customFormat="1">
      <c r="B33" s="78"/>
      <c r="C33" s="9"/>
      <c r="D33" s="72"/>
      <c r="E33" s="73"/>
      <c r="F33" s="72"/>
      <c r="G33" s="73"/>
      <c r="H33" s="34"/>
      <c r="I33" s="2"/>
    </row>
    <row r="34" spans="2:9" s="1" customFormat="1">
      <c r="B34" s="10"/>
      <c r="C34" s="9" t="s">
        <v>9</v>
      </c>
      <c r="D34" s="29">
        <f>50</f>
        <v>50</v>
      </c>
      <c r="E34" s="24" t="s">
        <v>238</v>
      </c>
      <c r="F34" s="90">
        <f>14.8+4.96</f>
        <v>19.760000000000002</v>
      </c>
      <c r="G34" s="91" t="s">
        <v>31</v>
      </c>
      <c r="H34" s="34">
        <f>260.87+188.3</f>
        <v>449.17</v>
      </c>
      <c r="I34" s="2" t="s">
        <v>528</v>
      </c>
    </row>
    <row r="35" spans="2:9" s="1" customFormat="1">
      <c r="B35" s="10"/>
      <c r="C35" s="9"/>
      <c r="D35" s="90">
        <f>8.5+6.57+27.18+31.8</f>
        <v>74.05</v>
      </c>
      <c r="E35" s="91" t="s">
        <v>41</v>
      </c>
      <c r="F35" s="47">
        <f>70+22</f>
        <v>92</v>
      </c>
      <c r="G35" s="48" t="s">
        <v>34</v>
      </c>
      <c r="H35" s="74"/>
      <c r="I35" s="75"/>
    </row>
    <row r="36" spans="2:9" s="1" customFormat="1">
      <c r="B36" s="10"/>
      <c r="C36" s="9"/>
      <c r="D36" s="90">
        <f>4.63</f>
        <v>4.63</v>
      </c>
      <c r="E36" s="91" t="s">
        <v>34</v>
      </c>
      <c r="F36" s="47"/>
      <c r="G36" s="48"/>
      <c r="H36" s="74"/>
      <c r="I36" s="75"/>
    </row>
    <row r="37" spans="2:9" s="1" customFormat="1">
      <c r="B37" s="10"/>
      <c r="C37" s="9"/>
      <c r="D37" s="90">
        <f>117.35+11.35+11.07+6.44+1.53</f>
        <v>147.73999999999998</v>
      </c>
      <c r="E37" s="91" t="s">
        <v>527</v>
      </c>
      <c r="F37" s="47"/>
      <c r="G37" s="48"/>
      <c r="H37" s="74"/>
      <c r="I37" s="75"/>
    </row>
    <row r="38" spans="2:9" s="1" customFormat="1">
      <c r="B38" s="10"/>
      <c r="C38" s="10" t="s">
        <v>102</v>
      </c>
      <c r="D38" s="90">
        <f>62.02+473.4</f>
        <v>535.41999999999996</v>
      </c>
      <c r="E38" s="91" t="s">
        <v>181</v>
      </c>
      <c r="F38" s="17">
        <f>19.5+12.8</f>
        <v>32.299999999999997</v>
      </c>
      <c r="G38" s="18" t="s">
        <v>39</v>
      </c>
      <c r="H38" s="87">
        <v>42.52</v>
      </c>
      <c r="I38" s="103" t="s">
        <v>174</v>
      </c>
    </row>
    <row r="39" spans="2:9" s="1" customFormat="1">
      <c r="B39" s="10"/>
      <c r="C39" s="10"/>
      <c r="D39" s="90">
        <f>7.9+14.62+4.54</f>
        <v>27.06</v>
      </c>
      <c r="E39" s="91" t="s">
        <v>69</v>
      </c>
      <c r="F39" s="17">
        <v>25.2</v>
      </c>
      <c r="G39" s="18" t="s">
        <v>31</v>
      </c>
      <c r="H39" s="81"/>
      <c r="I39" s="82"/>
    </row>
    <row r="40" spans="2:9" s="1" customFormat="1">
      <c r="B40" s="10"/>
      <c r="C40" s="10" t="s">
        <v>8</v>
      </c>
      <c r="D40" s="90">
        <f>1.01+22.47</f>
        <v>23.48</v>
      </c>
      <c r="E40" s="91" t="s">
        <v>178</v>
      </c>
      <c r="F40" s="17">
        <f>35+20</f>
        <v>55</v>
      </c>
      <c r="G40" s="18" t="s">
        <v>39</v>
      </c>
      <c r="H40" s="87">
        <v>33.9</v>
      </c>
      <c r="I40" s="103" t="s">
        <v>174</v>
      </c>
    </row>
    <row r="41" spans="2:9" s="1" customFormat="1">
      <c r="B41" s="10"/>
      <c r="C41" s="10"/>
      <c r="D41" s="90">
        <v>40.54</v>
      </c>
      <c r="E41" s="91" t="s">
        <v>457</v>
      </c>
      <c r="F41" s="17">
        <v>2.7</v>
      </c>
      <c r="G41" s="18" t="s">
        <v>122</v>
      </c>
      <c r="H41" s="81"/>
      <c r="I41" s="82"/>
    </row>
    <row r="42" spans="2:9" s="1" customFormat="1">
      <c r="B42" s="10"/>
      <c r="C42" s="10" t="s">
        <v>21</v>
      </c>
      <c r="D42" s="72"/>
      <c r="E42" s="73"/>
      <c r="F42" s="17">
        <v>75</v>
      </c>
      <c r="G42" s="18" t="s">
        <v>34</v>
      </c>
      <c r="H42" s="81"/>
      <c r="I42" s="82"/>
    </row>
    <row r="43" spans="2:9" s="1" customFormat="1">
      <c r="B43" s="10"/>
      <c r="C43" s="10"/>
      <c r="D43" s="72"/>
      <c r="E43" s="73"/>
      <c r="F43" s="17">
        <v>11.59</v>
      </c>
      <c r="G43" s="18" t="s">
        <v>35</v>
      </c>
      <c r="H43" s="81"/>
      <c r="I43" s="82"/>
    </row>
    <row r="44" spans="2:9" s="1" customFormat="1">
      <c r="B44" s="10"/>
      <c r="C44" s="10" t="s">
        <v>228</v>
      </c>
      <c r="D44" s="72"/>
      <c r="E44" s="73"/>
      <c r="F44" s="17">
        <f>2.2+2.2+2.2</f>
        <v>6.6000000000000005</v>
      </c>
      <c r="G44" s="18" t="s">
        <v>72</v>
      </c>
      <c r="H44" s="81"/>
      <c r="I44" s="82"/>
    </row>
    <row r="45" spans="2:9" s="1" customFormat="1">
      <c r="B45" s="10"/>
      <c r="C45" s="10"/>
      <c r="D45" s="72"/>
      <c r="E45" s="73"/>
      <c r="F45" s="17"/>
      <c r="G45" s="18"/>
      <c r="H45" s="81"/>
      <c r="I45" s="82"/>
    </row>
    <row r="46" spans="2:9" s="1" customFormat="1">
      <c r="B46" s="10"/>
      <c r="C46" s="10" t="s">
        <v>103</v>
      </c>
      <c r="D46" s="90"/>
      <c r="E46" s="91"/>
      <c r="F46" s="90">
        <v>480</v>
      </c>
      <c r="G46" s="91" t="s">
        <v>447</v>
      </c>
      <c r="H46" s="81"/>
      <c r="I46" s="82"/>
    </row>
    <row r="47" spans="2:9" s="1" customFormat="1">
      <c r="B47" s="10"/>
      <c r="C47" s="9"/>
      <c r="D47" s="79"/>
      <c r="E47" s="80"/>
      <c r="F47" s="17">
        <v>25</v>
      </c>
      <c r="G47" s="18" t="s">
        <v>39</v>
      </c>
      <c r="H47" s="34"/>
      <c r="I47" s="2"/>
    </row>
    <row r="48" spans="2:9" s="1" customFormat="1">
      <c r="B48" s="77"/>
      <c r="C48" s="9"/>
      <c r="D48" s="79"/>
      <c r="E48" s="80"/>
      <c r="F48" s="17">
        <v>33</v>
      </c>
      <c r="G48" s="18" t="s">
        <v>448</v>
      </c>
      <c r="H48" s="34"/>
      <c r="I48" s="2"/>
    </row>
    <row r="49" spans="1:9" s="1" customFormat="1">
      <c r="B49" s="77"/>
      <c r="C49" s="9"/>
      <c r="D49" s="79"/>
      <c r="E49" s="80"/>
      <c r="F49" s="17"/>
      <c r="G49" s="18"/>
      <c r="H49" s="34"/>
      <c r="I49" s="2"/>
    </row>
    <row r="50" spans="1:9" s="1" customFormat="1">
      <c r="A50" s="9"/>
      <c r="B50" s="59"/>
      <c r="C50" s="9" t="s">
        <v>49</v>
      </c>
      <c r="D50" s="29"/>
      <c r="E50" s="24"/>
      <c r="F50" s="17"/>
      <c r="G50" s="18"/>
      <c r="H50" s="87">
        <v>4789.9399999999996</v>
      </c>
      <c r="I50" s="6" t="s">
        <v>517</v>
      </c>
    </row>
    <row r="51" spans="1:9" s="1" customFormat="1">
      <c r="A51" s="9"/>
      <c r="B51" s="59"/>
      <c r="C51" s="9" t="s">
        <v>50</v>
      </c>
      <c r="D51" s="29"/>
      <c r="E51" s="24"/>
      <c r="F51" s="17"/>
      <c r="G51" s="18"/>
      <c r="H51" s="34">
        <f>1014.37+1015.37+1015.37+1015.37+1015.37-746.61+5214.56</f>
        <v>9543.8000000000011</v>
      </c>
      <c r="I51" s="2" t="s">
        <v>461</v>
      </c>
    </row>
    <row r="52" spans="1:9" s="1" customFormat="1">
      <c r="A52" s="9"/>
      <c r="B52" s="59"/>
      <c r="C52" s="9"/>
      <c r="D52" s="29"/>
      <c r="E52" s="24"/>
      <c r="F52" s="17"/>
      <c r="G52" s="18"/>
      <c r="H52" s="34">
        <f>180</f>
        <v>180</v>
      </c>
      <c r="I52" s="2" t="s">
        <v>186</v>
      </c>
    </row>
    <row r="53" spans="1:9" s="1" customFormat="1">
      <c r="A53" s="12" t="s">
        <v>4</v>
      </c>
      <c r="B53" s="10"/>
      <c r="C53" s="10"/>
      <c r="D53" s="31">
        <f>SUM(D32:D51)</f>
        <v>902.91999999999985</v>
      </c>
      <c r="E53" s="26"/>
      <c r="F53" s="20">
        <f>SUM(F32:F51)</f>
        <v>858.15</v>
      </c>
      <c r="G53" s="6"/>
      <c r="H53" s="36">
        <f>SUM(H32:H51)</f>
        <v>14859.330000000002</v>
      </c>
      <c r="I53" s="2"/>
    </row>
    <row r="54" spans="1:9" s="1" customFormat="1" ht="15.75" thickBot="1">
      <c r="A54" s="13" t="s">
        <v>5</v>
      </c>
      <c r="B54" s="39">
        <f>SUM(F53+D53+H53)</f>
        <v>16620.400000000001</v>
      </c>
      <c r="C54" s="38"/>
      <c r="D54" s="32"/>
      <c r="E54" s="27"/>
      <c r="F54" s="21"/>
      <c r="G54" s="22"/>
      <c r="H54" s="37"/>
      <c r="I54" s="3"/>
    </row>
    <row r="55" spans="1:9" s="1" customFormat="1">
      <c r="A55" s="9" t="s">
        <v>415</v>
      </c>
      <c r="B55" s="1" t="s">
        <v>420</v>
      </c>
      <c r="C55" s="9" t="s">
        <v>8</v>
      </c>
      <c r="D55" s="29">
        <f>3.56+141.77+19.49+61.82+2.69+102.39</f>
        <v>331.72</v>
      </c>
      <c r="E55" s="24" t="s">
        <v>75</v>
      </c>
      <c r="F55" s="17"/>
      <c r="G55" s="18"/>
      <c r="H55" s="34">
        <f>248.48</f>
        <v>248.48</v>
      </c>
      <c r="I55" s="6" t="s">
        <v>174</v>
      </c>
    </row>
    <row r="56" spans="1:9" s="1" customFormat="1">
      <c r="B56" s="10"/>
      <c r="C56" s="9"/>
      <c r="D56" s="29">
        <f>16.98+6.38+9.63+2.33+1.55+1.92</f>
        <v>38.79</v>
      </c>
      <c r="E56" s="24" t="s">
        <v>458</v>
      </c>
      <c r="F56" s="17"/>
      <c r="G56" s="18"/>
      <c r="H56" s="34"/>
      <c r="I56" s="2"/>
    </row>
    <row r="57" spans="1:9" s="1" customFormat="1">
      <c r="B57" s="10"/>
      <c r="C57" s="9" t="s">
        <v>195</v>
      </c>
      <c r="D57" s="29">
        <v>10.87</v>
      </c>
      <c r="E57" s="24" t="s">
        <v>433</v>
      </c>
      <c r="F57" s="17">
        <v>31</v>
      </c>
      <c r="G57" s="18" t="s">
        <v>41</v>
      </c>
      <c r="H57" s="34">
        <v>96.76</v>
      </c>
      <c r="I57" s="2" t="s">
        <v>188</v>
      </c>
    </row>
    <row r="58" spans="1:9" s="1" customFormat="1">
      <c r="B58" s="10"/>
      <c r="C58" s="9"/>
      <c r="D58" s="29">
        <f>35.07+18.46+147.34+112.02</f>
        <v>312.89</v>
      </c>
      <c r="E58" s="24" t="s">
        <v>137</v>
      </c>
      <c r="F58" s="17">
        <v>42.5</v>
      </c>
      <c r="G58" s="18" t="s">
        <v>238</v>
      </c>
      <c r="H58" s="34"/>
      <c r="I58" s="2"/>
    </row>
    <row r="59" spans="1:9" s="1" customFormat="1">
      <c r="B59" s="10"/>
      <c r="C59" s="9"/>
      <c r="D59" s="29">
        <v>2.87</v>
      </c>
      <c r="E59" s="24" t="s">
        <v>34</v>
      </c>
      <c r="F59" s="17"/>
      <c r="G59" s="18"/>
      <c r="H59" s="34"/>
      <c r="I59" s="2"/>
    </row>
    <row r="60" spans="1:9" s="1" customFormat="1">
      <c r="B60" s="10"/>
      <c r="C60" s="10"/>
      <c r="D60" s="29"/>
      <c r="E60" s="24"/>
      <c r="F60" s="17"/>
      <c r="G60" s="18"/>
      <c r="H60" s="34"/>
      <c r="I60" s="2"/>
    </row>
    <row r="61" spans="1:9" s="1" customFormat="1">
      <c r="A61" s="9"/>
      <c r="B61" s="9"/>
      <c r="C61" s="9"/>
      <c r="D61" s="29"/>
      <c r="E61" s="24"/>
      <c r="F61" s="17"/>
      <c r="G61" s="18"/>
      <c r="H61" s="34"/>
      <c r="I61" s="2"/>
    </row>
    <row r="62" spans="1:9" s="1" customFormat="1">
      <c r="A62" s="9"/>
      <c r="B62" s="9"/>
      <c r="C62" s="9"/>
      <c r="D62" s="29"/>
      <c r="E62" s="24"/>
      <c r="F62" s="17"/>
      <c r="G62" s="18"/>
      <c r="H62" s="34"/>
      <c r="I62" s="2"/>
    </row>
    <row r="63" spans="1:9" s="1" customFormat="1">
      <c r="A63" s="9"/>
      <c r="B63" s="59"/>
      <c r="C63" s="9" t="s">
        <v>49</v>
      </c>
      <c r="D63" s="29"/>
      <c r="E63" s="24"/>
      <c r="F63" s="17"/>
      <c r="G63" s="18"/>
      <c r="H63" s="34">
        <v>2336</v>
      </c>
      <c r="I63" s="2" t="s">
        <v>519</v>
      </c>
    </row>
    <row r="64" spans="1:9" s="1" customFormat="1">
      <c r="A64" s="9"/>
      <c r="B64" s="59"/>
      <c r="C64" s="9" t="s">
        <v>50</v>
      </c>
      <c r="D64" s="29"/>
      <c r="E64" s="24"/>
      <c r="F64" s="17"/>
      <c r="G64" s="18"/>
      <c r="H64" s="34">
        <v>1062.99</v>
      </c>
      <c r="I64" s="2" t="s">
        <v>483</v>
      </c>
    </row>
    <row r="65" spans="1:9" s="1" customFormat="1">
      <c r="A65" s="9"/>
      <c r="B65" s="59"/>
      <c r="C65" s="9"/>
      <c r="D65" s="29"/>
      <c r="E65" s="24"/>
      <c r="F65" s="17"/>
      <c r="G65" s="18"/>
      <c r="H65" s="34">
        <v>3354.92</v>
      </c>
      <c r="I65" s="2" t="s">
        <v>497</v>
      </c>
    </row>
    <row r="66" spans="1:9" s="1" customFormat="1">
      <c r="A66" s="12" t="s">
        <v>4</v>
      </c>
      <c r="B66" s="10"/>
      <c r="C66" s="10"/>
      <c r="D66" s="31">
        <f>SUM(D55:D64)</f>
        <v>697.14</v>
      </c>
      <c r="E66" s="26"/>
      <c r="F66" s="20">
        <f>SUM(F55:F64)</f>
        <v>73.5</v>
      </c>
      <c r="G66" s="6"/>
      <c r="H66" s="36">
        <f>SUM(H55:H65)</f>
        <v>7099.15</v>
      </c>
      <c r="I66" s="2"/>
    </row>
    <row r="67" spans="1:9" s="1" customFormat="1" ht="15.75" thickBot="1">
      <c r="A67" s="13" t="s">
        <v>5</v>
      </c>
      <c r="B67" s="39">
        <f>SUM(F66+D66+H66)</f>
        <v>7869.79</v>
      </c>
      <c r="C67" s="38"/>
      <c r="D67" s="32"/>
      <c r="E67" s="27"/>
      <c r="F67" s="21"/>
      <c r="G67" s="22"/>
      <c r="H67" s="37"/>
      <c r="I67" s="3"/>
    </row>
    <row r="68" spans="1:9" s="1" customFormat="1">
      <c r="A68" s="9" t="s">
        <v>418</v>
      </c>
      <c r="B68" s="1" t="s">
        <v>419</v>
      </c>
      <c r="C68" s="9" t="s">
        <v>8</v>
      </c>
      <c r="D68" s="28">
        <f>3.31+3.32+12.28+22.14</f>
        <v>41.05</v>
      </c>
      <c r="E68" s="23" t="s">
        <v>459</v>
      </c>
      <c r="F68" s="15"/>
      <c r="G68" s="16"/>
      <c r="H68" s="33">
        <v>46.16</v>
      </c>
      <c r="I68" s="5" t="s">
        <v>174</v>
      </c>
    </row>
    <row r="69" spans="1:9" s="1" customFormat="1">
      <c r="B69" s="10"/>
      <c r="C69" s="9"/>
      <c r="D69" s="29">
        <f>19.62+24.62+1.91+1.91</f>
        <v>48.059999999999995</v>
      </c>
      <c r="E69" s="24" t="s">
        <v>460</v>
      </c>
      <c r="F69" s="17"/>
      <c r="G69" s="18"/>
      <c r="H69" s="34"/>
      <c r="I69" s="6"/>
    </row>
    <row r="70" spans="1:9" s="1" customFormat="1">
      <c r="B70" s="10"/>
      <c r="C70" s="9" t="s">
        <v>195</v>
      </c>
      <c r="D70" s="29">
        <f>160.97+2.05</f>
        <v>163.02000000000001</v>
      </c>
      <c r="E70" s="24" t="s">
        <v>107</v>
      </c>
      <c r="F70" s="17"/>
      <c r="G70" s="18"/>
      <c r="H70" s="34"/>
      <c r="I70" s="6"/>
    </row>
    <row r="71" spans="1:9" s="1" customFormat="1">
      <c r="A71" s="9"/>
      <c r="B71" s="9"/>
      <c r="C71" s="10"/>
      <c r="D71" s="29">
        <f>3.82+1.92</f>
        <v>5.74</v>
      </c>
      <c r="E71" s="24" t="s">
        <v>140</v>
      </c>
      <c r="F71" s="17"/>
      <c r="G71" s="18"/>
      <c r="H71" s="34"/>
      <c r="I71" s="6"/>
    </row>
    <row r="72" spans="1:9" s="1" customFormat="1">
      <c r="A72" s="9"/>
      <c r="B72" s="9"/>
      <c r="C72" s="10"/>
      <c r="D72" s="29"/>
      <c r="E72" s="24"/>
      <c r="F72" s="17"/>
      <c r="G72" s="18"/>
      <c r="H72" s="34"/>
      <c r="I72" s="6"/>
    </row>
    <row r="73" spans="1:9" s="1" customFormat="1">
      <c r="A73" s="9"/>
      <c r="B73" s="9"/>
      <c r="C73" s="10"/>
      <c r="D73" s="29"/>
      <c r="E73" s="24"/>
      <c r="F73" s="17"/>
      <c r="G73" s="18"/>
      <c r="H73" s="34"/>
      <c r="I73" s="6"/>
    </row>
    <row r="74" spans="1:9" s="1" customFormat="1">
      <c r="A74" s="9"/>
      <c r="B74" s="9"/>
      <c r="C74" s="9" t="s">
        <v>49</v>
      </c>
      <c r="D74" s="29"/>
      <c r="E74" s="24"/>
      <c r="F74" s="17"/>
      <c r="G74" s="18"/>
      <c r="H74" s="87">
        <v>686.14</v>
      </c>
      <c r="I74" s="2" t="s">
        <v>518</v>
      </c>
    </row>
    <row r="75" spans="1:9" s="1" customFormat="1">
      <c r="A75" s="9"/>
      <c r="B75" s="9"/>
      <c r="C75" s="9" t="s">
        <v>50</v>
      </c>
      <c r="D75" s="29"/>
      <c r="E75" s="24"/>
      <c r="F75" s="17"/>
      <c r="G75" s="18"/>
      <c r="H75" s="34">
        <v>2989.63</v>
      </c>
      <c r="I75" s="2" t="s">
        <v>497</v>
      </c>
    </row>
    <row r="76" spans="1:9" s="1" customFormat="1">
      <c r="A76" s="9"/>
      <c r="B76" s="59"/>
      <c r="C76" s="9"/>
      <c r="D76" s="29"/>
      <c r="E76" s="24"/>
      <c r="F76" s="17"/>
      <c r="G76" s="18"/>
      <c r="H76" s="34"/>
      <c r="I76" s="2"/>
    </row>
    <row r="77" spans="1:9" s="1" customFormat="1">
      <c r="A77" s="9"/>
      <c r="B77" s="59"/>
      <c r="C77" s="9"/>
      <c r="D77" s="29"/>
      <c r="E77" s="24"/>
      <c r="F77" s="17"/>
      <c r="G77" s="18"/>
      <c r="H77" s="34"/>
      <c r="I77" s="2"/>
    </row>
    <row r="78" spans="1:9">
      <c r="A78" s="12" t="s">
        <v>4</v>
      </c>
      <c r="B78" s="10"/>
      <c r="C78" s="10"/>
      <c r="D78" s="31">
        <f>SUM(D68:D77)</f>
        <v>257.87</v>
      </c>
      <c r="E78" s="26"/>
      <c r="F78" s="20">
        <f>SUM(F68:F77)</f>
        <v>0</v>
      </c>
      <c r="G78" s="6"/>
      <c r="H78" s="36">
        <f>SUM(H68:H77)</f>
        <v>3721.9300000000003</v>
      </c>
      <c r="I78" s="18"/>
    </row>
    <row r="79" spans="1:9" ht="15.75" thickBot="1">
      <c r="A79" s="13" t="s">
        <v>5</v>
      </c>
      <c r="B79" s="39">
        <f>SUM(F78+D78+H78)</f>
        <v>3979.8</v>
      </c>
      <c r="C79" s="38"/>
      <c r="D79" s="32"/>
      <c r="E79" s="27"/>
      <c r="F79" s="21"/>
      <c r="G79" s="22"/>
      <c r="H79" s="37"/>
      <c r="I79" s="2"/>
    </row>
    <row r="80" spans="1:9" s="1" customFormat="1">
      <c r="A80" s="9" t="s">
        <v>422</v>
      </c>
      <c r="B80" s="1" t="s">
        <v>421</v>
      </c>
      <c r="C80" s="9" t="s">
        <v>8</v>
      </c>
      <c r="D80" s="28">
        <f>24.62</f>
        <v>24.62</v>
      </c>
      <c r="E80" s="23" t="s">
        <v>41</v>
      </c>
      <c r="F80" s="15"/>
      <c r="G80" s="16"/>
      <c r="H80" s="33">
        <v>58.49</v>
      </c>
      <c r="I80" s="5" t="s">
        <v>174</v>
      </c>
    </row>
    <row r="81" spans="1:9" s="1" customFormat="1">
      <c r="A81" s="9"/>
      <c r="B81" s="10"/>
      <c r="C81" s="9"/>
      <c r="D81" s="29">
        <f>169.61+20.38+18.17+17.88+13.5+12.14</f>
        <v>251.68</v>
      </c>
      <c r="E81" s="24" t="s">
        <v>75</v>
      </c>
      <c r="F81" s="17"/>
      <c r="G81" s="18"/>
      <c r="H81" s="34"/>
      <c r="I81" s="6"/>
    </row>
    <row r="82" spans="1:9" s="1" customFormat="1">
      <c r="A82" s="9" t="s">
        <v>423</v>
      </c>
      <c r="B82" s="10"/>
      <c r="C82" s="9" t="s">
        <v>195</v>
      </c>
      <c r="D82" s="29">
        <f>3.83+2.23+2.32</f>
        <v>8.3800000000000008</v>
      </c>
      <c r="E82" s="24" t="s">
        <v>437</v>
      </c>
      <c r="F82" s="17"/>
      <c r="G82" s="18"/>
      <c r="H82" s="34">
        <v>223.26</v>
      </c>
      <c r="I82" s="2" t="s">
        <v>188</v>
      </c>
    </row>
    <row r="83" spans="1:9" s="1" customFormat="1">
      <c r="A83" s="9"/>
      <c r="B83" s="59"/>
      <c r="C83" s="9"/>
      <c r="D83" s="29">
        <f>155.92+42.54+51.54+5.48+61.98+75.07+12.08+0.82+8.4</f>
        <v>413.82999999999993</v>
      </c>
      <c r="E83" s="24" t="s">
        <v>435</v>
      </c>
      <c r="F83" s="17"/>
      <c r="G83" s="18"/>
      <c r="H83" s="34"/>
      <c r="I83" s="2"/>
    </row>
    <row r="84" spans="1:9" s="1" customFormat="1">
      <c r="A84" s="9"/>
      <c r="B84" s="59"/>
      <c r="C84" s="9"/>
      <c r="D84" s="29">
        <f>15.68+1.17</f>
        <v>16.850000000000001</v>
      </c>
      <c r="E84" s="24" t="s">
        <v>434</v>
      </c>
      <c r="F84" s="17"/>
      <c r="G84" s="18"/>
      <c r="H84" s="34"/>
      <c r="I84" s="2"/>
    </row>
    <row r="85" spans="1:9" s="1" customFormat="1">
      <c r="A85" s="9"/>
      <c r="B85" s="59"/>
      <c r="C85" s="9"/>
      <c r="D85" s="29">
        <v>213.95</v>
      </c>
      <c r="E85" s="24" t="s">
        <v>436</v>
      </c>
      <c r="F85" s="17"/>
      <c r="G85" s="18"/>
      <c r="H85" s="34"/>
      <c r="I85" s="2"/>
    </row>
    <row r="86" spans="1:9" s="1" customFormat="1">
      <c r="A86" s="9"/>
      <c r="B86" s="59"/>
      <c r="C86" s="9" t="s">
        <v>147</v>
      </c>
      <c r="D86" s="29">
        <v>193</v>
      </c>
      <c r="E86" s="24" t="s">
        <v>107</v>
      </c>
      <c r="F86" s="17"/>
      <c r="G86" s="18"/>
      <c r="H86" s="34"/>
      <c r="I86" s="2"/>
    </row>
    <row r="87" spans="1:9" s="1" customFormat="1">
      <c r="A87" s="9"/>
      <c r="B87" s="59"/>
      <c r="C87" s="9"/>
      <c r="D87" s="29"/>
      <c r="E87" s="24"/>
      <c r="F87" s="17"/>
      <c r="G87" s="18"/>
      <c r="H87" s="34"/>
      <c r="I87" s="2"/>
    </row>
    <row r="88" spans="1:9" s="1" customFormat="1">
      <c r="A88" s="9"/>
      <c r="B88" s="59"/>
      <c r="C88" s="9" t="s">
        <v>49</v>
      </c>
      <c r="D88" s="29"/>
      <c r="E88" s="24"/>
      <c r="F88" s="17"/>
      <c r="G88" s="18"/>
      <c r="H88" s="34">
        <v>2990</v>
      </c>
      <c r="I88" s="2" t="s">
        <v>519</v>
      </c>
    </row>
    <row r="89" spans="1:9">
      <c r="A89" s="9"/>
      <c r="B89" s="59"/>
      <c r="C89" s="9" t="s">
        <v>50</v>
      </c>
      <c r="D89" s="29"/>
      <c r="E89" s="24"/>
      <c r="F89" s="47"/>
      <c r="G89" s="48"/>
      <c r="H89" s="34"/>
      <c r="I89" s="18"/>
    </row>
    <row r="90" spans="1:9">
      <c r="A90" s="9"/>
      <c r="B90" s="59"/>
      <c r="C90" s="9"/>
      <c r="D90" s="29"/>
      <c r="E90" s="24"/>
      <c r="F90" s="47"/>
      <c r="G90" s="48"/>
      <c r="H90" s="34"/>
      <c r="I90" s="18"/>
    </row>
    <row r="91" spans="1:9">
      <c r="A91" s="12" t="s">
        <v>4</v>
      </c>
      <c r="B91" s="10"/>
      <c r="C91" s="10"/>
      <c r="D91" s="31">
        <f>SUM(D80:D89)</f>
        <v>1122.31</v>
      </c>
      <c r="E91" s="26"/>
      <c r="F91" s="20">
        <f>SUM(F80:F89)</f>
        <v>0</v>
      </c>
      <c r="G91" s="6"/>
      <c r="H91" s="36">
        <f>SUM(H80:H89)</f>
        <v>3271.75</v>
      </c>
      <c r="I91" s="18"/>
    </row>
    <row r="92" spans="1:9" ht="15.75" thickBot="1">
      <c r="A92" s="13" t="s">
        <v>5</v>
      </c>
      <c r="B92" s="39">
        <f>SUM(F91+D91+H91)</f>
        <v>4394.0599999999995</v>
      </c>
      <c r="C92" s="38"/>
      <c r="D92" s="32"/>
      <c r="E92" s="27"/>
      <c r="F92" s="21"/>
      <c r="G92" s="22"/>
      <c r="H92" s="37"/>
      <c r="I92" s="2"/>
    </row>
    <row r="93" spans="1:9" s="1" customFormat="1">
      <c r="A93" s="9" t="s">
        <v>424</v>
      </c>
      <c r="B93" s="11" t="s">
        <v>227</v>
      </c>
      <c r="C93" s="9" t="s">
        <v>228</v>
      </c>
      <c r="D93" s="28"/>
      <c r="E93" s="23"/>
      <c r="F93" s="15">
        <v>22</v>
      </c>
      <c r="G93" s="16" t="s">
        <v>106</v>
      </c>
      <c r="H93" s="28"/>
      <c r="I93" s="40"/>
    </row>
    <row r="94" spans="1:9" s="1" customFormat="1">
      <c r="A94" s="9"/>
      <c r="B94" s="9"/>
      <c r="C94" s="10"/>
      <c r="D94" s="29"/>
      <c r="E94" s="24"/>
      <c r="F94" s="17">
        <f>1.1+1.5+2.2</f>
        <v>4.8000000000000007</v>
      </c>
      <c r="G94" s="18" t="s">
        <v>72</v>
      </c>
      <c r="H94" s="29"/>
      <c r="I94" s="6"/>
    </row>
    <row r="95" spans="1:9" s="1" customFormat="1">
      <c r="A95" s="9"/>
      <c r="B95" s="59"/>
      <c r="C95" s="9" t="s">
        <v>97</v>
      </c>
      <c r="D95" s="29">
        <f>5.4+6.56</f>
        <v>11.96</v>
      </c>
      <c r="E95" s="24" t="s">
        <v>41</v>
      </c>
      <c r="F95" s="17"/>
      <c r="G95" s="18"/>
      <c r="H95" s="29"/>
      <c r="I95" s="6"/>
    </row>
    <row r="96" spans="1:9" s="1" customFormat="1">
      <c r="A96" s="9"/>
      <c r="B96" s="59"/>
      <c r="C96" s="10"/>
      <c r="D96" s="29">
        <v>37.840000000000003</v>
      </c>
      <c r="E96" s="24" t="s">
        <v>72</v>
      </c>
      <c r="F96" s="17"/>
      <c r="G96" s="18"/>
      <c r="H96" s="29"/>
      <c r="I96" s="6"/>
    </row>
    <row r="97" spans="1:9" s="1" customFormat="1">
      <c r="A97" s="9" t="s">
        <v>520</v>
      </c>
      <c r="B97" s="59"/>
      <c r="C97" s="9" t="s">
        <v>103</v>
      </c>
      <c r="D97" s="29">
        <f>1150+21.74</f>
        <v>1171.74</v>
      </c>
      <c r="E97" s="24" t="s">
        <v>534</v>
      </c>
      <c r="F97" s="17"/>
      <c r="G97" s="18"/>
      <c r="H97" s="29">
        <f>1332.64+487.63</f>
        <v>1820.27</v>
      </c>
      <c r="I97" s="6" t="s">
        <v>240</v>
      </c>
    </row>
    <row r="98" spans="1:9" s="1" customFormat="1">
      <c r="A98" s="9"/>
      <c r="B98" s="59"/>
      <c r="C98" s="10"/>
      <c r="D98" s="29"/>
      <c r="E98" s="24"/>
      <c r="F98" s="17"/>
      <c r="G98" s="18"/>
      <c r="H98" s="29"/>
      <c r="I98" s="6"/>
    </row>
    <row r="99" spans="1:9" s="1" customFormat="1">
      <c r="A99" s="9"/>
      <c r="B99" s="59"/>
      <c r="C99" s="9" t="s">
        <v>49</v>
      </c>
      <c r="D99" s="29"/>
      <c r="E99" s="24"/>
      <c r="F99" s="17"/>
      <c r="G99" s="18"/>
      <c r="H99" s="29">
        <v>6409.49</v>
      </c>
      <c r="I99" s="6" t="s">
        <v>521</v>
      </c>
    </row>
    <row r="100" spans="1:9" s="1" customFormat="1">
      <c r="A100" s="9"/>
      <c r="B100" s="59"/>
      <c r="C100" s="9" t="s">
        <v>50</v>
      </c>
      <c r="D100" s="29"/>
      <c r="E100" s="24"/>
      <c r="F100" s="17"/>
      <c r="G100" s="18"/>
      <c r="H100" s="29">
        <f>6966.84+3483.42</f>
        <v>10450.26</v>
      </c>
      <c r="I100" s="2" t="s">
        <v>492</v>
      </c>
    </row>
    <row r="101" spans="1:9">
      <c r="A101" s="12" t="s">
        <v>4</v>
      </c>
      <c r="B101" s="10"/>
      <c r="C101" s="10"/>
      <c r="D101" s="31">
        <f>SUM(D93:D100)</f>
        <v>1221.54</v>
      </c>
      <c r="E101" s="26"/>
      <c r="F101" s="20">
        <f>SUM(F93:F100)</f>
        <v>26.8</v>
      </c>
      <c r="G101" s="6"/>
      <c r="H101" s="31">
        <f>SUM(H93:H100)</f>
        <v>18680.02</v>
      </c>
      <c r="I101" s="18"/>
    </row>
    <row r="102" spans="1:9" ht="15.75" thickBot="1">
      <c r="A102" s="13" t="s">
        <v>5</v>
      </c>
      <c r="B102" s="39">
        <f>SUM(F101+D101+H101)</f>
        <v>19928.36</v>
      </c>
      <c r="C102" s="38"/>
      <c r="D102" s="32"/>
      <c r="E102" s="27"/>
      <c r="F102" s="21"/>
      <c r="G102" s="22"/>
      <c r="H102" s="68"/>
      <c r="I102" s="3"/>
    </row>
    <row r="103" spans="1:9" s="1" customFormat="1">
      <c r="A103" s="9" t="s">
        <v>426</v>
      </c>
      <c r="B103" s="11" t="s">
        <v>425</v>
      </c>
      <c r="C103" s="9" t="s">
        <v>9</v>
      </c>
      <c r="D103" s="28">
        <v>145.93</v>
      </c>
      <c r="E103" s="23" t="s">
        <v>74</v>
      </c>
      <c r="F103" s="15">
        <f>34+24.5</f>
        <v>58.5</v>
      </c>
      <c r="G103" s="16" t="s">
        <v>34</v>
      </c>
      <c r="H103" s="28">
        <v>42.27</v>
      </c>
      <c r="I103" s="5" t="s">
        <v>174</v>
      </c>
    </row>
    <row r="104" spans="1:9" s="1" customFormat="1">
      <c r="A104" s="9"/>
      <c r="B104" s="9"/>
      <c r="C104" s="10"/>
      <c r="D104" s="29">
        <f>106.93+71.6</f>
        <v>178.53</v>
      </c>
      <c r="E104" s="24" t="s">
        <v>527</v>
      </c>
      <c r="F104" s="17">
        <f>35+23.7+6.65</f>
        <v>65.350000000000009</v>
      </c>
      <c r="G104" s="18" t="s">
        <v>524</v>
      </c>
      <c r="H104" s="29"/>
      <c r="I104" s="6"/>
    </row>
    <row r="105" spans="1:9" s="1" customFormat="1">
      <c r="A105" s="9"/>
      <c r="B105" s="59"/>
      <c r="C105" s="10"/>
      <c r="D105" s="29">
        <v>3.01</v>
      </c>
      <c r="E105" s="24" t="s">
        <v>41</v>
      </c>
      <c r="F105" s="17"/>
      <c r="G105" s="18"/>
      <c r="H105" s="29"/>
      <c r="I105" s="6"/>
    </row>
    <row r="106" spans="1:9" s="1" customFormat="1">
      <c r="A106" s="9"/>
      <c r="B106" s="59"/>
      <c r="C106" s="9" t="s">
        <v>93</v>
      </c>
      <c r="D106" s="29"/>
      <c r="E106" s="24"/>
      <c r="F106" s="17">
        <v>11</v>
      </c>
      <c r="G106" s="18" t="s">
        <v>438</v>
      </c>
      <c r="H106" s="29"/>
      <c r="I106" s="6"/>
    </row>
    <row r="107" spans="1:9" s="1" customFormat="1">
      <c r="A107" s="9"/>
      <c r="B107" s="59"/>
      <c r="C107" s="10"/>
      <c r="D107" s="29"/>
      <c r="E107" s="24"/>
      <c r="F107" s="17">
        <v>18</v>
      </c>
      <c r="G107" s="18" t="s">
        <v>439</v>
      </c>
      <c r="H107" s="29"/>
      <c r="I107" s="2"/>
    </row>
    <row r="108" spans="1:9" s="1" customFormat="1">
      <c r="A108" s="9"/>
      <c r="B108" s="59"/>
      <c r="C108" s="9" t="s">
        <v>49</v>
      </c>
      <c r="D108" s="29"/>
      <c r="E108" s="24"/>
      <c r="F108" s="17"/>
      <c r="G108" s="18"/>
      <c r="H108" s="29">
        <v>2740.11</v>
      </c>
      <c r="I108" s="2" t="s">
        <v>518</v>
      </c>
    </row>
    <row r="109" spans="1:9" s="1" customFormat="1">
      <c r="A109" s="9"/>
      <c r="B109" s="59"/>
      <c r="C109" s="9" t="s">
        <v>50</v>
      </c>
      <c r="D109" s="29"/>
      <c r="E109" s="24"/>
      <c r="F109" s="17"/>
      <c r="G109" s="18"/>
      <c r="H109" s="29">
        <v>3985.3</v>
      </c>
      <c r="I109" s="2" t="s">
        <v>495</v>
      </c>
    </row>
    <row r="110" spans="1:9">
      <c r="A110" s="12" t="s">
        <v>4</v>
      </c>
      <c r="B110" s="10"/>
      <c r="C110" s="10"/>
      <c r="D110" s="31">
        <f>SUM(D103:D109)</f>
        <v>327.47000000000003</v>
      </c>
      <c r="E110" s="26"/>
      <c r="F110" s="20">
        <f>SUM(F103:F109)</f>
        <v>152.85000000000002</v>
      </c>
      <c r="G110" s="6"/>
      <c r="H110" s="31">
        <f>SUM(H103:H109)</f>
        <v>6767.68</v>
      </c>
      <c r="I110" s="18"/>
    </row>
    <row r="111" spans="1:9" ht="15.75" thickBot="1">
      <c r="A111" s="13" t="s">
        <v>5</v>
      </c>
      <c r="B111" s="39">
        <f>SUM(F110+D110+H110)</f>
        <v>7248</v>
      </c>
      <c r="C111" s="38"/>
      <c r="D111" s="32"/>
      <c r="E111" s="27"/>
      <c r="F111" s="21"/>
      <c r="G111" s="22"/>
      <c r="H111" s="68"/>
      <c r="I111" s="3"/>
    </row>
    <row r="112" spans="1:9" s="1" customFormat="1">
      <c r="A112" s="71" t="s">
        <v>427</v>
      </c>
      <c r="B112" s="11" t="s">
        <v>428</v>
      </c>
      <c r="C112" s="9" t="s">
        <v>22</v>
      </c>
      <c r="D112" s="28">
        <f>11.85+13.32+25.43+25.43+55.95</f>
        <v>131.98000000000002</v>
      </c>
      <c r="E112" s="23" t="s">
        <v>529</v>
      </c>
      <c r="F112" s="15">
        <f>13.5+27+23.5+17</f>
        <v>81</v>
      </c>
      <c r="G112" s="16" t="s">
        <v>41</v>
      </c>
      <c r="H112" s="28">
        <v>390.61</v>
      </c>
      <c r="I112" s="5" t="s">
        <v>188</v>
      </c>
    </row>
    <row r="113" spans="1:9" s="1" customFormat="1">
      <c r="A113" s="71"/>
      <c r="B113" s="77"/>
      <c r="C113" s="9"/>
      <c r="D113" s="29"/>
      <c r="E113" s="24"/>
      <c r="F113" s="17">
        <f>6.1</f>
        <v>6.1</v>
      </c>
      <c r="G113" s="18" t="s">
        <v>110</v>
      </c>
      <c r="H113" s="29"/>
      <c r="I113" s="6"/>
    </row>
    <row r="114" spans="1:9" s="1" customFormat="1">
      <c r="A114" s="9"/>
      <c r="B114" s="59"/>
      <c r="C114" s="10" t="s">
        <v>28</v>
      </c>
      <c r="D114" s="29">
        <f>40.91</f>
        <v>40.909999999999997</v>
      </c>
      <c r="E114" s="24" t="s">
        <v>386</v>
      </c>
      <c r="F114" s="17">
        <v>29</v>
      </c>
      <c r="G114" s="70" t="s">
        <v>34</v>
      </c>
      <c r="H114" s="29"/>
      <c r="I114" s="6"/>
    </row>
    <row r="115" spans="1:9" s="1" customFormat="1">
      <c r="A115" s="9"/>
      <c r="B115" s="59"/>
      <c r="C115" s="10"/>
      <c r="D115" s="29">
        <v>13.16</v>
      </c>
      <c r="E115" s="24" t="s">
        <v>456</v>
      </c>
      <c r="F115" s="17">
        <v>7.97</v>
      </c>
      <c r="G115" s="70" t="s">
        <v>35</v>
      </c>
      <c r="H115" s="29"/>
      <c r="I115" s="6"/>
    </row>
    <row r="116" spans="1:9" s="1" customFormat="1">
      <c r="A116" s="9"/>
      <c r="B116" s="59"/>
      <c r="C116" s="10"/>
      <c r="D116" s="29"/>
      <c r="E116" s="24"/>
      <c r="F116" s="17">
        <v>2.8</v>
      </c>
      <c r="G116" s="70" t="s">
        <v>122</v>
      </c>
      <c r="H116" s="29"/>
      <c r="I116" s="6"/>
    </row>
    <row r="117" spans="1:9" s="1" customFormat="1">
      <c r="A117" s="9"/>
      <c r="B117" s="59"/>
      <c r="C117" s="9" t="s">
        <v>49</v>
      </c>
      <c r="D117" s="29"/>
      <c r="E117" s="24"/>
      <c r="F117" s="17"/>
      <c r="G117" s="18"/>
      <c r="H117" s="29"/>
      <c r="I117" s="2"/>
    </row>
    <row r="118" spans="1:9" s="1" customFormat="1">
      <c r="A118" s="9"/>
      <c r="B118" s="59"/>
      <c r="C118" s="9" t="s">
        <v>50</v>
      </c>
      <c r="D118" s="29"/>
      <c r="E118" s="24"/>
      <c r="F118" s="17"/>
      <c r="G118" s="18"/>
      <c r="H118" s="29">
        <f>910.67+795.13</f>
        <v>1705.8</v>
      </c>
      <c r="I118" s="2" t="s">
        <v>494</v>
      </c>
    </row>
    <row r="119" spans="1:9">
      <c r="A119" s="12" t="s">
        <v>4</v>
      </c>
      <c r="B119" s="10"/>
      <c r="C119" s="10"/>
      <c r="D119" s="31">
        <f>SUM(D112:D118)</f>
        <v>186.05</v>
      </c>
      <c r="E119" s="26"/>
      <c r="F119" s="20">
        <f>SUM(F112:F118)</f>
        <v>126.86999999999999</v>
      </c>
      <c r="G119" s="6"/>
      <c r="H119" s="31">
        <f>SUM(H112:H118)</f>
        <v>2096.41</v>
      </c>
      <c r="I119" s="18"/>
    </row>
    <row r="120" spans="1:9" ht="15.75" thickBot="1">
      <c r="A120" s="13" t="s">
        <v>5</v>
      </c>
      <c r="B120" s="39">
        <f>SUM(F119+D119+H119)</f>
        <v>2409.33</v>
      </c>
      <c r="C120" s="38"/>
      <c r="D120" s="32"/>
      <c r="E120" s="27"/>
      <c r="F120" s="21"/>
      <c r="G120" s="22"/>
      <c r="H120" s="68"/>
      <c r="I120" s="3"/>
    </row>
    <row r="121" spans="1:9" s="1" customFormat="1">
      <c r="A121" s="9" t="s">
        <v>429</v>
      </c>
      <c r="B121" s="11" t="s">
        <v>309</v>
      </c>
      <c r="C121" s="9" t="s">
        <v>195</v>
      </c>
      <c r="D121" s="28">
        <v>31.94</v>
      </c>
      <c r="E121" s="23" t="s">
        <v>432</v>
      </c>
      <c r="F121" s="15"/>
      <c r="G121" s="16"/>
      <c r="H121" s="28"/>
      <c r="I121" s="5"/>
    </row>
    <row r="122" spans="1:9" s="1" customFormat="1">
      <c r="A122" s="9"/>
      <c r="B122" s="10"/>
      <c r="C122" s="9"/>
      <c r="D122" s="29"/>
      <c r="E122" s="24"/>
      <c r="F122" s="17"/>
      <c r="G122" s="18"/>
      <c r="H122" s="29"/>
      <c r="I122" s="6"/>
    </row>
    <row r="123" spans="1:9" s="1" customFormat="1">
      <c r="A123" s="9"/>
      <c r="B123" s="10"/>
      <c r="C123" s="9" t="s">
        <v>147</v>
      </c>
      <c r="D123" s="29"/>
      <c r="E123" s="24"/>
      <c r="F123" s="17"/>
      <c r="G123" s="18"/>
      <c r="H123" s="29"/>
      <c r="I123" s="6"/>
    </row>
    <row r="124" spans="1:9" s="1" customFormat="1">
      <c r="A124" s="9"/>
      <c r="B124" s="10"/>
      <c r="C124" s="9"/>
      <c r="D124" s="29"/>
      <c r="E124" s="24"/>
      <c r="F124" s="17"/>
      <c r="G124" s="18"/>
      <c r="H124" s="29"/>
      <c r="I124" s="6"/>
    </row>
    <row r="125" spans="1:9" s="1" customFormat="1">
      <c r="A125" s="9"/>
      <c r="B125" s="59"/>
      <c r="C125" s="9" t="s">
        <v>49</v>
      </c>
      <c r="D125" s="29"/>
      <c r="E125" s="24"/>
      <c r="F125" s="17"/>
      <c r="G125" s="18"/>
      <c r="H125" s="29">
        <v>1600</v>
      </c>
      <c r="I125" s="2" t="s">
        <v>216</v>
      </c>
    </row>
    <row r="126" spans="1:9" s="1" customFormat="1">
      <c r="A126" s="9"/>
      <c r="B126" s="59"/>
      <c r="C126" s="9" t="s">
        <v>50</v>
      </c>
      <c r="D126" s="29"/>
      <c r="E126" s="24"/>
      <c r="F126" s="17"/>
      <c r="G126" s="18"/>
      <c r="H126" s="29">
        <v>550.24</v>
      </c>
      <c r="I126" s="2" t="s">
        <v>483</v>
      </c>
    </row>
    <row r="127" spans="1:9" s="1" customFormat="1">
      <c r="A127" s="9"/>
      <c r="B127" s="59"/>
      <c r="C127" s="9"/>
      <c r="D127" s="29"/>
      <c r="E127" s="24"/>
      <c r="F127" s="17"/>
      <c r="G127" s="18"/>
      <c r="H127" s="29">
        <v>529.02</v>
      </c>
      <c r="I127" s="2" t="s">
        <v>185</v>
      </c>
    </row>
    <row r="128" spans="1:9">
      <c r="A128" s="12" t="s">
        <v>4</v>
      </c>
      <c r="B128" s="10"/>
      <c r="C128" s="10"/>
      <c r="D128" s="31">
        <f>SUM(D121:D126)</f>
        <v>31.94</v>
      </c>
      <c r="E128" s="26"/>
      <c r="F128" s="20">
        <f>SUM(F121:F126)</f>
        <v>0</v>
      </c>
      <c r="G128" s="6"/>
      <c r="H128" s="31">
        <f>SUM(H121:H127)</f>
        <v>2679.2599999999998</v>
      </c>
      <c r="I128" s="18"/>
    </row>
    <row r="129" spans="1:9" ht="15.75" thickBot="1">
      <c r="A129" s="13" t="s">
        <v>5</v>
      </c>
      <c r="B129" s="39">
        <f>SUM(F128+D128+H128)</f>
        <v>2711.2</v>
      </c>
      <c r="C129" s="38"/>
      <c r="D129" s="32"/>
      <c r="E129" s="27"/>
      <c r="F129" s="21"/>
      <c r="G129" s="22"/>
      <c r="H129" s="68"/>
      <c r="I129" s="3"/>
    </row>
    <row r="130" spans="1:9" s="1" customFormat="1">
      <c r="A130" s="9" t="s">
        <v>430</v>
      </c>
      <c r="B130" s="11" t="s">
        <v>451</v>
      </c>
      <c r="C130" s="9" t="s">
        <v>28</v>
      </c>
      <c r="D130" s="99">
        <v>973.65</v>
      </c>
      <c r="E130" s="100" t="s">
        <v>452</v>
      </c>
      <c r="F130" s="15"/>
      <c r="G130" s="16"/>
      <c r="H130" s="28"/>
      <c r="I130" s="5"/>
    </row>
    <row r="131" spans="1:9" s="1" customFormat="1">
      <c r="A131" s="9"/>
      <c r="B131" s="10"/>
      <c r="C131" s="9"/>
      <c r="D131" s="101">
        <f>450</f>
        <v>450</v>
      </c>
      <c r="E131" s="102" t="s">
        <v>453</v>
      </c>
      <c r="F131" s="17"/>
      <c r="G131" s="18"/>
      <c r="H131" s="29"/>
      <c r="I131" s="6"/>
    </row>
    <row r="132" spans="1:9" s="1" customFormat="1">
      <c r="A132" s="9"/>
      <c r="B132" s="10"/>
      <c r="C132" s="9"/>
      <c r="D132" s="101">
        <v>49.83</v>
      </c>
      <c r="E132" s="102" t="s">
        <v>158</v>
      </c>
      <c r="F132" s="17"/>
      <c r="G132" s="18"/>
      <c r="H132" s="29"/>
      <c r="I132" s="6"/>
    </row>
    <row r="133" spans="1:9" s="1" customFormat="1">
      <c r="A133" s="9"/>
      <c r="B133" s="10"/>
      <c r="C133" s="9"/>
      <c r="D133" s="72">
        <f>66.74+23.64</f>
        <v>90.38</v>
      </c>
      <c r="E133" s="73" t="s">
        <v>181</v>
      </c>
      <c r="F133" s="17"/>
      <c r="G133" s="18"/>
      <c r="H133" s="72">
        <f>215.2+25</f>
        <v>240.2</v>
      </c>
      <c r="I133" s="92" t="s">
        <v>272</v>
      </c>
    </row>
    <row r="134" spans="1:9" s="1" customFormat="1">
      <c r="A134" s="9"/>
      <c r="B134" s="10"/>
      <c r="C134" s="9"/>
      <c r="D134" s="72">
        <f>5.48+100+36.24</f>
        <v>141.72</v>
      </c>
      <c r="E134" s="73" t="s">
        <v>454</v>
      </c>
      <c r="F134" s="17"/>
      <c r="G134" s="18"/>
      <c r="H134" s="93">
        <v>772.89</v>
      </c>
      <c r="I134" s="44" t="s">
        <v>272</v>
      </c>
    </row>
    <row r="135" spans="1:9" s="1" customFormat="1">
      <c r="A135" s="9"/>
      <c r="B135" s="10"/>
      <c r="C135" s="9"/>
      <c r="D135" s="93">
        <f>27.03+27.09</f>
        <v>54.120000000000005</v>
      </c>
      <c r="E135" s="94" t="s">
        <v>456</v>
      </c>
      <c r="F135" s="17"/>
      <c r="G135" s="18"/>
      <c r="H135" s="29"/>
      <c r="I135" s="6"/>
    </row>
    <row r="136" spans="1:9" s="1" customFormat="1">
      <c r="A136" s="9"/>
      <c r="B136" s="10"/>
      <c r="C136" s="9"/>
      <c r="D136" s="93">
        <f>32.21</f>
        <v>32.21</v>
      </c>
      <c r="E136" s="94" t="s">
        <v>386</v>
      </c>
      <c r="F136" s="17"/>
      <c r="G136" s="18"/>
      <c r="H136" s="29"/>
      <c r="I136" s="6"/>
    </row>
    <row r="137" spans="1:9" s="1" customFormat="1">
      <c r="A137" s="9"/>
      <c r="B137" s="10"/>
      <c r="C137" s="9" t="s">
        <v>412</v>
      </c>
      <c r="D137" s="72">
        <f>83.72</f>
        <v>83.72</v>
      </c>
      <c r="E137" s="73" t="s">
        <v>450</v>
      </c>
      <c r="F137" s="89">
        <v>3.03</v>
      </c>
      <c r="G137" s="88" t="s">
        <v>122</v>
      </c>
      <c r="H137" s="72">
        <v>228.69</v>
      </c>
      <c r="I137" s="92" t="s">
        <v>272</v>
      </c>
    </row>
    <row r="138" spans="1:9" s="1" customFormat="1">
      <c r="A138" s="9"/>
      <c r="B138" s="10"/>
      <c r="C138" s="9"/>
      <c r="D138" s="93">
        <f>15+17</f>
        <v>32</v>
      </c>
      <c r="E138" s="94" t="s">
        <v>449</v>
      </c>
      <c r="F138" s="89">
        <f>27.71+21.03</f>
        <v>48.74</v>
      </c>
      <c r="G138" s="88" t="s">
        <v>41</v>
      </c>
      <c r="H138" s="29"/>
      <c r="I138" s="6"/>
    </row>
    <row r="139" spans="1:9" s="1" customFormat="1">
      <c r="A139" s="9"/>
      <c r="B139" s="10"/>
      <c r="C139" s="9"/>
      <c r="D139" s="29"/>
      <c r="E139" s="24"/>
      <c r="F139" s="95">
        <f>6.91+23.35</f>
        <v>30.26</v>
      </c>
      <c r="G139" s="96" t="s">
        <v>41</v>
      </c>
      <c r="H139" s="29"/>
      <c r="I139" s="6"/>
    </row>
    <row r="140" spans="1:9" s="1" customFormat="1">
      <c r="A140" s="9"/>
      <c r="B140" s="10"/>
      <c r="C140" s="9" t="s">
        <v>413</v>
      </c>
      <c r="D140" s="72">
        <f>7.57+47.28</f>
        <v>54.85</v>
      </c>
      <c r="E140" s="73" t="s">
        <v>47</v>
      </c>
      <c r="F140" s="89">
        <f>2.86+13.35</f>
        <v>16.21</v>
      </c>
      <c r="G140" s="88" t="s">
        <v>122</v>
      </c>
      <c r="H140" s="72">
        <v>248.32</v>
      </c>
      <c r="I140" s="92" t="s">
        <v>272</v>
      </c>
    </row>
    <row r="141" spans="1:9" s="1" customFormat="1">
      <c r="A141" s="9"/>
      <c r="B141" s="10"/>
      <c r="C141" s="9"/>
      <c r="D141" s="29"/>
      <c r="E141" s="24"/>
      <c r="F141" s="89">
        <f>16.61+16.13+12.36</f>
        <v>45.099999999999994</v>
      </c>
      <c r="G141" s="88" t="s">
        <v>47</v>
      </c>
      <c r="H141" s="29"/>
      <c r="I141" s="6"/>
    </row>
    <row r="142" spans="1:9" s="1" customFormat="1">
      <c r="A142" s="9"/>
      <c r="B142" s="59"/>
      <c r="C142" s="9"/>
      <c r="D142" s="29"/>
      <c r="E142" s="24"/>
      <c r="F142" s="95">
        <f>14.11+14.17</f>
        <v>28.28</v>
      </c>
      <c r="G142" s="96" t="s">
        <v>39</v>
      </c>
      <c r="H142" s="29"/>
      <c r="I142" s="2"/>
    </row>
    <row r="143" spans="1:9" s="1" customFormat="1">
      <c r="A143" s="9"/>
      <c r="B143" s="59"/>
      <c r="C143" s="9"/>
      <c r="D143" s="29"/>
      <c r="E143" s="24"/>
      <c r="F143" s="97">
        <v>8.23</v>
      </c>
      <c r="G143" s="98" t="s">
        <v>41</v>
      </c>
      <c r="H143" s="29"/>
      <c r="I143" s="2"/>
    </row>
    <row r="144" spans="1:9" s="1" customFormat="1" ht="30">
      <c r="A144" s="9"/>
      <c r="B144" s="59"/>
      <c r="C144" s="9" t="s">
        <v>49</v>
      </c>
      <c r="D144" s="29"/>
      <c r="E144" s="24"/>
      <c r="F144" s="95"/>
      <c r="G144" s="96"/>
      <c r="H144" s="29">
        <f>(756.68+700)</f>
        <v>1456.6799999999998</v>
      </c>
      <c r="I144" s="6" t="s">
        <v>522</v>
      </c>
    </row>
    <row r="145" spans="1:9" s="1" customFormat="1">
      <c r="A145" s="9"/>
      <c r="B145" s="59"/>
      <c r="C145" s="9" t="s">
        <v>50</v>
      </c>
      <c r="D145" s="29"/>
      <c r="E145" s="24"/>
      <c r="F145" s="17"/>
      <c r="G145" s="18"/>
      <c r="H145" s="29">
        <f>3312.35+612.65+616.65+595.69</f>
        <v>5137.34</v>
      </c>
      <c r="I145" s="2" t="s">
        <v>493</v>
      </c>
    </row>
    <row r="146" spans="1:9" s="1" customFormat="1">
      <c r="A146" s="9"/>
      <c r="B146" s="59"/>
      <c r="C146" s="9"/>
      <c r="D146" s="29"/>
      <c r="E146" s="24"/>
      <c r="F146" s="17"/>
      <c r="G146" s="18"/>
      <c r="H146" s="29">
        <f>3127.72-1448.38-1448.38</f>
        <v>230.95999999999958</v>
      </c>
      <c r="I146" s="2" t="s">
        <v>487</v>
      </c>
    </row>
    <row r="147" spans="1:9">
      <c r="A147" s="12" t="s">
        <v>4</v>
      </c>
      <c r="B147" s="10"/>
      <c r="C147" s="10"/>
      <c r="D147" s="31">
        <f>SUM(D130:D145)</f>
        <v>1962.4800000000002</v>
      </c>
      <c r="E147" s="26"/>
      <c r="F147" s="20">
        <f>SUM(F130:F145)</f>
        <v>179.85</v>
      </c>
      <c r="G147" s="6"/>
      <c r="H147" s="31">
        <f>SUM(H130:H146)</f>
        <v>8315.08</v>
      </c>
      <c r="I147" s="18"/>
    </row>
    <row r="148" spans="1:9" ht="15.75" thickBot="1">
      <c r="A148" s="13" t="s">
        <v>5</v>
      </c>
      <c r="B148" s="39">
        <f>SUM(F147+D147+H147)</f>
        <v>10457.41</v>
      </c>
      <c r="C148" s="38"/>
      <c r="D148" s="32"/>
      <c r="E148" s="27"/>
      <c r="F148" s="21"/>
      <c r="G148" s="22"/>
      <c r="H148" s="68"/>
      <c r="I148" s="3"/>
    </row>
    <row r="149" spans="1:9">
      <c r="A149" s="59"/>
      <c r="B149" s="60"/>
      <c r="C149" s="60"/>
      <c r="E149" s="62"/>
      <c r="F149" s="61"/>
    </row>
    <row r="150" spans="1:9" ht="15.75" thickBot="1"/>
    <row r="151" spans="1:9" ht="20.25" thickBot="1">
      <c r="A151" s="51" t="s">
        <v>191</v>
      </c>
      <c r="B151" s="52">
        <f>SUM(B13+B31+B54+B67+B79+B92+B102+B111+B120+B129+B148)</f>
        <v>85653.510000000009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GENNAIO</vt:lpstr>
      <vt:lpstr>FEBBRAIO</vt:lpstr>
      <vt:lpstr>MARZO</vt:lpstr>
      <vt:lpstr>APRILE</vt:lpstr>
      <vt:lpstr>MAGGIO</vt:lpstr>
      <vt:lpstr>GIUGNO</vt:lpstr>
      <vt:lpstr>LUGLIO</vt:lpstr>
      <vt:lpstr>SETTEMBRE</vt:lpstr>
      <vt:lpstr>OTTOBRE</vt:lpstr>
      <vt:lpstr>NOVEMBRE</vt:lpstr>
      <vt:lpstr>DICEMBRE</vt:lpstr>
      <vt:lpstr>FEBBRAIO!Area_stampa</vt:lpstr>
      <vt:lpstr>GENNAIO!Area_stampa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2014-12-18T15:18:35Z</dcterms:modified>
</cp:coreProperties>
</file>