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468" activeTab="6"/>
  </bookViews>
  <sheets>
    <sheet name="P&amp;L" sheetId="19" r:id="rId1"/>
    <sheet name="General Recap" sheetId="11" r:id="rId2"/>
    <sheet name="Luppi" sheetId="14" r:id="rId3"/>
    <sheet name="Shehata" sheetId="16" r:id="rId4"/>
    <sheet name="Maglietta" sheetId="15" r:id="rId5"/>
    <sheet name="Velasco" sheetId="13" r:id="rId6"/>
    <sheet name="Bettini" sheetId="18" r:id="rId7"/>
    <sheet name="Bonus commerciali 2013_old" sheetId="2" state="hidden" r:id="rId8"/>
    <sheet name="Riepilogo complessivo 2012_old" sheetId="1" state="hidden" r:id="rId9"/>
  </sheets>
  <calcPr calcId="145621" concurrentCalc="0"/>
</workbook>
</file>

<file path=xl/calcChain.xml><?xml version="1.0" encoding="utf-8"?>
<calcChain xmlns="http://schemas.openxmlformats.org/spreadsheetml/2006/main">
  <c r="F8" i="18" l="1"/>
  <c r="D8" i="18"/>
  <c r="C8" i="18"/>
  <c r="B8" i="18"/>
  <c r="F5" i="18"/>
  <c r="D5" i="18"/>
  <c r="K4" i="13"/>
  <c r="K4" i="15"/>
  <c r="M24" i="11"/>
  <c r="L24" i="11"/>
  <c r="G3" i="18"/>
  <c r="M23" i="11"/>
  <c r="L23" i="11"/>
  <c r="M22" i="11"/>
  <c r="L22" i="11"/>
  <c r="G16" i="13"/>
  <c r="M21" i="11"/>
  <c r="L21" i="11"/>
  <c r="M20" i="11"/>
  <c r="L20" i="11"/>
  <c r="G16" i="15"/>
  <c r="M19" i="11"/>
  <c r="L19" i="11"/>
  <c r="M18" i="11"/>
  <c r="L18" i="11"/>
  <c r="G16" i="16"/>
  <c r="M17" i="11"/>
  <c r="L17" i="11"/>
  <c r="M16" i="11"/>
  <c r="L16" i="11"/>
  <c r="G16" i="14"/>
  <c r="M15" i="11"/>
  <c r="L15" i="11"/>
  <c r="K24" i="11"/>
  <c r="J24" i="11"/>
  <c r="I24" i="11"/>
  <c r="H24" i="11"/>
  <c r="K23" i="11"/>
  <c r="J23" i="11"/>
  <c r="I23" i="11"/>
  <c r="H23" i="11"/>
  <c r="K22" i="11"/>
  <c r="J22" i="11"/>
  <c r="I22" i="11"/>
  <c r="H22" i="11"/>
  <c r="K21" i="11"/>
  <c r="J21" i="11"/>
  <c r="I21" i="11"/>
  <c r="H21" i="11"/>
  <c r="K20" i="11"/>
  <c r="J20" i="11"/>
  <c r="I20" i="11"/>
  <c r="H20" i="11"/>
  <c r="K19" i="11"/>
  <c r="J19" i="11"/>
  <c r="I19" i="11"/>
  <c r="H19" i="11"/>
  <c r="K18" i="11"/>
  <c r="J18" i="11"/>
  <c r="I18" i="11"/>
  <c r="H18" i="11"/>
  <c r="K17" i="11"/>
  <c r="J17" i="11"/>
  <c r="I17" i="11"/>
  <c r="H17" i="11"/>
  <c r="K16" i="11"/>
  <c r="J16" i="11"/>
  <c r="I16" i="11"/>
  <c r="H16" i="11"/>
  <c r="K15" i="11"/>
  <c r="J15" i="11"/>
  <c r="I15" i="11"/>
  <c r="H15" i="11"/>
  <c r="F40" i="11"/>
  <c r="E40" i="11"/>
  <c r="D40" i="11"/>
  <c r="C40" i="11"/>
  <c r="F39" i="11"/>
  <c r="E39" i="11"/>
  <c r="D39" i="11"/>
  <c r="C39" i="11"/>
  <c r="F38" i="11"/>
  <c r="E38" i="11"/>
  <c r="D38" i="11"/>
  <c r="C38" i="11"/>
  <c r="F37" i="11"/>
  <c r="E37" i="11"/>
  <c r="D37" i="11"/>
  <c r="C37" i="11"/>
  <c r="F36" i="11"/>
  <c r="E36" i="11"/>
  <c r="D36" i="11"/>
  <c r="C36" i="11"/>
  <c r="F35" i="11"/>
  <c r="E35" i="11"/>
  <c r="D35" i="11"/>
  <c r="C35" i="11"/>
  <c r="F34" i="11"/>
  <c r="E34" i="11"/>
  <c r="D34" i="11"/>
  <c r="C34" i="11"/>
  <c r="F33" i="11"/>
  <c r="E33" i="11"/>
  <c r="D33" i="11"/>
  <c r="C33" i="11"/>
  <c r="F31" i="11"/>
  <c r="E31" i="11"/>
  <c r="D31" i="11"/>
  <c r="C31" i="11"/>
  <c r="F30" i="11"/>
  <c r="E30" i="11"/>
  <c r="D30" i="11"/>
  <c r="C30" i="11"/>
  <c r="F29" i="11"/>
  <c r="E29" i="11"/>
  <c r="D29" i="11"/>
  <c r="C29" i="11"/>
  <c r="F28" i="11"/>
  <c r="E28" i="11"/>
  <c r="D28" i="11"/>
  <c r="C28" i="11"/>
  <c r="F27" i="11"/>
  <c r="E27" i="11"/>
  <c r="D27" i="11"/>
  <c r="C27" i="11"/>
  <c r="F26" i="11"/>
  <c r="E26" i="11"/>
  <c r="D26" i="11"/>
  <c r="C26" i="11"/>
  <c r="F25" i="11"/>
  <c r="E25" i="11"/>
  <c r="D25" i="11"/>
  <c r="C25" i="11"/>
  <c r="F24" i="11"/>
  <c r="E24" i="11"/>
  <c r="D24" i="11"/>
  <c r="C24" i="11"/>
  <c r="F22" i="11"/>
  <c r="E22" i="11"/>
  <c r="D22" i="11"/>
  <c r="C22" i="11"/>
  <c r="F21" i="11"/>
  <c r="E21" i="11"/>
  <c r="D21" i="11"/>
  <c r="C21" i="11"/>
  <c r="F20" i="11"/>
  <c r="E20" i="11"/>
  <c r="D20" i="11"/>
  <c r="C20" i="11"/>
  <c r="F19" i="11"/>
  <c r="E19" i="11"/>
  <c r="D19" i="11"/>
  <c r="C19" i="11"/>
  <c r="F18" i="11"/>
  <c r="E18" i="11"/>
  <c r="D18" i="11"/>
  <c r="C18" i="11"/>
  <c r="F17" i="11"/>
  <c r="E17" i="11"/>
  <c r="D17" i="11"/>
  <c r="C17" i="11"/>
  <c r="F16" i="11"/>
  <c r="E16" i="11"/>
  <c r="D16" i="11"/>
  <c r="C16" i="11"/>
  <c r="F15" i="11"/>
  <c r="E15" i="11"/>
  <c r="D15" i="11"/>
  <c r="C15" i="11"/>
  <c r="K7" i="15"/>
  <c r="E6" i="16"/>
  <c r="M8" i="16"/>
  <c r="M13" i="16"/>
  <c r="M8" i="18"/>
  <c r="M14" i="18"/>
  <c r="M8" i="13"/>
  <c r="M14" i="13"/>
  <c r="M8" i="15"/>
  <c r="M13" i="15"/>
  <c r="M8" i="14"/>
  <c r="M13" i="14"/>
  <c r="K7" i="18"/>
  <c r="L35" i="19"/>
  <c r="K35" i="19"/>
  <c r="J35" i="19"/>
  <c r="I35" i="19"/>
  <c r="H35" i="19"/>
  <c r="G35" i="19"/>
  <c r="E33" i="19"/>
  <c r="D33" i="19"/>
  <c r="E32" i="19"/>
  <c r="D32" i="19"/>
  <c r="L29" i="19"/>
  <c r="L28" i="19"/>
  <c r="K29" i="19"/>
  <c r="J29" i="19"/>
  <c r="J28" i="19"/>
  <c r="I29" i="19"/>
  <c r="H29" i="19"/>
  <c r="H28" i="19"/>
  <c r="G29" i="19"/>
  <c r="F29" i="19"/>
  <c r="F28" i="19"/>
  <c r="E29" i="19"/>
  <c r="K28" i="19"/>
  <c r="K31" i="19"/>
  <c r="I28" i="19"/>
  <c r="I31" i="19"/>
  <c r="G28" i="19"/>
  <c r="G31" i="19"/>
  <c r="M20" i="19"/>
  <c r="M16" i="19"/>
  <c r="M13" i="19"/>
  <c r="E10" i="19"/>
  <c r="E11" i="19"/>
  <c r="M9" i="19"/>
  <c r="M8" i="19"/>
  <c r="M7" i="19"/>
  <c r="M5" i="19"/>
  <c r="M4" i="19"/>
  <c r="M3" i="19"/>
  <c r="M2" i="19"/>
  <c r="M29" i="19"/>
  <c r="M28" i="19"/>
  <c r="M1" i="19"/>
  <c r="L1" i="19"/>
  <c r="K1" i="19"/>
  <c r="J1" i="19"/>
  <c r="I1" i="19"/>
  <c r="H1" i="19"/>
  <c r="G1" i="19"/>
  <c r="F1" i="19"/>
  <c r="K33" i="19"/>
  <c r="K32" i="19"/>
  <c r="H31" i="19"/>
  <c r="H30" i="19"/>
  <c r="H10" i="19"/>
  <c r="L31" i="19"/>
  <c r="L30" i="19"/>
  <c r="L10" i="19"/>
  <c r="G33" i="19"/>
  <c r="G32" i="19"/>
  <c r="F31" i="19"/>
  <c r="F30" i="19"/>
  <c r="F6" i="19"/>
  <c r="F10" i="19"/>
  <c r="J31" i="19"/>
  <c r="J30" i="19"/>
  <c r="J10" i="19"/>
  <c r="M31" i="19"/>
  <c r="M30" i="19"/>
  <c r="M10" i="19"/>
  <c r="I32" i="19"/>
  <c r="I33" i="19"/>
  <c r="M35" i="19"/>
  <c r="E14" i="19"/>
  <c r="I30" i="19"/>
  <c r="I10" i="19"/>
  <c r="G30" i="19"/>
  <c r="G10" i="19"/>
  <c r="K30" i="19"/>
  <c r="K10" i="19"/>
  <c r="M11" i="19"/>
  <c r="M14" i="19"/>
  <c r="E15" i="19"/>
  <c r="E17" i="19"/>
  <c r="H32" i="19"/>
  <c r="H33" i="19"/>
  <c r="K14" i="19"/>
  <c r="K11" i="19"/>
  <c r="M32" i="19"/>
  <c r="M33" i="19"/>
  <c r="F33" i="19"/>
  <c r="F32" i="19"/>
  <c r="L14" i="19"/>
  <c r="L11" i="19"/>
  <c r="G14" i="19"/>
  <c r="G11" i="19"/>
  <c r="J11" i="19"/>
  <c r="J14" i="19"/>
  <c r="L32" i="19"/>
  <c r="L33" i="19"/>
  <c r="I11" i="19"/>
  <c r="I14" i="19"/>
  <c r="J33" i="19"/>
  <c r="J32" i="19"/>
  <c r="H11" i="19"/>
  <c r="H14" i="19"/>
  <c r="F14" i="19"/>
  <c r="F11" i="19"/>
  <c r="L17" i="19"/>
  <c r="L15" i="19"/>
  <c r="E21" i="19"/>
  <c r="E22" i="19"/>
  <c r="E18" i="19"/>
  <c r="F15" i="19"/>
  <c r="F17" i="19"/>
  <c r="G15" i="19"/>
  <c r="G17" i="19"/>
  <c r="K17" i="19"/>
  <c r="K15" i="19"/>
  <c r="H17" i="19"/>
  <c r="H15" i="19"/>
  <c r="I17" i="19"/>
  <c r="I15" i="19"/>
  <c r="J15" i="19"/>
  <c r="J17" i="19"/>
  <c r="M15" i="19"/>
  <c r="M17" i="19"/>
  <c r="I21" i="19"/>
  <c r="I22" i="19"/>
  <c r="I18" i="19"/>
  <c r="K18" i="19"/>
  <c r="K21" i="19"/>
  <c r="K22" i="19"/>
  <c r="L18" i="19"/>
  <c r="L21" i="19"/>
  <c r="L22" i="19"/>
  <c r="J18" i="19"/>
  <c r="J21" i="19"/>
  <c r="J22" i="19"/>
  <c r="G18" i="19"/>
  <c r="G21" i="19"/>
  <c r="G22" i="19"/>
  <c r="H21" i="19"/>
  <c r="H22" i="19"/>
  <c r="H18" i="19"/>
  <c r="M21" i="19"/>
  <c r="M22" i="19"/>
  <c r="M18" i="19"/>
  <c r="F21" i="19"/>
  <c r="F22" i="19"/>
  <c r="F18" i="19"/>
  <c r="G7" i="11"/>
  <c r="F7" i="11"/>
  <c r="C7" i="11"/>
  <c r="G5" i="18"/>
  <c r="E5" i="18"/>
  <c r="C5" i="18"/>
  <c r="B5" i="18"/>
  <c r="K9" i="18"/>
  <c r="E7" i="11"/>
  <c r="D7" i="11"/>
  <c r="G5" i="11"/>
  <c r="F5" i="11"/>
  <c r="C5" i="11"/>
  <c r="C4" i="11"/>
  <c r="G4" i="11"/>
  <c r="F4" i="11"/>
  <c r="G3" i="11"/>
  <c r="F3" i="11"/>
  <c r="C3" i="11"/>
  <c r="C6" i="11"/>
  <c r="C8" i="11"/>
  <c r="G6" i="11"/>
  <c r="F6" i="11"/>
  <c r="C18" i="13"/>
  <c r="K7" i="16"/>
  <c r="G18" i="16"/>
  <c r="F18" i="15"/>
  <c r="G18" i="15"/>
  <c r="E18" i="15"/>
  <c r="D18" i="15"/>
  <c r="C18" i="15"/>
  <c r="B18" i="15"/>
  <c r="E14" i="15"/>
  <c r="D14" i="15"/>
  <c r="C14" i="15"/>
  <c r="B14" i="15"/>
  <c r="E10" i="15"/>
  <c r="D10" i="15"/>
  <c r="C10" i="15"/>
  <c r="B10" i="15"/>
  <c r="E6" i="15"/>
  <c r="D6" i="15"/>
  <c r="C6" i="15"/>
  <c r="B6" i="15"/>
  <c r="G18" i="14"/>
  <c r="F18" i="14"/>
  <c r="E18" i="14"/>
  <c r="D18" i="14"/>
  <c r="C18" i="14"/>
  <c r="B18" i="14"/>
  <c r="E14" i="14"/>
  <c r="D14" i="14"/>
  <c r="C14" i="14"/>
  <c r="B14" i="14"/>
  <c r="E10" i="14"/>
  <c r="D10" i="14"/>
  <c r="C10" i="14"/>
  <c r="B10" i="14"/>
  <c r="K7" i="14"/>
  <c r="E6" i="14"/>
  <c r="D6" i="14"/>
  <c r="C6" i="14"/>
  <c r="B6" i="14"/>
  <c r="D14" i="13"/>
  <c r="D10" i="13"/>
  <c r="D6" i="13"/>
  <c r="K7" i="13"/>
  <c r="E4" i="11"/>
  <c r="K9" i="14"/>
  <c r="D3" i="11"/>
  <c r="K9" i="13"/>
  <c r="D6" i="11"/>
  <c r="K9" i="16"/>
  <c r="D5" i="11"/>
  <c r="G8" i="11"/>
  <c r="F8" i="11"/>
  <c r="E6" i="11"/>
  <c r="E5" i="11"/>
  <c r="K9" i="15"/>
  <c r="D4" i="11"/>
  <c r="E3" i="11"/>
  <c r="G18" i="13"/>
  <c r="E6" i="13"/>
  <c r="E10" i="13"/>
  <c r="E14" i="13"/>
  <c r="D18" i="13"/>
  <c r="B6" i="13"/>
  <c r="B10" i="13"/>
  <c r="B14" i="13"/>
  <c r="E18" i="13"/>
  <c r="C6" i="13"/>
  <c r="C10" i="13"/>
  <c r="C14" i="13"/>
  <c r="B18" i="13"/>
  <c r="F18" i="13"/>
  <c r="C10" i="16"/>
  <c r="D18" i="16"/>
  <c r="B6" i="16"/>
  <c r="D10" i="16"/>
  <c r="B14" i="16"/>
  <c r="E18" i="16"/>
  <c r="E14" i="16"/>
  <c r="C6" i="16"/>
  <c r="E10" i="16"/>
  <c r="C14" i="16"/>
  <c r="B18" i="16"/>
  <c r="F18" i="16"/>
  <c r="D6" i="16"/>
  <c r="B10" i="16"/>
  <c r="D14" i="16"/>
  <c r="C18" i="16"/>
  <c r="E8" i="11"/>
  <c r="G9" i="11"/>
  <c r="D8" i="11"/>
  <c r="K10" i="18"/>
  <c r="H7" i="11"/>
  <c r="K10" i="13"/>
  <c r="K10" i="16"/>
  <c r="K10" i="14"/>
  <c r="K10" i="15"/>
  <c r="K12" i="18"/>
  <c r="I7" i="11"/>
  <c r="K12" i="16"/>
  <c r="I5" i="11"/>
  <c r="H5" i="11"/>
  <c r="K12" i="15"/>
  <c r="I4" i="11"/>
  <c r="H4" i="11"/>
  <c r="K12" i="14"/>
  <c r="I3" i="11"/>
  <c r="H3" i="11"/>
  <c r="H6" i="11"/>
  <c r="K12" i="13"/>
  <c r="I6" i="11"/>
  <c r="I8" i="11"/>
  <c r="J8" i="11"/>
  <c r="I9" i="11"/>
  <c r="B3" i="2"/>
  <c r="D3" i="2"/>
  <c r="G3" i="2"/>
  <c r="D4" i="2"/>
  <c r="G4" i="2"/>
  <c r="D5" i="2"/>
  <c r="G5" i="2"/>
  <c r="D6" i="2"/>
  <c r="G6" i="2"/>
  <c r="D7" i="2"/>
  <c r="G7" i="2"/>
  <c r="Q7" i="2"/>
  <c r="Q6" i="2"/>
  <c r="Q4" i="2"/>
  <c r="P7" i="2"/>
  <c r="P6" i="2"/>
  <c r="P4" i="2"/>
  <c r="P2" i="2"/>
  <c r="Q2" i="2"/>
  <c r="M6" i="2"/>
  <c r="E14" i="2"/>
  <c r="M12" i="2"/>
  <c r="O6" i="2"/>
  <c r="M4" i="2"/>
  <c r="Q3" i="2"/>
  <c r="P3" i="2"/>
  <c r="Q5" i="2"/>
  <c r="O5" i="2"/>
  <c r="K5" i="2"/>
  <c r="N5" i="2"/>
  <c r="M5" i="2"/>
  <c r="P5" i="2"/>
  <c r="L5" i="2"/>
  <c r="N6" i="2"/>
  <c r="L6" i="2"/>
  <c r="K6" i="2"/>
  <c r="N4" i="2"/>
  <c r="I7" i="2"/>
  <c r="J7" i="2"/>
  <c r="K3" i="2"/>
  <c r="O3" i="2"/>
  <c r="O7" i="2"/>
  <c r="H4" i="2"/>
  <c r="J3" i="2"/>
  <c r="K4" i="2"/>
  <c r="L3" i="2"/>
  <c r="L7" i="2"/>
  <c r="O4" i="2"/>
  <c r="I3" i="2"/>
  <c r="J4" i="2"/>
  <c r="L4" i="2"/>
  <c r="M3" i="2"/>
  <c r="M7" i="2"/>
  <c r="N7" i="2"/>
  <c r="I4" i="2"/>
  <c r="J6" i="2"/>
  <c r="K7" i="2"/>
  <c r="N3" i="2"/>
  <c r="J12" i="2"/>
  <c r="N12" i="2"/>
  <c r="G12" i="2"/>
  <c r="K12" i="2"/>
  <c r="O12" i="2"/>
  <c r="H12" i="2"/>
  <c r="L12" i="2"/>
  <c r="Q12" i="2"/>
  <c r="I12" i="2"/>
  <c r="H5" i="2"/>
  <c r="H6" i="2"/>
  <c r="I5" i="2"/>
  <c r="H3" i="2"/>
  <c r="H7" i="2"/>
  <c r="I6" i="2"/>
  <c r="J5" i="2"/>
  <c r="N8" i="2"/>
  <c r="N9" i="2"/>
  <c r="J8" i="2"/>
  <c r="J9" i="2"/>
  <c r="K8" i="2"/>
  <c r="K9" i="2"/>
  <c r="L8" i="2"/>
  <c r="L9" i="2"/>
  <c r="Q8" i="2"/>
  <c r="Q9" i="2"/>
  <c r="P8" i="2"/>
  <c r="P9" i="2"/>
  <c r="G8" i="2"/>
  <c r="G9" i="2"/>
  <c r="H8" i="2"/>
  <c r="H9" i="2"/>
  <c r="I8" i="2"/>
  <c r="I9" i="2"/>
  <c r="O8" i="2"/>
  <c r="O9" i="2"/>
  <c r="M8" i="2"/>
  <c r="M9" i="2"/>
  <c r="G7" i="1"/>
  <c r="G6" i="1"/>
  <c r="G5" i="1"/>
  <c r="G3" i="1"/>
  <c r="G2" i="1"/>
  <c r="D7" i="1"/>
  <c r="D6" i="1"/>
  <c r="D5" i="1"/>
  <c r="D3" i="1"/>
  <c r="D2" i="1"/>
  <c r="F8" i="1"/>
  <c r="B8" i="1"/>
  <c r="B4" i="1"/>
  <c r="D4" i="1"/>
  <c r="G4" i="1"/>
  <c r="D8" i="1"/>
  <c r="G8" i="1"/>
</calcChain>
</file>

<file path=xl/sharedStrings.xml><?xml version="1.0" encoding="utf-8"?>
<sst xmlns="http://schemas.openxmlformats.org/spreadsheetml/2006/main" count="226" uniqueCount="113">
  <si>
    <t>Bettini</t>
  </si>
  <si>
    <t>Maana</t>
  </si>
  <si>
    <t>Velasco</t>
  </si>
  <si>
    <t>Base gross salary</t>
  </si>
  <si>
    <t>€/USD</t>
  </si>
  <si>
    <t>Luppi*</t>
  </si>
  <si>
    <t>Russo*</t>
  </si>
  <si>
    <t>Valleri*</t>
  </si>
  <si>
    <t>Milan*</t>
  </si>
  <si>
    <t>*includes bonus for crisis management and performance bonuses 2011</t>
  </si>
  <si>
    <t>Total 2012 Compensation</t>
  </si>
  <si>
    <t>2012 Bonus**</t>
  </si>
  <si>
    <t>2013 Bonus***</t>
  </si>
  <si>
    <t>*** Bonus paid/to be paid in 2013 (sales performance 2012)</t>
  </si>
  <si>
    <t>** Bonus paid in 2012 (Sales performance 2011)</t>
  </si>
  <si>
    <t>Totale 2013 Compensation</t>
  </si>
  <si>
    <t>Maglietta</t>
  </si>
  <si>
    <t>SGD</t>
  </si>
  <si>
    <t>EUR</t>
  </si>
  <si>
    <t>USD</t>
  </si>
  <si>
    <t>€/SGD</t>
  </si>
  <si>
    <t>Company target 2013</t>
  </si>
  <si>
    <t>RAL</t>
  </si>
  <si>
    <t>C. Aziendale</t>
  </si>
  <si>
    <t>Bedeschi</t>
  </si>
  <si>
    <t>Max Bonus (=base salary)</t>
  </si>
  <si>
    <t>Company result 2012</t>
  </si>
  <si>
    <t>delta</t>
  </si>
  <si>
    <t>%</t>
  </si>
  <si>
    <t>% RAL Come bonus -&gt;</t>
  </si>
  <si>
    <t>Delta tra 2012 e 2013 - Per ogni % di delta raggiunta si ha la corrispondente % di salary come bonus. Al raggiungimento del 50% di delta fatturato aggiuntivo (12.000.000) si ha anche un incremento della percentuale</t>
  </si>
  <si>
    <t>EUR+</t>
  </si>
  <si>
    <t>*Actual 44k - 50k a tendere</t>
  </si>
  <si>
    <t>Luppi</t>
  </si>
  <si>
    <t>Valore Bonus</t>
  </si>
  <si>
    <t>Bonus per nuovi clienti</t>
  </si>
  <si>
    <t xml:space="preserve">Nuovi Clienti Target </t>
  </si>
  <si>
    <t>&gt;= 2</t>
  </si>
  <si>
    <t>Obiettivo Fatturato Personale</t>
  </si>
  <si>
    <t>Obiettivo Fatturato Personale (Existing Clients)</t>
  </si>
  <si>
    <t>Obiettivo Fatturato Aziendale</t>
  </si>
  <si>
    <t>Risultato Personale</t>
  </si>
  <si>
    <t>Risultato Aziendale</t>
  </si>
  <si>
    <t># Clienti</t>
  </si>
  <si>
    <t>New Clients</t>
  </si>
  <si>
    <t>Existing Clients</t>
  </si>
  <si>
    <t>Bonus per fatturato personale</t>
  </si>
  <si>
    <t>Bonus per upsell personale</t>
  </si>
  <si>
    <t>Bonus per Company result</t>
  </si>
  <si>
    <t>Avg. Price</t>
  </si>
  <si>
    <t>RAL Annua (bonus 100%)</t>
  </si>
  <si>
    <t xml:space="preserve">Sheata </t>
  </si>
  <si>
    <t># Clients</t>
  </si>
  <si>
    <t>Bonus raggiunto</t>
  </si>
  <si>
    <t>SGD Salary</t>
  </si>
  <si>
    <t>USD Salary</t>
  </si>
  <si>
    <t>Bonus maturato</t>
  </si>
  <si>
    <t>Costo Azienda</t>
  </si>
  <si>
    <t>Revenues</t>
  </si>
  <si>
    <t>Direct Costs</t>
  </si>
  <si>
    <t>Commissions</t>
  </si>
  <si>
    <t>Personnel Cost</t>
  </si>
  <si>
    <t>Bonuses and Incentives</t>
  </si>
  <si>
    <t>Other Personnel Cost</t>
  </si>
  <si>
    <t>A&amp;P</t>
  </si>
  <si>
    <t>G&amp;A</t>
  </si>
  <si>
    <t>EBITDA</t>
  </si>
  <si>
    <t>Amortization</t>
  </si>
  <si>
    <t>EBIT</t>
  </si>
  <si>
    <t>Finance Income and Expenses (Interest )</t>
  </si>
  <si>
    <t>EBT</t>
  </si>
  <si>
    <t>Income Taxes</t>
  </si>
  <si>
    <t>Net Profit</t>
  </si>
  <si>
    <t>SALES BONUS</t>
  </si>
  <si>
    <t>% Raggiungimento</t>
  </si>
  <si>
    <t>Risultato Target</t>
  </si>
  <si>
    <t xml:space="preserve">Bonus </t>
  </si>
  <si>
    <t>Bonus DV + GR</t>
  </si>
  <si>
    <t xml:space="preserve">DV </t>
  </si>
  <si>
    <t>GR</t>
  </si>
  <si>
    <t>EBITDA Required ( &gt;= 20%)</t>
  </si>
  <si>
    <t>Already secured?</t>
  </si>
  <si>
    <t># clients esistenti</t>
  </si>
  <si>
    <t>kazak</t>
  </si>
  <si>
    <t>uzb</t>
  </si>
  <si>
    <t>azerb</t>
  </si>
  <si>
    <t>previsti</t>
  </si>
  <si>
    <t>cezch + others</t>
  </si>
  <si>
    <t>tnp</t>
  </si>
  <si>
    <t>AFF DST</t>
  </si>
  <si>
    <t>macc</t>
  </si>
  <si>
    <t>ska</t>
  </si>
  <si>
    <t xml:space="preserve">pmo </t>
  </si>
  <si>
    <t>thai</t>
  </si>
  <si>
    <t>campeche</t>
  </si>
  <si>
    <t>puebla</t>
  </si>
  <si>
    <t>ecuador</t>
  </si>
  <si>
    <t>panama</t>
  </si>
  <si>
    <t>fbi</t>
  </si>
  <si>
    <t>pcm</t>
  </si>
  <si>
    <t>condor/falcon</t>
  </si>
  <si>
    <t>&gt;=  2.000.000</t>
  </si>
  <si>
    <t>&gt;=  800.000</t>
  </si>
  <si>
    <t>&gt;= 3</t>
  </si>
  <si>
    <t>Obiettivo Fatturato Complessivo Personale</t>
  </si>
  <si>
    <t>Obiettivo Fatturato Personale 
(Quota relativa a clienti esistenti)</t>
  </si>
  <si>
    <t>Sheata</t>
  </si>
  <si>
    <t>Total revenue</t>
  </si>
  <si>
    <t>Maintenance</t>
  </si>
  <si>
    <t>Company Reveune</t>
  </si>
  <si>
    <t>&gt;=  1.800.000</t>
  </si>
  <si>
    <t>&gt;=  4490.000</t>
  </si>
  <si>
    <t>new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</si>
</sst>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  <numFmt numFmtId="167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/>
    <xf numFmtId="164" fontId="3" fillId="0" borderId="0" applyFill="0" applyBorder="0" applyAlignment="0" applyProtection="0"/>
    <xf numFmtId="164" fontId="6" fillId="0" borderId="0" applyFont="0" applyFill="0" applyBorder="0" applyAlignment="0" applyProtection="0"/>
    <xf numFmtId="166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</cellStyleXfs>
  <cellXfs count="17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165" fontId="0" fillId="2" borderId="0" xfId="1" applyNumberFormat="1" applyFont="1" applyFill="1" applyBorder="1" applyAlignment="1">
      <alignment horizontal="left" vertical="center"/>
    </xf>
    <xf numFmtId="165" fontId="0" fillId="2" borderId="6" xfId="1" applyNumberFormat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left"/>
    </xf>
    <xf numFmtId="165" fontId="2" fillId="2" borderId="7" xfId="1" applyNumberFormat="1" applyFont="1" applyFill="1" applyBorder="1" applyAlignment="1">
      <alignment horizontal="left"/>
    </xf>
    <xf numFmtId="165" fontId="0" fillId="2" borderId="13" xfId="1" applyNumberFormat="1" applyFont="1" applyFill="1" applyBorder="1" applyAlignment="1">
      <alignment horizontal="left" vertical="center"/>
    </xf>
    <xf numFmtId="165" fontId="0" fillId="2" borderId="14" xfId="1" applyNumberFormat="1" applyFont="1" applyFill="1" applyBorder="1" applyAlignment="1">
      <alignment horizontal="left" vertical="center"/>
    </xf>
    <xf numFmtId="165" fontId="2" fillId="2" borderId="15" xfId="1" applyNumberFormat="1" applyFont="1" applyFill="1" applyBorder="1" applyAlignment="1">
      <alignment horizontal="left"/>
    </xf>
    <xf numFmtId="165" fontId="0" fillId="2" borderId="11" xfId="1" applyNumberFormat="1" applyFont="1" applyFill="1" applyBorder="1" applyAlignment="1">
      <alignment horizontal="left" vertical="center"/>
    </xf>
    <xf numFmtId="165" fontId="0" fillId="2" borderId="12" xfId="1" applyNumberFormat="1" applyFont="1" applyFill="1" applyBorder="1" applyAlignment="1">
      <alignment horizontal="left" vertical="center"/>
    </xf>
    <xf numFmtId="165" fontId="2" fillId="2" borderId="0" xfId="1" applyNumberFormat="1" applyFont="1" applyFill="1" applyBorder="1" applyAlignment="1">
      <alignment horizontal="left" vertical="center"/>
    </xf>
    <xf numFmtId="0" fontId="0" fillId="2" borderId="0" xfId="0" applyFill="1" applyBorder="1"/>
    <xf numFmtId="0" fontId="0" fillId="2" borderId="10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left" vertical="center"/>
    </xf>
    <xf numFmtId="165" fontId="2" fillId="2" borderId="3" xfId="1" applyNumberFormat="1" applyFont="1" applyFill="1" applyBorder="1" applyAlignment="1">
      <alignment horizontal="left" vertical="center"/>
    </xf>
    <xf numFmtId="165" fontId="2" fillId="2" borderId="4" xfId="1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5" fontId="0" fillId="3" borderId="2" xfId="1" applyNumberFormat="1" applyFont="1" applyFill="1" applyBorder="1" applyAlignment="1">
      <alignment horizontal="left" vertical="center"/>
    </xf>
    <xf numFmtId="165" fontId="0" fillId="3" borderId="3" xfId="1" applyNumberFormat="1" applyFont="1" applyFill="1" applyBorder="1" applyAlignment="1">
      <alignment horizontal="left" vertical="center"/>
    </xf>
    <xf numFmtId="165" fontId="4" fillId="3" borderId="3" xfId="1" applyNumberFormat="1" applyFont="1" applyFill="1" applyBorder="1" applyAlignment="1">
      <alignment horizontal="left" vertical="center"/>
    </xf>
    <xf numFmtId="165" fontId="4" fillId="3" borderId="4" xfId="1" applyNumberFormat="1" applyFont="1" applyFill="1" applyBorder="1" applyAlignment="1">
      <alignment horizontal="left" vertical="center"/>
    </xf>
    <xf numFmtId="165" fontId="0" fillId="2" borderId="3" xfId="1" applyNumberFormat="1" applyFont="1" applyFill="1" applyBorder="1" applyAlignment="1">
      <alignment horizontal="left" vertical="center"/>
    </xf>
    <xf numFmtId="165" fontId="0" fillId="2" borderId="4" xfId="1" applyNumberFormat="1" applyFont="1" applyFill="1" applyBorder="1" applyAlignment="1">
      <alignment horizontal="left" vertical="center"/>
    </xf>
    <xf numFmtId="0" fontId="0" fillId="2" borderId="0" xfId="0" applyFont="1" applyFill="1"/>
    <xf numFmtId="9" fontId="0" fillId="2" borderId="0" xfId="0" applyNumberFormat="1" applyFill="1"/>
    <xf numFmtId="165" fontId="0" fillId="2" borderId="0" xfId="0" applyNumberFormat="1" applyFill="1"/>
    <xf numFmtId="165" fontId="0" fillId="2" borderId="0" xfId="1" applyNumberFormat="1" applyFont="1" applyFill="1"/>
    <xf numFmtId="165" fontId="2" fillId="2" borderId="0" xfId="1" applyNumberFormat="1" applyFont="1" applyFill="1"/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165" fontId="0" fillId="2" borderId="2" xfId="1" applyNumberFormat="1" applyFont="1" applyFill="1" applyBorder="1" applyAlignment="1">
      <alignment horizontal="center" vertical="center" wrapText="1"/>
    </xf>
    <xf numFmtId="9" fontId="0" fillId="2" borderId="0" xfId="4" applyFont="1" applyFill="1"/>
    <xf numFmtId="165" fontId="7" fillId="2" borderId="0" xfId="1" applyNumberFormat="1" applyFont="1" applyFill="1"/>
    <xf numFmtId="0" fontId="0" fillId="2" borderId="14" xfId="0" applyFill="1" applyBorder="1"/>
    <xf numFmtId="165" fontId="2" fillId="2" borderId="14" xfId="0" applyNumberFormat="1" applyFont="1" applyFill="1" applyBorder="1"/>
    <xf numFmtId="9" fontId="2" fillId="2" borderId="6" xfId="0" applyNumberFormat="1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left" vertical="center"/>
    </xf>
    <xf numFmtId="0" fontId="2" fillId="4" borderId="0" xfId="0" applyFont="1" applyFill="1"/>
    <xf numFmtId="0" fontId="0" fillId="2" borderId="0" xfId="0" applyFill="1" applyAlignment="1">
      <alignment horizontal="center"/>
    </xf>
    <xf numFmtId="0" fontId="0" fillId="4" borderId="0" xfId="0" applyFill="1"/>
    <xf numFmtId="165" fontId="2" fillId="2" borderId="0" xfId="0" applyNumberFormat="1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3" borderId="0" xfId="0" applyFill="1"/>
    <xf numFmtId="9" fontId="0" fillId="3" borderId="0" xfId="4" applyFont="1" applyFill="1"/>
    <xf numFmtId="167" fontId="0" fillId="3" borderId="0" xfId="0" applyNumberFormat="1" applyFill="1"/>
    <xf numFmtId="165" fontId="0" fillId="3" borderId="0" xfId="1" applyNumberFormat="1" applyFont="1" applyFill="1" applyAlignment="1">
      <alignment horizontal="center"/>
    </xf>
    <xf numFmtId="165" fontId="10" fillId="2" borderId="0" xfId="1" applyNumberFormat="1" applyFont="1" applyFill="1"/>
    <xf numFmtId="165" fontId="5" fillId="2" borderId="0" xfId="1" applyNumberFormat="1" applyFont="1" applyFill="1"/>
    <xf numFmtId="165" fontId="11" fillId="2" borderId="0" xfId="1" applyNumberFormat="1" applyFont="1" applyFill="1"/>
    <xf numFmtId="0" fontId="0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165" fontId="8" fillId="2" borderId="0" xfId="0" applyNumberFormat="1" applyFont="1" applyFill="1"/>
    <xf numFmtId="165" fontId="10" fillId="4" borderId="0" xfId="1" applyNumberFormat="1" applyFont="1" applyFill="1"/>
    <xf numFmtId="165" fontId="9" fillId="4" borderId="0" xfId="1" applyNumberFormat="1" applyFont="1" applyFill="1"/>
    <xf numFmtId="0" fontId="12" fillId="3" borderId="0" xfId="0" applyFont="1" applyFill="1"/>
    <xf numFmtId="165" fontId="2" fillId="4" borderId="0" xfId="0" applyNumberFormat="1" applyFont="1" applyFill="1"/>
    <xf numFmtId="165" fontId="0" fillId="2" borderId="0" xfId="1" applyNumberFormat="1" applyFont="1" applyFill="1" applyAlignment="1">
      <alignment horizontal="center"/>
    </xf>
    <xf numFmtId="165" fontId="5" fillId="2" borderId="0" xfId="1" applyNumberFormat="1" applyFont="1" applyFill="1" applyAlignment="1">
      <alignment horizontal="center"/>
    </xf>
    <xf numFmtId="9" fontId="5" fillId="2" borderId="0" xfId="4" applyFont="1" applyFill="1" applyAlignment="1">
      <alignment horizontal="center"/>
    </xf>
    <xf numFmtId="165" fontId="2" fillId="4" borderId="0" xfId="1" applyNumberFormat="1" applyFont="1" applyFill="1"/>
    <xf numFmtId="165" fontId="0" fillId="4" borderId="0" xfId="0" applyNumberFormat="1" applyFont="1" applyFill="1"/>
    <xf numFmtId="9" fontId="0" fillId="2" borderId="8" xfId="0" applyNumberFormat="1" applyFill="1" applyBorder="1"/>
    <xf numFmtId="9" fontId="0" fillId="2" borderId="10" xfId="0" applyNumberFormat="1" applyFill="1" applyBorder="1" applyAlignment="1">
      <alignment horizontal="center" vertical="center"/>
    </xf>
    <xf numFmtId="9" fontId="0" fillId="2" borderId="8" xfId="0" applyNumberFormat="1" applyFill="1" applyBorder="1" applyAlignment="1">
      <alignment horizontal="center" vertical="center"/>
    </xf>
    <xf numFmtId="9" fontId="0" fillId="2" borderId="9" xfId="0" applyNumberFormat="1" applyFill="1" applyBorder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0" fontId="13" fillId="5" borderId="0" xfId="0" applyNumberFormat="1" applyFont="1" applyFill="1" applyBorder="1"/>
    <xf numFmtId="0" fontId="5" fillId="5" borderId="0" xfId="0" applyNumberFormat="1" applyFont="1" applyFill="1" applyBorder="1"/>
    <xf numFmtId="165" fontId="13" fillId="2" borderId="11" xfId="1" applyNumberFormat="1" applyFont="1" applyFill="1" applyBorder="1"/>
    <xf numFmtId="165" fontId="2" fillId="2" borderId="0" xfId="1" applyNumberFormat="1" applyFont="1" applyFill="1" applyBorder="1" applyAlignment="1">
      <alignment horizontal="center" vertical="center"/>
    </xf>
    <xf numFmtId="165" fontId="2" fillId="2" borderId="11" xfId="1" applyNumberFormat="1" applyFont="1" applyFill="1" applyBorder="1" applyAlignment="1">
      <alignment horizontal="center" vertical="center"/>
    </xf>
    <xf numFmtId="165" fontId="2" fillId="2" borderId="5" xfId="1" applyNumberFormat="1" applyFont="1" applyFill="1" applyBorder="1" applyAlignment="1">
      <alignment horizontal="center" vertical="center"/>
    </xf>
    <xf numFmtId="165" fontId="0" fillId="2" borderId="0" xfId="1" applyNumberFormat="1" applyFont="1" applyFill="1" applyAlignment="1">
      <alignment horizontal="center" vertical="center"/>
    </xf>
    <xf numFmtId="165" fontId="5" fillId="2" borderId="11" xfId="1" applyNumberFormat="1" applyFont="1" applyFill="1" applyBorder="1"/>
    <xf numFmtId="165" fontId="5" fillId="2" borderId="0" xfId="1" applyNumberFormat="1" applyFont="1" applyFill="1" applyBorder="1"/>
    <xf numFmtId="0" fontId="0" fillId="2" borderId="11" xfId="0" applyFill="1" applyBorder="1"/>
    <xf numFmtId="165" fontId="0" fillId="2" borderId="5" xfId="0" applyNumberFormat="1" applyFill="1" applyBorder="1"/>
    <xf numFmtId="165" fontId="5" fillId="2" borderId="5" xfId="1" applyNumberFormat="1" applyFont="1" applyFill="1" applyBorder="1"/>
    <xf numFmtId="165" fontId="4" fillId="2" borderId="0" xfId="1" applyNumberFormat="1" applyFont="1" applyFill="1" applyBorder="1"/>
    <xf numFmtId="165" fontId="4" fillId="2" borderId="11" xfId="1" applyNumberFormat="1" applyFont="1" applyFill="1" applyBorder="1"/>
    <xf numFmtId="165" fontId="4" fillId="2" borderId="5" xfId="1" applyNumberFormat="1" applyFont="1" applyFill="1" applyBorder="1"/>
    <xf numFmtId="0" fontId="13" fillId="3" borderId="0" xfId="0" applyNumberFormat="1" applyFont="1" applyFill="1" applyBorder="1"/>
    <xf numFmtId="165" fontId="13" fillId="3" borderId="11" xfId="1" applyNumberFormat="1" applyFont="1" applyFill="1" applyBorder="1"/>
    <xf numFmtId="165" fontId="13" fillId="3" borderId="0" xfId="1" applyNumberFormat="1" applyFont="1" applyFill="1" applyBorder="1"/>
    <xf numFmtId="165" fontId="13" fillId="3" borderId="5" xfId="1" applyNumberFormat="1" applyFont="1" applyFill="1" applyBorder="1"/>
    <xf numFmtId="9" fontId="5" fillId="5" borderId="0" xfId="4" applyFont="1" applyFill="1" applyBorder="1" applyAlignment="1">
      <alignment horizontal="right"/>
    </xf>
    <xf numFmtId="9" fontId="5" fillId="5" borderId="0" xfId="4" applyFont="1" applyFill="1" applyBorder="1"/>
    <xf numFmtId="9" fontId="5" fillId="2" borderId="11" xfId="4" applyFont="1" applyFill="1" applyBorder="1"/>
    <xf numFmtId="9" fontId="5" fillId="2" borderId="0" xfId="4" applyFont="1" applyFill="1" applyBorder="1"/>
    <xf numFmtId="9" fontId="5" fillId="2" borderId="5" xfId="4" applyFont="1" applyFill="1" applyBorder="1"/>
    <xf numFmtId="165" fontId="0" fillId="2" borderId="11" xfId="1" applyNumberFormat="1" applyFont="1" applyFill="1" applyBorder="1"/>
    <xf numFmtId="0" fontId="0" fillId="2" borderId="5" xfId="0" applyFill="1" applyBorder="1"/>
    <xf numFmtId="165" fontId="13" fillId="2" borderId="0" xfId="1" applyNumberFormat="1" applyFont="1" applyFill="1" applyBorder="1"/>
    <xf numFmtId="165" fontId="13" fillId="2" borderId="5" xfId="1" applyNumberFormat="1" applyFont="1" applyFill="1" applyBorder="1"/>
    <xf numFmtId="0" fontId="4" fillId="5" borderId="0" xfId="0" applyNumberFormat="1" applyFont="1" applyFill="1" applyBorder="1"/>
    <xf numFmtId="0" fontId="13" fillId="2" borderId="0" xfId="0" applyFont="1" applyFill="1" applyBorder="1" applyAlignment="1">
      <alignment horizontal="center" vertical="center"/>
    </xf>
    <xf numFmtId="9" fontId="2" fillId="6" borderId="11" xfId="0" applyNumberFormat="1" applyFont="1" applyFill="1" applyBorder="1" applyAlignment="1">
      <alignment horizontal="center" vertical="center"/>
    </xf>
    <xf numFmtId="9" fontId="2" fillId="2" borderId="0" xfId="0" applyNumberFormat="1" applyFont="1" applyFill="1" applyBorder="1" applyAlignment="1">
      <alignment horizontal="center" vertical="center"/>
    </xf>
    <xf numFmtId="9" fontId="2" fillId="2" borderId="11" xfId="0" applyNumberFormat="1" applyFont="1" applyFill="1" applyBorder="1" applyAlignment="1">
      <alignment horizontal="center" vertical="center"/>
    </xf>
    <xf numFmtId="9" fontId="2" fillId="2" borderId="5" xfId="0" applyNumberFormat="1" applyFont="1" applyFill="1" applyBorder="1" applyAlignment="1">
      <alignment horizontal="center" vertical="center"/>
    </xf>
    <xf numFmtId="165" fontId="0" fillId="6" borderId="11" xfId="1" applyNumberFormat="1" applyFont="1" applyFill="1" applyBorder="1" applyAlignment="1">
      <alignment horizontal="center" vertical="center"/>
    </xf>
    <xf numFmtId="165" fontId="0" fillId="2" borderId="0" xfId="1" applyNumberFormat="1" applyFont="1" applyFill="1" applyBorder="1" applyAlignment="1">
      <alignment horizontal="center" vertical="center"/>
    </xf>
    <xf numFmtId="165" fontId="0" fillId="2" borderId="11" xfId="1" applyNumberFormat="1" applyFont="1" applyFill="1" applyBorder="1" applyAlignment="1">
      <alignment horizontal="center" vertical="center"/>
    </xf>
    <xf numFmtId="165" fontId="0" fillId="2" borderId="5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165" fontId="0" fillId="6" borderId="11" xfId="1" applyNumberFormat="1" applyFont="1" applyFill="1" applyBorder="1"/>
    <xf numFmtId="165" fontId="0" fillId="2" borderId="0" xfId="1" applyNumberFormat="1" applyFont="1" applyFill="1" applyBorder="1"/>
    <xf numFmtId="165" fontId="0" fillId="2" borderId="5" xfId="1" applyNumberFormat="1" applyFont="1" applyFill="1" applyBorder="1"/>
    <xf numFmtId="165" fontId="0" fillId="6" borderId="12" xfId="1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165" fontId="2" fillId="2" borderId="12" xfId="1" applyNumberFormat="1" applyFont="1" applyFill="1" applyBorder="1"/>
    <xf numFmtId="165" fontId="2" fillId="2" borderId="6" xfId="1" applyNumberFormat="1" applyFont="1" applyFill="1" applyBorder="1"/>
    <xf numFmtId="165" fontId="2" fillId="2" borderId="7" xfId="1" applyNumberFormat="1" applyFont="1" applyFill="1" applyBorder="1"/>
    <xf numFmtId="9" fontId="2" fillId="2" borderId="0" xfId="4" applyFont="1" applyFill="1"/>
    <xf numFmtId="165" fontId="1" fillId="2" borderId="0" xfId="1" applyNumberFormat="1" applyFont="1" applyFill="1"/>
    <xf numFmtId="165" fontId="4" fillId="2" borderId="0" xfId="1" applyNumberFormat="1" applyFont="1" applyFill="1"/>
    <xf numFmtId="165" fontId="0" fillId="2" borderId="0" xfId="0" applyNumberFormat="1" applyFont="1" applyFill="1"/>
    <xf numFmtId="165" fontId="4" fillId="3" borderId="0" xfId="1" applyNumberFormat="1" applyFont="1" applyFill="1" applyAlignment="1">
      <alignment horizontal="center"/>
    </xf>
    <xf numFmtId="0" fontId="14" fillId="3" borderId="0" xfId="0" applyFont="1" applyFill="1"/>
    <xf numFmtId="165" fontId="5" fillId="3" borderId="0" xfId="1" applyNumberFormat="1" applyFont="1" applyFill="1" applyAlignment="1">
      <alignment horizontal="center"/>
    </xf>
    <xf numFmtId="0" fontId="5" fillId="3" borderId="0" xfId="0" applyFont="1" applyFill="1"/>
    <xf numFmtId="9" fontId="5" fillId="3" borderId="0" xfId="4" applyFont="1" applyFill="1"/>
    <xf numFmtId="167" fontId="5" fillId="3" borderId="0" xfId="0" applyNumberFormat="1" applyFont="1" applyFill="1"/>
    <xf numFmtId="0" fontId="13" fillId="2" borderId="0" xfId="0" applyFont="1" applyFill="1"/>
    <xf numFmtId="165" fontId="13" fillId="2" borderId="0" xfId="0" applyNumberFormat="1" applyFont="1" applyFill="1"/>
    <xf numFmtId="0" fontId="5" fillId="2" borderId="0" xfId="0" applyFont="1" applyFill="1"/>
    <xf numFmtId="9" fontId="0" fillId="2" borderId="11" xfId="4" applyFont="1" applyFill="1" applyBorder="1"/>
    <xf numFmtId="9" fontId="0" fillId="2" borderId="0" xfId="4" applyFont="1" applyFill="1" applyBorder="1"/>
    <xf numFmtId="9" fontId="0" fillId="2" borderId="5" xfId="4" applyFont="1" applyFill="1" applyBorder="1"/>
    <xf numFmtId="9" fontId="0" fillId="2" borderId="12" xfId="4" applyFont="1" applyFill="1" applyBorder="1"/>
    <xf numFmtId="9" fontId="0" fillId="2" borderId="6" xfId="4" applyFont="1" applyFill="1" applyBorder="1"/>
    <xf numFmtId="9" fontId="0" fillId="2" borderId="7" xfId="4" applyFont="1" applyFill="1" applyBorder="1"/>
    <xf numFmtId="0" fontId="0" fillId="2" borderId="12" xfId="0" applyFill="1" applyBorder="1"/>
    <xf numFmtId="165" fontId="0" fillId="2" borderId="13" xfId="1" applyNumberFormat="1" applyFont="1" applyFill="1" applyBorder="1"/>
    <xf numFmtId="165" fontId="0" fillId="2" borderId="14" xfId="1" applyNumberFormat="1" applyFont="1" applyFill="1" applyBorder="1"/>
    <xf numFmtId="0" fontId="2" fillId="2" borderId="0" xfId="0" applyFont="1" applyFill="1" applyAlignment="1">
      <alignment horizontal="right"/>
    </xf>
    <xf numFmtId="9" fontId="4" fillId="2" borderId="11" xfId="4" applyFont="1" applyFill="1" applyBorder="1"/>
    <xf numFmtId="9" fontId="4" fillId="2" borderId="0" xfId="4" applyFont="1" applyFill="1" applyBorder="1"/>
    <xf numFmtId="9" fontId="4" fillId="2" borderId="5" xfId="4" applyFont="1" applyFill="1" applyBorder="1"/>
    <xf numFmtId="0" fontId="0" fillId="2" borderId="5" xfId="0" applyFill="1" applyBorder="1" applyAlignment="1">
      <alignment horizontal="center"/>
    </xf>
    <xf numFmtId="165" fontId="0" fillId="2" borderId="5" xfId="1" applyNumberFormat="1" applyFont="1" applyFill="1" applyBorder="1" applyAlignment="1">
      <alignment horizontal="center"/>
    </xf>
    <xf numFmtId="165" fontId="0" fillId="2" borderId="15" xfId="1" applyNumberFormat="1" applyFont="1" applyFill="1" applyBorder="1" applyAlignment="1">
      <alignment horizontal="center"/>
    </xf>
    <xf numFmtId="165" fontId="4" fillId="2" borderId="5" xfId="1" applyNumberFormat="1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0" xfId="0" applyFont="1" applyFill="1" applyBorder="1"/>
    <xf numFmtId="0" fontId="5" fillId="2" borderId="5" xfId="0" applyFont="1" applyFill="1" applyBorder="1" applyAlignment="1">
      <alignment horizontal="center"/>
    </xf>
    <xf numFmtId="0" fontId="1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165" fontId="5" fillId="3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9" fontId="5" fillId="3" borderId="0" xfId="4" applyFont="1" applyFill="1" applyAlignment="1">
      <alignment horizontal="center" vertical="center"/>
    </xf>
    <xf numFmtId="167" fontId="5" fillId="3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left" vertical="top" wrapText="1"/>
    </xf>
    <xf numFmtId="0" fontId="14" fillId="3" borderId="0" xfId="0" applyFont="1" applyFill="1" applyAlignment="1">
      <alignment wrapText="1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64" fontId="0" fillId="2" borderId="0" xfId="1" applyFont="1" applyFill="1"/>
  </cellXfs>
  <cellStyles count="12">
    <cellStyle name="Comma" xfId="1" builtinId="3"/>
    <cellStyle name="Migliaia 2" xfId="6"/>
    <cellStyle name="Migliaia 3" xfId="7"/>
    <cellStyle name="Normal" xfId="0" builtinId="0"/>
    <cellStyle name="Normal 2" xfId="2"/>
    <cellStyle name="Normal 3" xfId="5"/>
    <cellStyle name="Normale 2" xfId="8"/>
    <cellStyle name="Normale 3" xfId="9"/>
    <cellStyle name="Normale 4" xfId="10"/>
    <cellStyle name="Percent" xfId="4" builtinId="5"/>
    <cellStyle name="Percent 2" xfId="3"/>
    <cellStyle name="Percentual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5"/>
  <sheetViews>
    <sheetView zoomScale="80" zoomScaleNormal="80" workbookViewId="0">
      <selection activeCell="P33" sqref="P33"/>
    </sheetView>
  </sheetViews>
  <sheetFormatPr defaultColWidth="8.88671875" defaultRowHeight="14.4" x14ac:dyDescent="0.3"/>
  <cols>
    <col min="1" max="2" width="8" style="1" customWidth="1"/>
    <col min="3" max="3" width="24" style="1" customWidth="1"/>
    <col min="4" max="4" width="8.88671875" style="1" customWidth="1"/>
    <col min="5" max="6" width="8.88671875" style="1" hidden="1" customWidth="1"/>
    <col min="7" max="7" width="9.33203125" style="1" bestFit="1" customWidth="1"/>
    <col min="8" max="16384" width="8.88671875" style="1"/>
  </cols>
  <sheetData>
    <row r="1" spans="2:13" ht="14.4" customHeight="1" x14ac:dyDescent="0.3">
      <c r="E1" s="73">
        <v>1</v>
      </c>
      <c r="F1" s="74">
        <f t="shared" ref="F1:M1" si="0">+F2/$D$29</f>
        <v>0.69576490924805534</v>
      </c>
      <c r="G1" s="75">
        <f t="shared" si="0"/>
        <v>0.76318063958513394</v>
      </c>
      <c r="H1" s="74">
        <f t="shared" si="0"/>
        <v>0.80207433016421781</v>
      </c>
      <c r="I1" s="74">
        <f t="shared" si="0"/>
        <v>0.84701815038893691</v>
      </c>
      <c r="J1" s="74">
        <f t="shared" si="0"/>
        <v>0.88591184096802078</v>
      </c>
      <c r="K1" s="74">
        <f t="shared" si="0"/>
        <v>0.92480553154710454</v>
      </c>
      <c r="L1" s="74">
        <f t="shared" si="0"/>
        <v>0.96369922212618842</v>
      </c>
      <c r="M1" s="76">
        <f t="shared" si="0"/>
        <v>1</v>
      </c>
    </row>
    <row r="2" spans="2:13" x14ac:dyDescent="0.3">
      <c r="B2" s="77"/>
      <c r="C2" s="78" t="s">
        <v>58</v>
      </c>
      <c r="D2" s="79"/>
      <c r="E2" s="80">
        <v>11570</v>
      </c>
      <c r="F2" s="81">
        <v>8050</v>
      </c>
      <c r="G2" s="82">
        <v>8830</v>
      </c>
      <c r="H2" s="81">
        <v>9280</v>
      </c>
      <c r="I2" s="81">
        <v>9800</v>
      </c>
      <c r="J2" s="81">
        <v>10250</v>
      </c>
      <c r="K2" s="81">
        <v>10700</v>
      </c>
      <c r="L2" s="81">
        <v>11150</v>
      </c>
      <c r="M2" s="83">
        <f>+E2</f>
        <v>11570</v>
      </c>
    </row>
    <row r="3" spans="2:13" x14ac:dyDescent="0.3">
      <c r="B3" s="84"/>
      <c r="C3" s="79" t="s">
        <v>59</v>
      </c>
      <c r="D3" s="79"/>
      <c r="E3" s="85">
        <v>395</v>
      </c>
      <c r="F3" s="86">
        <v>360</v>
      </c>
      <c r="G3" s="87">
        <v>365</v>
      </c>
      <c r="H3" s="19">
        <v>370</v>
      </c>
      <c r="I3" s="19">
        <v>375</v>
      </c>
      <c r="J3" s="19">
        <v>380</v>
      </c>
      <c r="K3" s="19">
        <v>385</v>
      </c>
      <c r="L3" s="19">
        <v>390</v>
      </c>
      <c r="M3" s="88">
        <f>+E3</f>
        <v>395</v>
      </c>
    </row>
    <row r="4" spans="2:13" x14ac:dyDescent="0.3">
      <c r="B4" s="84"/>
      <c r="C4" s="79" t="s">
        <v>60</v>
      </c>
      <c r="D4" s="79"/>
      <c r="E4" s="85">
        <v>462.8</v>
      </c>
      <c r="F4" s="86">
        <v>322</v>
      </c>
      <c r="G4" s="87">
        <v>353</v>
      </c>
      <c r="H4" s="19">
        <v>371</v>
      </c>
      <c r="I4" s="19">
        <v>392</v>
      </c>
      <c r="J4" s="19">
        <v>410</v>
      </c>
      <c r="K4" s="19">
        <v>428</v>
      </c>
      <c r="L4" s="19">
        <v>446</v>
      </c>
      <c r="M4" s="88">
        <f>+E4</f>
        <v>462.8</v>
      </c>
    </row>
    <row r="5" spans="2:13" x14ac:dyDescent="0.3">
      <c r="B5" s="84"/>
      <c r="C5" s="79" t="s">
        <v>61</v>
      </c>
      <c r="D5" s="79"/>
      <c r="E5" s="85">
        <v>3856.1094486699994</v>
      </c>
      <c r="F5" s="85">
        <v>3856.1094486699994</v>
      </c>
      <c r="G5" s="85">
        <v>3856.1094486699994</v>
      </c>
      <c r="H5" s="85">
        <v>3856.1094486699994</v>
      </c>
      <c r="I5" s="85">
        <v>3856.1094486699994</v>
      </c>
      <c r="J5" s="85">
        <v>3856.1094486699994</v>
      </c>
      <c r="K5" s="85">
        <v>3856.1094486699994</v>
      </c>
      <c r="L5" s="85">
        <v>3856.1094486699994</v>
      </c>
      <c r="M5" s="89">
        <f>+E5</f>
        <v>3856.1094486699994</v>
      </c>
    </row>
    <row r="6" spans="2:13" x14ac:dyDescent="0.3">
      <c r="B6" s="36"/>
      <c r="C6" s="79" t="s">
        <v>62</v>
      </c>
      <c r="D6" s="79"/>
      <c r="E6" s="85">
        <v>892.875</v>
      </c>
      <c r="F6" s="90">
        <f>+F30</f>
        <v>621.31806395851345</v>
      </c>
      <c r="G6" s="91"/>
      <c r="H6" s="90"/>
      <c r="I6" s="90"/>
      <c r="J6" s="90"/>
      <c r="K6" s="90"/>
      <c r="L6" s="90"/>
      <c r="M6" s="92"/>
    </row>
    <row r="7" spans="2:13" x14ac:dyDescent="0.3">
      <c r="B7" s="36"/>
      <c r="C7" s="79" t="s">
        <v>63</v>
      </c>
      <c r="D7" s="79"/>
      <c r="E7" s="85">
        <v>571.75</v>
      </c>
      <c r="F7" s="86">
        <v>571.75</v>
      </c>
      <c r="G7" s="85">
        <v>571.75</v>
      </c>
      <c r="H7" s="86">
        <v>571.75</v>
      </c>
      <c r="I7" s="86">
        <v>571.75</v>
      </c>
      <c r="J7" s="86">
        <v>571.75</v>
      </c>
      <c r="K7" s="86">
        <v>571.75</v>
      </c>
      <c r="L7" s="86">
        <v>571.75</v>
      </c>
      <c r="M7" s="89">
        <f>+E7</f>
        <v>571.75</v>
      </c>
    </row>
    <row r="8" spans="2:13" x14ac:dyDescent="0.3">
      <c r="C8" s="79" t="s">
        <v>64</v>
      </c>
      <c r="D8" s="79"/>
      <c r="E8" s="85">
        <v>350.00000000000006</v>
      </c>
      <c r="F8" s="86">
        <v>350.00000000000006</v>
      </c>
      <c r="G8" s="85">
        <v>350.00000000000006</v>
      </c>
      <c r="H8" s="86">
        <v>350.00000000000006</v>
      </c>
      <c r="I8" s="86">
        <v>350.00000000000006</v>
      </c>
      <c r="J8" s="86">
        <v>350.00000000000006</v>
      </c>
      <c r="K8" s="86">
        <v>350.00000000000006</v>
      </c>
      <c r="L8" s="86">
        <v>350.00000000000006</v>
      </c>
      <c r="M8" s="89">
        <f>+E8</f>
        <v>350.00000000000006</v>
      </c>
    </row>
    <row r="9" spans="2:13" x14ac:dyDescent="0.3">
      <c r="C9" s="79" t="s">
        <v>65</v>
      </c>
      <c r="D9" s="79"/>
      <c r="E9" s="85">
        <v>1182.6499999999999</v>
      </c>
      <c r="F9" s="86">
        <v>1024</v>
      </c>
      <c r="G9" s="85">
        <v>1059</v>
      </c>
      <c r="H9" s="86">
        <v>1080</v>
      </c>
      <c r="I9" s="86">
        <v>1103</v>
      </c>
      <c r="J9" s="86">
        <v>1123</v>
      </c>
      <c r="K9" s="86">
        <v>1144</v>
      </c>
      <c r="L9" s="86">
        <v>1164</v>
      </c>
      <c r="M9" s="89">
        <f>+E9</f>
        <v>1182.6499999999999</v>
      </c>
    </row>
    <row r="10" spans="2:13" x14ac:dyDescent="0.3">
      <c r="C10" s="93" t="s">
        <v>66</v>
      </c>
      <c r="D10" s="93"/>
      <c r="E10" s="94">
        <f t="shared" ref="E10:M10" si="1">+E2-E3-E4-E5-E6-E7-E8-E9</f>
        <v>3858.8155513300017</v>
      </c>
      <c r="F10" s="95">
        <f t="shared" si="1"/>
        <v>944.82248737148711</v>
      </c>
      <c r="G10" s="94">
        <f t="shared" si="1"/>
        <v>2275.1405513300006</v>
      </c>
      <c r="H10" s="95">
        <f t="shared" si="1"/>
        <v>2681.1405513300006</v>
      </c>
      <c r="I10" s="95">
        <f t="shared" si="1"/>
        <v>3152.1405513300006</v>
      </c>
      <c r="J10" s="95">
        <f t="shared" si="1"/>
        <v>3559.1405513300006</v>
      </c>
      <c r="K10" s="95">
        <f t="shared" si="1"/>
        <v>3965.1405513300006</v>
      </c>
      <c r="L10" s="95">
        <f t="shared" si="1"/>
        <v>4372.1405513300006</v>
      </c>
      <c r="M10" s="96">
        <f t="shared" si="1"/>
        <v>4751.6905513300017</v>
      </c>
    </row>
    <row r="11" spans="2:13" x14ac:dyDescent="0.3">
      <c r="C11" s="97" t="s">
        <v>28</v>
      </c>
      <c r="D11" s="98"/>
      <c r="E11" s="99">
        <f>+E10/$E$2</f>
        <v>0.33351906234485751</v>
      </c>
      <c r="F11" s="100">
        <f>+F10/F2</f>
        <v>0.11736925308962573</v>
      </c>
      <c r="G11" s="99">
        <f t="shared" ref="G11:M11" si="2">+G10/G2</f>
        <v>0.25766031158890151</v>
      </c>
      <c r="H11" s="100">
        <f t="shared" si="2"/>
        <v>0.28891600768642245</v>
      </c>
      <c r="I11" s="100">
        <f t="shared" si="2"/>
        <v>0.3216469950336735</v>
      </c>
      <c r="J11" s="100">
        <f t="shared" si="2"/>
        <v>0.34723322452000005</v>
      </c>
      <c r="K11" s="100">
        <f t="shared" si="2"/>
        <v>0.37057388330186919</v>
      </c>
      <c r="L11" s="100">
        <f t="shared" si="2"/>
        <v>0.39212022881883413</v>
      </c>
      <c r="M11" s="101">
        <f t="shared" si="2"/>
        <v>0.41069062673552303</v>
      </c>
    </row>
    <row r="12" spans="2:13" x14ac:dyDescent="0.3">
      <c r="E12" s="87"/>
      <c r="F12" s="19"/>
      <c r="G12" s="102"/>
      <c r="H12" s="19"/>
      <c r="I12" s="19"/>
      <c r="J12" s="19"/>
      <c r="K12" s="19"/>
      <c r="L12" s="19"/>
      <c r="M12" s="103"/>
    </row>
    <row r="13" spans="2:13" x14ac:dyDescent="0.3">
      <c r="C13" s="79" t="s">
        <v>67</v>
      </c>
      <c r="D13" s="79"/>
      <c r="E13" s="85">
        <v>364.63956979999995</v>
      </c>
      <c r="F13" s="86">
        <v>364.63956979999995</v>
      </c>
      <c r="G13" s="85">
        <v>364.63956979999995</v>
      </c>
      <c r="H13" s="86">
        <v>364.63956979999995</v>
      </c>
      <c r="I13" s="86">
        <v>364.63956979999995</v>
      </c>
      <c r="J13" s="86">
        <v>364.63956979999995</v>
      </c>
      <c r="K13" s="86">
        <v>364.63956979999995</v>
      </c>
      <c r="L13" s="86">
        <v>364.63956979999995</v>
      </c>
      <c r="M13" s="89">
        <f>+E13</f>
        <v>364.63956979999995</v>
      </c>
    </row>
    <row r="14" spans="2:13" x14ac:dyDescent="0.3">
      <c r="C14" s="78" t="s">
        <v>68</v>
      </c>
      <c r="D14" s="78"/>
      <c r="E14" s="80">
        <f>+E10-E13</f>
        <v>3494.1759815300015</v>
      </c>
      <c r="F14" s="104">
        <f t="shared" ref="F14:M14" si="3">+F10-F13</f>
        <v>580.18291757148722</v>
      </c>
      <c r="G14" s="80">
        <f t="shared" si="3"/>
        <v>1910.5009815300007</v>
      </c>
      <c r="H14" s="104">
        <f t="shared" si="3"/>
        <v>2316.5009815300004</v>
      </c>
      <c r="I14" s="104">
        <f t="shared" si="3"/>
        <v>2787.5009815300004</v>
      </c>
      <c r="J14" s="104">
        <f t="shared" si="3"/>
        <v>3194.5009815300004</v>
      </c>
      <c r="K14" s="104">
        <f t="shared" si="3"/>
        <v>3600.5009815300004</v>
      </c>
      <c r="L14" s="104">
        <f t="shared" si="3"/>
        <v>4007.5009815300004</v>
      </c>
      <c r="M14" s="105">
        <f t="shared" si="3"/>
        <v>4387.050981530002</v>
      </c>
    </row>
    <row r="15" spans="2:13" x14ac:dyDescent="0.3">
      <c r="C15" s="97" t="s">
        <v>28</v>
      </c>
      <c r="D15" s="98"/>
      <c r="E15" s="99">
        <f>+E14/$E$2</f>
        <v>0.30200310989887652</v>
      </c>
      <c r="F15" s="100">
        <f>+F14/F2</f>
        <v>7.2072412120681648E-2</v>
      </c>
      <c r="G15" s="99">
        <f t="shared" ref="G15:M15" si="4">+G14/G2</f>
        <v>0.21636477707021526</v>
      </c>
      <c r="H15" s="100">
        <f t="shared" si="4"/>
        <v>0.24962295059590522</v>
      </c>
      <c r="I15" s="100">
        <f t="shared" si="4"/>
        <v>0.28443887566632658</v>
      </c>
      <c r="J15" s="100">
        <f t="shared" si="4"/>
        <v>0.31165863234439029</v>
      </c>
      <c r="K15" s="100">
        <f t="shared" si="4"/>
        <v>0.33649541883457951</v>
      </c>
      <c r="L15" s="100">
        <f t="shared" si="4"/>
        <v>0.35941712838834083</v>
      </c>
      <c r="M15" s="101">
        <f t="shared" si="4"/>
        <v>0.3791746742895421</v>
      </c>
    </row>
    <row r="16" spans="2:13" x14ac:dyDescent="0.3">
      <c r="C16" s="79" t="s">
        <v>69</v>
      </c>
      <c r="D16" s="79"/>
      <c r="E16" s="85">
        <v>45</v>
      </c>
      <c r="F16" s="86">
        <v>45</v>
      </c>
      <c r="G16" s="85">
        <v>45</v>
      </c>
      <c r="H16" s="86">
        <v>45</v>
      </c>
      <c r="I16" s="86">
        <v>45</v>
      </c>
      <c r="J16" s="86">
        <v>45</v>
      </c>
      <c r="K16" s="86">
        <v>45</v>
      </c>
      <c r="L16" s="86">
        <v>45</v>
      </c>
      <c r="M16" s="89">
        <f>+E16</f>
        <v>45</v>
      </c>
    </row>
    <row r="17" spans="3:13" x14ac:dyDescent="0.3">
      <c r="C17" s="93" t="s">
        <v>70</v>
      </c>
      <c r="D17" s="93"/>
      <c r="E17" s="94">
        <f t="shared" ref="E17:M17" si="5">+E14-E16</f>
        <v>3449.1759815300015</v>
      </c>
      <c r="F17" s="95">
        <f t="shared" si="5"/>
        <v>535.18291757148722</v>
      </c>
      <c r="G17" s="94">
        <f t="shared" si="5"/>
        <v>1865.5009815300007</v>
      </c>
      <c r="H17" s="95">
        <f t="shared" si="5"/>
        <v>2271.5009815300004</v>
      </c>
      <c r="I17" s="95">
        <f t="shared" si="5"/>
        <v>2742.5009815300004</v>
      </c>
      <c r="J17" s="95">
        <f t="shared" si="5"/>
        <v>3149.5009815300004</v>
      </c>
      <c r="K17" s="95">
        <f t="shared" si="5"/>
        <v>3555.5009815300004</v>
      </c>
      <c r="L17" s="95">
        <f t="shared" si="5"/>
        <v>3962.5009815300004</v>
      </c>
      <c r="M17" s="96">
        <f t="shared" si="5"/>
        <v>4342.050981530002</v>
      </c>
    </row>
    <row r="18" spans="3:13" x14ac:dyDescent="0.3">
      <c r="C18" s="97" t="s">
        <v>28</v>
      </c>
      <c r="D18" s="98"/>
      <c r="E18" s="99">
        <f>+E17/$E$2</f>
        <v>0.29811374084096814</v>
      </c>
      <c r="F18" s="100">
        <f>+F17/F2</f>
        <v>6.6482350008880406E-2</v>
      </c>
      <c r="G18" s="99">
        <f t="shared" ref="G18:M18" si="6">+G17/G2</f>
        <v>0.2112685143295584</v>
      </c>
      <c r="H18" s="100">
        <f t="shared" si="6"/>
        <v>0.24477381266487075</v>
      </c>
      <c r="I18" s="100">
        <f t="shared" si="6"/>
        <v>0.27984703893163271</v>
      </c>
      <c r="J18" s="100">
        <f t="shared" si="6"/>
        <v>0.30726838844195126</v>
      </c>
      <c r="K18" s="100">
        <f t="shared" si="6"/>
        <v>0.33228981135794394</v>
      </c>
      <c r="L18" s="100">
        <f t="shared" si="6"/>
        <v>0.35538125394887898</v>
      </c>
      <c r="M18" s="101">
        <f t="shared" si="6"/>
        <v>0.37528530523163373</v>
      </c>
    </row>
    <row r="19" spans="3:13" x14ac:dyDescent="0.3">
      <c r="C19" s="106"/>
      <c r="D19" s="106"/>
      <c r="E19" s="91"/>
      <c r="F19" s="90"/>
      <c r="G19" s="91"/>
      <c r="H19" s="90"/>
      <c r="I19" s="90"/>
      <c r="J19" s="90"/>
      <c r="K19" s="90"/>
      <c r="L19" s="90"/>
      <c r="M19" s="92"/>
    </row>
    <row r="20" spans="3:13" x14ac:dyDescent="0.3">
      <c r="C20" s="79" t="s">
        <v>71</v>
      </c>
      <c r="D20" s="79"/>
      <c r="E20" s="85">
        <v>1297.1001027439204</v>
      </c>
      <c r="F20" s="86">
        <v>300</v>
      </c>
      <c r="G20" s="85">
        <v>520</v>
      </c>
      <c r="H20" s="86">
        <v>648</v>
      </c>
      <c r="I20" s="86">
        <v>796</v>
      </c>
      <c r="J20" s="86">
        <v>924</v>
      </c>
      <c r="K20" s="86">
        <v>1052</v>
      </c>
      <c r="L20" s="86">
        <v>1180</v>
      </c>
      <c r="M20" s="89">
        <f>+E20</f>
        <v>1297.1001027439204</v>
      </c>
    </row>
    <row r="21" spans="3:13" x14ac:dyDescent="0.3">
      <c r="C21" s="93" t="s">
        <v>72</v>
      </c>
      <c r="D21" s="93"/>
      <c r="E21" s="94">
        <f t="shared" ref="E21:M21" si="7">+E17-E20</f>
        <v>2152.0758787860814</v>
      </c>
      <c r="F21" s="95">
        <f t="shared" si="7"/>
        <v>235.18291757148722</v>
      </c>
      <c r="G21" s="94">
        <f t="shared" si="7"/>
        <v>1345.5009815300007</v>
      </c>
      <c r="H21" s="95">
        <f t="shared" si="7"/>
        <v>1623.5009815300004</v>
      </c>
      <c r="I21" s="95">
        <f t="shared" si="7"/>
        <v>1946.5009815300004</v>
      </c>
      <c r="J21" s="95">
        <f t="shared" si="7"/>
        <v>2225.5009815300004</v>
      </c>
      <c r="K21" s="95">
        <f t="shared" si="7"/>
        <v>2503.5009815300004</v>
      </c>
      <c r="L21" s="95">
        <f t="shared" si="7"/>
        <v>2782.5009815300004</v>
      </c>
      <c r="M21" s="96">
        <f t="shared" si="7"/>
        <v>3044.9508787860814</v>
      </c>
    </row>
    <row r="22" spans="3:13" x14ac:dyDescent="0.3">
      <c r="C22" s="97" t="s">
        <v>28</v>
      </c>
      <c r="D22" s="98"/>
      <c r="E22" s="99">
        <f>+E21/$E$2</f>
        <v>0.18600482962714618</v>
      </c>
      <c r="F22" s="100">
        <f>+F21/F2</f>
        <v>2.9215269263538787E-2</v>
      </c>
      <c r="G22" s="99">
        <f>+G21/G2</f>
        <v>0.15237836710419034</v>
      </c>
      <c r="H22" s="100">
        <f>+H21/H2</f>
        <v>0.1749462264579742</v>
      </c>
      <c r="I22" s="100">
        <f t="shared" ref="I22:M22" si="8">+I21/I2</f>
        <v>0.19862254913571434</v>
      </c>
      <c r="J22" s="100">
        <f t="shared" si="8"/>
        <v>0.21712204697853663</v>
      </c>
      <c r="K22" s="100">
        <f t="shared" si="8"/>
        <v>0.23397205434859816</v>
      </c>
      <c r="L22" s="100">
        <f t="shared" si="8"/>
        <v>0.24955165753632291</v>
      </c>
      <c r="M22" s="101">
        <f t="shared" si="8"/>
        <v>0.26317639401781168</v>
      </c>
    </row>
    <row r="23" spans="3:13" x14ac:dyDescent="0.3">
      <c r="E23" s="87"/>
      <c r="F23" s="19"/>
      <c r="G23" s="87"/>
      <c r="H23" s="19"/>
      <c r="I23" s="19"/>
      <c r="J23" s="19"/>
      <c r="K23" s="19"/>
      <c r="L23" s="19"/>
      <c r="M23" s="103"/>
    </row>
    <row r="24" spans="3:13" x14ac:dyDescent="0.3">
      <c r="C24" s="79"/>
      <c r="D24" s="79"/>
      <c r="E24" s="85"/>
      <c r="F24" s="86"/>
      <c r="G24" s="85"/>
      <c r="H24" s="86"/>
      <c r="I24" s="19"/>
      <c r="J24" s="19"/>
      <c r="K24" s="19"/>
      <c r="L24" s="19"/>
      <c r="M24" s="103"/>
    </row>
    <row r="25" spans="3:13" x14ac:dyDescent="0.3">
      <c r="E25" s="87"/>
      <c r="F25" s="19"/>
      <c r="G25" s="87"/>
      <c r="H25" s="19"/>
      <c r="I25" s="19"/>
      <c r="J25" s="19"/>
      <c r="K25" s="19"/>
      <c r="L25" s="19"/>
      <c r="M25" s="103"/>
    </row>
    <row r="26" spans="3:13" x14ac:dyDescent="0.3">
      <c r="C26" s="1" t="s">
        <v>73</v>
      </c>
      <c r="E26" s="87"/>
      <c r="F26" s="19"/>
      <c r="G26" s="87"/>
      <c r="H26" s="19"/>
      <c r="I26" s="19"/>
      <c r="J26" s="19"/>
      <c r="K26" s="19"/>
      <c r="L26" s="19"/>
      <c r="M26" s="103"/>
    </row>
    <row r="27" spans="3:13" x14ac:dyDescent="0.3">
      <c r="E27" s="87" t="s">
        <v>74</v>
      </c>
      <c r="F27" s="19"/>
      <c r="G27" s="87"/>
      <c r="H27" s="107">
        <v>2013</v>
      </c>
      <c r="I27" s="19"/>
      <c r="J27" s="19"/>
      <c r="K27" s="19"/>
      <c r="L27" s="19"/>
      <c r="M27" s="103"/>
    </row>
    <row r="28" spans="3:13" x14ac:dyDescent="0.3">
      <c r="E28" s="108">
        <v>0.6</v>
      </c>
      <c r="F28" s="109">
        <f t="shared" ref="F28:M28" si="9">+F29/$D$29</f>
        <v>0.69576490924805534</v>
      </c>
      <c r="G28" s="110">
        <f t="shared" si="9"/>
        <v>0.76318063958513394</v>
      </c>
      <c r="H28" s="109">
        <f t="shared" si="9"/>
        <v>0.80207433016421781</v>
      </c>
      <c r="I28" s="109">
        <f t="shared" si="9"/>
        <v>0.84701815038893691</v>
      </c>
      <c r="J28" s="109">
        <f t="shared" si="9"/>
        <v>0.88591184096802078</v>
      </c>
      <c r="K28" s="109">
        <f t="shared" si="9"/>
        <v>0.92480553154710454</v>
      </c>
      <c r="L28" s="109">
        <f t="shared" si="9"/>
        <v>0.96369922212618842</v>
      </c>
      <c r="M28" s="111">
        <f t="shared" si="9"/>
        <v>1</v>
      </c>
    </row>
    <row r="29" spans="3:13" x14ac:dyDescent="0.3">
      <c r="C29" s="1" t="s">
        <v>75</v>
      </c>
      <c r="D29" s="36">
        <v>11570</v>
      </c>
      <c r="E29" s="112">
        <f>+$D$29*E28</f>
        <v>6942</v>
      </c>
      <c r="F29" s="113">
        <f t="shared" ref="F29:M29" si="10">+F2</f>
        <v>8050</v>
      </c>
      <c r="G29" s="114">
        <f t="shared" si="10"/>
        <v>8830</v>
      </c>
      <c r="H29" s="113">
        <f t="shared" si="10"/>
        <v>9280</v>
      </c>
      <c r="I29" s="113">
        <f t="shared" si="10"/>
        <v>9800</v>
      </c>
      <c r="J29" s="113">
        <f t="shared" si="10"/>
        <v>10250</v>
      </c>
      <c r="K29" s="113">
        <f t="shared" si="10"/>
        <v>10700</v>
      </c>
      <c r="L29" s="113">
        <f t="shared" si="10"/>
        <v>11150</v>
      </c>
      <c r="M29" s="115">
        <f t="shared" si="10"/>
        <v>11570</v>
      </c>
    </row>
    <row r="30" spans="3:13" x14ac:dyDescent="0.3">
      <c r="C30" s="1" t="s">
        <v>76</v>
      </c>
      <c r="D30" s="36">
        <v>893</v>
      </c>
      <c r="E30" s="112">
        <v>0</v>
      </c>
      <c r="F30" s="113">
        <f t="shared" ref="F30:M30" si="11">+$D$30*F28</f>
        <v>621.31806395851345</v>
      </c>
      <c r="G30" s="114">
        <f t="shared" si="11"/>
        <v>681.52031114952456</v>
      </c>
      <c r="H30" s="113">
        <f t="shared" si="11"/>
        <v>716.25237683664648</v>
      </c>
      <c r="I30" s="113">
        <f t="shared" si="11"/>
        <v>756.38720829732063</v>
      </c>
      <c r="J30" s="113">
        <f t="shared" si="11"/>
        <v>791.11927398444254</v>
      </c>
      <c r="K30" s="113">
        <f t="shared" si="11"/>
        <v>825.85133967156435</v>
      </c>
      <c r="L30" s="113">
        <f t="shared" si="11"/>
        <v>860.58340535868626</v>
      </c>
      <c r="M30" s="115">
        <f t="shared" si="11"/>
        <v>893</v>
      </c>
    </row>
    <row r="31" spans="3:13" x14ac:dyDescent="0.3">
      <c r="C31" s="1" t="s">
        <v>77</v>
      </c>
      <c r="D31" s="1">
        <v>350</v>
      </c>
      <c r="E31" s="112">
        <v>0</v>
      </c>
      <c r="F31" s="113">
        <f t="shared" ref="F31:M31" si="12">+$D$31*F28</f>
        <v>243.51771823681938</v>
      </c>
      <c r="G31" s="114">
        <f t="shared" si="12"/>
        <v>267.1132238547969</v>
      </c>
      <c r="H31" s="113">
        <f t="shared" si="12"/>
        <v>280.72601555747622</v>
      </c>
      <c r="I31" s="113">
        <f t="shared" si="12"/>
        <v>296.45635263612792</v>
      </c>
      <c r="J31" s="113">
        <f t="shared" si="12"/>
        <v>310.06914433880729</v>
      </c>
      <c r="K31" s="113">
        <f t="shared" si="12"/>
        <v>323.68193604148661</v>
      </c>
      <c r="L31" s="113">
        <f t="shared" si="12"/>
        <v>337.29472774416593</v>
      </c>
      <c r="M31" s="115">
        <f t="shared" si="12"/>
        <v>350</v>
      </c>
    </row>
    <row r="32" spans="3:13" x14ac:dyDescent="0.3">
      <c r="C32" s="116" t="s">
        <v>78</v>
      </c>
      <c r="D32" s="36">
        <f>+D31/7*4</f>
        <v>200</v>
      </c>
      <c r="E32" s="117">
        <f t="shared" ref="E32:M32" si="13">+E31/7*4</f>
        <v>0</v>
      </c>
      <c r="F32" s="118">
        <f t="shared" si="13"/>
        <v>139.15298184961108</v>
      </c>
      <c r="G32" s="102">
        <f t="shared" si="13"/>
        <v>152.63612791702681</v>
      </c>
      <c r="H32" s="118">
        <f t="shared" si="13"/>
        <v>160.41486603284355</v>
      </c>
      <c r="I32" s="118">
        <f t="shared" si="13"/>
        <v>169.40363007778737</v>
      </c>
      <c r="J32" s="118">
        <f t="shared" si="13"/>
        <v>177.18236819360416</v>
      </c>
      <c r="K32" s="118">
        <f t="shared" si="13"/>
        <v>184.96110630942093</v>
      </c>
      <c r="L32" s="118">
        <f t="shared" si="13"/>
        <v>192.73984442523766</v>
      </c>
      <c r="M32" s="119">
        <f t="shared" si="13"/>
        <v>200</v>
      </c>
    </row>
    <row r="33" spans="3:13" x14ac:dyDescent="0.3">
      <c r="C33" s="116" t="s">
        <v>79</v>
      </c>
      <c r="D33" s="36">
        <f>+D31/7*3</f>
        <v>150</v>
      </c>
      <c r="E33" s="117">
        <f t="shared" ref="E33:M33" si="14">+E31/7*3</f>
        <v>0</v>
      </c>
      <c r="F33" s="118">
        <f t="shared" si="14"/>
        <v>104.36473638720831</v>
      </c>
      <c r="G33" s="102">
        <f t="shared" si="14"/>
        <v>114.47709593777012</v>
      </c>
      <c r="H33" s="118">
        <f t="shared" si="14"/>
        <v>120.31114952463267</v>
      </c>
      <c r="I33" s="118">
        <f t="shared" si="14"/>
        <v>127.05272255834052</v>
      </c>
      <c r="J33" s="118">
        <f t="shared" si="14"/>
        <v>132.88677614520313</v>
      </c>
      <c r="K33" s="118">
        <f t="shared" si="14"/>
        <v>138.72082973206568</v>
      </c>
      <c r="L33" s="118">
        <f t="shared" si="14"/>
        <v>144.55488331892826</v>
      </c>
      <c r="M33" s="119">
        <f t="shared" si="14"/>
        <v>150</v>
      </c>
    </row>
    <row r="34" spans="3:13" x14ac:dyDescent="0.3">
      <c r="D34" s="36"/>
      <c r="E34" s="120"/>
      <c r="F34" s="121"/>
      <c r="G34" s="122"/>
      <c r="H34" s="121"/>
      <c r="I34" s="121"/>
      <c r="J34" s="121"/>
      <c r="K34" s="121"/>
      <c r="L34" s="123"/>
      <c r="M34" s="124"/>
    </row>
    <row r="35" spans="3:13" x14ac:dyDescent="0.3">
      <c r="C35" s="1" t="s">
        <v>80</v>
      </c>
      <c r="G35" s="125">
        <f>+G2*20%</f>
        <v>1766</v>
      </c>
      <c r="H35" s="126">
        <f t="shared" ref="H35:M35" si="15">+H2*20%</f>
        <v>1856</v>
      </c>
      <c r="I35" s="126">
        <f t="shared" si="15"/>
        <v>1960</v>
      </c>
      <c r="J35" s="126">
        <f t="shared" si="15"/>
        <v>2050</v>
      </c>
      <c r="K35" s="126">
        <f t="shared" si="15"/>
        <v>2140</v>
      </c>
      <c r="L35" s="126">
        <f t="shared" si="15"/>
        <v>2230</v>
      </c>
      <c r="M35" s="127">
        <f t="shared" si="15"/>
        <v>2314</v>
      </c>
    </row>
  </sheetData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6"/>
  <sheetViews>
    <sheetView zoomScale="90" zoomScaleNormal="90" workbookViewId="0">
      <selection activeCell="H23" sqref="H23"/>
    </sheetView>
  </sheetViews>
  <sheetFormatPr defaultColWidth="8.88671875" defaultRowHeight="14.4" x14ac:dyDescent="0.3"/>
  <cols>
    <col min="1" max="1" width="2.44140625" style="1" customWidth="1"/>
    <col min="2" max="2" width="18" style="1" bestFit="1" customWidth="1"/>
    <col min="3" max="3" width="23.109375" style="1" bestFit="1" customWidth="1"/>
    <col min="4" max="4" width="18.6640625" style="1" bestFit="1" customWidth="1"/>
    <col min="5" max="5" width="16.88671875" style="1" bestFit="1" customWidth="1"/>
    <col min="6" max="6" width="14.33203125" style="1" bestFit="1" customWidth="1"/>
    <col min="7" max="7" width="14.88671875" style="1" customWidth="1"/>
    <col min="8" max="8" width="13.44140625" style="1" bestFit="1" customWidth="1"/>
    <col min="9" max="9" width="15.33203125" style="1" bestFit="1" customWidth="1"/>
    <col min="10" max="12" width="12.33203125" style="1" bestFit="1" customWidth="1"/>
    <col min="13" max="13" width="11.109375" style="1" bestFit="1" customWidth="1"/>
    <col min="14" max="14" width="12.44140625" style="1" bestFit="1" customWidth="1"/>
    <col min="15" max="18" width="15" style="1" bestFit="1" customWidth="1"/>
    <col min="19" max="16384" width="8.88671875" style="1"/>
  </cols>
  <sheetData>
    <row r="1" spans="2:13" x14ac:dyDescent="0.3">
      <c r="G1" s="36"/>
    </row>
    <row r="2" spans="2:13" x14ac:dyDescent="0.3">
      <c r="B2" s="49"/>
      <c r="C2" s="53" t="s">
        <v>50</v>
      </c>
      <c r="D2" s="53" t="s">
        <v>41</v>
      </c>
      <c r="E2" s="53" t="s">
        <v>44</v>
      </c>
      <c r="F2" s="53" t="s">
        <v>45</v>
      </c>
      <c r="G2" s="53" t="s">
        <v>43</v>
      </c>
      <c r="H2" s="53" t="s">
        <v>28</v>
      </c>
      <c r="I2" s="53" t="s">
        <v>56</v>
      </c>
    </row>
    <row r="3" spans="2:13" x14ac:dyDescent="0.3">
      <c r="B3" s="1" t="s">
        <v>33</v>
      </c>
      <c r="C3" s="68">
        <f>+Luppi!$K$4</f>
        <v>50000</v>
      </c>
      <c r="D3" s="69">
        <f>+Luppi!$K$9</f>
        <v>3502000</v>
      </c>
      <c r="E3" s="69">
        <f>+Luppi!$K$7</f>
        <v>2700000</v>
      </c>
      <c r="F3" s="69">
        <f>+Luppi!$K$8</f>
        <v>802000</v>
      </c>
      <c r="G3" s="69">
        <f>+Luppi!$K$5</f>
        <v>6</v>
      </c>
      <c r="H3" s="70">
        <f>+Luppi!$K$10</f>
        <v>0.5</v>
      </c>
      <c r="I3" s="69">
        <f>+Luppi!$K$12</f>
        <v>25000</v>
      </c>
    </row>
    <row r="4" spans="2:13" x14ac:dyDescent="0.3">
      <c r="B4" s="1" t="s">
        <v>16</v>
      </c>
      <c r="C4" s="68">
        <f>+Maglietta!$K$4</f>
        <v>75000</v>
      </c>
      <c r="D4" s="69">
        <f>+Maglietta!$K$9</f>
        <v>2050000</v>
      </c>
      <c r="E4" s="69">
        <f>+Maglietta!$K$7</f>
        <v>1350000</v>
      </c>
      <c r="F4" s="69">
        <f>+Maglietta!$K$8</f>
        <v>700000</v>
      </c>
      <c r="G4" s="69">
        <f>+Maglietta!$K$5</f>
        <v>3</v>
      </c>
      <c r="H4" s="70">
        <f>+Maglietta!$K$10</f>
        <v>0.2</v>
      </c>
      <c r="I4" s="69">
        <f>+Maglietta!$K$12</f>
        <v>15000</v>
      </c>
    </row>
    <row r="5" spans="2:13" x14ac:dyDescent="0.3">
      <c r="B5" s="1" t="s">
        <v>51</v>
      </c>
      <c r="C5" s="68">
        <f>+Shehata!$K$4</f>
        <v>70000</v>
      </c>
      <c r="D5" s="69">
        <f>+Shehata!$K$9</f>
        <v>1350000</v>
      </c>
      <c r="E5" s="69">
        <f>+Shehata!$K$7</f>
        <v>1350000</v>
      </c>
      <c r="F5" s="69">
        <f>+Shehata!$K$8</f>
        <v>0</v>
      </c>
      <c r="G5" s="69">
        <f>+Shehata!$K$5</f>
        <v>3</v>
      </c>
      <c r="H5" s="70">
        <f>+Shehata!$K$10</f>
        <v>0</v>
      </c>
      <c r="I5" s="69">
        <f>+Shehata!$K$12</f>
        <v>0</v>
      </c>
    </row>
    <row r="6" spans="2:13" x14ac:dyDescent="0.3">
      <c r="B6" s="1" t="s">
        <v>2</v>
      </c>
      <c r="C6" s="68">
        <f>+Velasco!$K$4</f>
        <v>69230.769230769234</v>
      </c>
      <c r="D6" s="69">
        <f>+Velasco!$K$9</f>
        <v>2050000</v>
      </c>
      <c r="E6" s="69">
        <f>+Velasco!$K$7</f>
        <v>1350000</v>
      </c>
      <c r="F6" s="69">
        <f>+Velasco!$K$8</f>
        <v>700000</v>
      </c>
      <c r="G6" s="69">
        <f>+Velasco!$K$5</f>
        <v>3</v>
      </c>
      <c r="H6" s="70">
        <f>+Velasco!$K$10</f>
        <v>0.05</v>
      </c>
      <c r="I6" s="69">
        <f>+Velasco!$K$12</f>
        <v>3461.5384615384619</v>
      </c>
    </row>
    <row r="7" spans="2:13" x14ac:dyDescent="0.3">
      <c r="B7" s="1" t="s">
        <v>0</v>
      </c>
      <c r="C7" s="68">
        <f>+Bettini!$K$4</f>
        <v>75000</v>
      </c>
      <c r="D7" s="69">
        <f>+Bettini!$K$9</f>
        <v>0</v>
      </c>
      <c r="E7" s="69">
        <f>+Bettini!$K$7</f>
        <v>0</v>
      </c>
      <c r="F7" s="69">
        <f>+Bettini!$K$8</f>
        <v>0</v>
      </c>
      <c r="G7" s="69">
        <f>+Bettini!$K$5</f>
        <v>0</v>
      </c>
      <c r="H7" s="70">
        <f>+Bettini!$K$10</f>
        <v>0</v>
      </c>
      <c r="I7" s="69">
        <f>+Bettini!$K$12</f>
        <v>0</v>
      </c>
    </row>
    <row r="8" spans="2:13" x14ac:dyDescent="0.3">
      <c r="B8" s="48" t="s">
        <v>42</v>
      </c>
      <c r="C8" s="72">
        <f>+SUM(C3:C7)</f>
        <v>339230.76923076925</v>
      </c>
      <c r="D8" s="67">
        <f>+SUM(D3:D7)</f>
        <v>8952000</v>
      </c>
      <c r="E8" s="72">
        <f>+SUM(E3:E7)</f>
        <v>6750000</v>
      </c>
      <c r="F8" s="72">
        <f>+SUM(F3:F7)</f>
        <v>2202000</v>
      </c>
      <c r="G8" s="67">
        <f>+SUM(G3:G7)</f>
        <v>15</v>
      </c>
      <c r="H8" s="50"/>
      <c r="I8" s="67">
        <f>+SUM(I3:I7)</f>
        <v>43461.538461538461</v>
      </c>
      <c r="J8" s="128">
        <f>+I8/C8</f>
        <v>0.12811791383219953</v>
      </c>
    </row>
    <row r="9" spans="2:13" x14ac:dyDescent="0.3">
      <c r="G9" s="35">
        <f>+E8/G8</f>
        <v>450000</v>
      </c>
      <c r="H9" s="48" t="s">
        <v>57</v>
      </c>
      <c r="I9" s="71">
        <f>+I8*1.35</f>
        <v>58673.076923076929</v>
      </c>
    </row>
    <row r="14" spans="2:13" x14ac:dyDescent="0.3">
      <c r="C14" s="169" t="s">
        <v>112</v>
      </c>
      <c r="D14" s="170"/>
      <c r="E14" s="170"/>
      <c r="F14" s="171"/>
      <c r="H14" s="169" t="s">
        <v>109</v>
      </c>
      <c r="I14" s="170"/>
      <c r="J14" s="170"/>
      <c r="K14" s="170"/>
      <c r="L14" s="170"/>
      <c r="M14" s="171"/>
    </row>
    <row r="15" spans="2:13" x14ac:dyDescent="0.3">
      <c r="B15" s="162" t="s">
        <v>33</v>
      </c>
      <c r="C15" s="87">
        <f>+Luppi!B4</f>
        <v>6</v>
      </c>
      <c r="D15" s="19">
        <f>+Luppi!C4</f>
        <v>5</v>
      </c>
      <c r="E15" s="19">
        <f>+Luppi!D4</f>
        <v>4</v>
      </c>
      <c r="F15" s="154" t="str">
        <f>+Luppi!E4</f>
        <v>&gt;= 3</v>
      </c>
      <c r="G15" s="150" t="s">
        <v>33</v>
      </c>
      <c r="H15" s="102">
        <f>+Luppi!B16</f>
        <v>13500000</v>
      </c>
      <c r="I15" s="118">
        <f>+Luppi!C16</f>
        <v>12500000</v>
      </c>
      <c r="J15" s="118">
        <f>+Luppi!D16</f>
        <v>11500000</v>
      </c>
      <c r="K15" s="118">
        <f>+Luppi!E16</f>
        <v>10750000</v>
      </c>
      <c r="L15" s="118">
        <f>+Luppi!F16</f>
        <v>10000000</v>
      </c>
      <c r="M15" s="119">
        <f>+Luppi!G16</f>
        <v>9999999</v>
      </c>
    </row>
    <row r="16" spans="2:13" x14ac:dyDescent="0.3">
      <c r="B16" s="150"/>
      <c r="C16" s="141">
        <f>+Luppi!B5</f>
        <v>0.2</v>
      </c>
      <c r="D16" s="142">
        <f>+Luppi!C5</f>
        <v>0.1</v>
      </c>
      <c r="E16" s="142">
        <f>+Luppi!D5</f>
        <v>0.05</v>
      </c>
      <c r="F16" s="143">
        <f>+Luppi!E5</f>
        <v>0</v>
      </c>
      <c r="G16" s="150"/>
      <c r="H16" s="141">
        <f>+Luppi!B17</f>
        <v>0.45</v>
      </c>
      <c r="I16" s="142">
        <f>+Luppi!C17</f>
        <v>0.35</v>
      </c>
      <c r="J16" s="142">
        <f>+Luppi!D17</f>
        <v>0.25</v>
      </c>
      <c r="K16" s="142">
        <f>+Luppi!E17</f>
        <v>0.15</v>
      </c>
      <c r="L16" s="142">
        <f>+Luppi!F17</f>
        <v>0.1</v>
      </c>
      <c r="M16" s="143">
        <f>+Luppi!G17</f>
        <v>0</v>
      </c>
    </row>
    <row r="17" spans="2:13" x14ac:dyDescent="0.3">
      <c r="B17" s="150" t="s">
        <v>106</v>
      </c>
      <c r="C17" s="158">
        <f>+Shehata!B4</f>
        <v>6</v>
      </c>
      <c r="D17" s="159">
        <f>+Shehata!C4</f>
        <v>5</v>
      </c>
      <c r="E17" s="159">
        <f>+Shehata!D4</f>
        <v>4</v>
      </c>
      <c r="F17" s="160" t="str">
        <f>+Shehata!E4</f>
        <v>&gt;= 3</v>
      </c>
      <c r="G17" s="161" t="s">
        <v>106</v>
      </c>
      <c r="H17" s="102">
        <f>+Shehata!B16</f>
        <v>13500000</v>
      </c>
      <c r="I17" s="118">
        <f>+Shehata!C16</f>
        <v>12500000</v>
      </c>
      <c r="J17" s="118">
        <f>+Shehata!D16</f>
        <v>11500000</v>
      </c>
      <c r="K17" s="118">
        <f>+Shehata!E16</f>
        <v>10750000</v>
      </c>
      <c r="L17" s="118">
        <f>+Shehata!F16</f>
        <v>10000000</v>
      </c>
      <c r="M17" s="119">
        <f>+Shehata!G16</f>
        <v>9999999</v>
      </c>
    </row>
    <row r="18" spans="2:13" x14ac:dyDescent="0.3">
      <c r="B18" s="150"/>
      <c r="C18" s="141">
        <f>+Shehata!B5</f>
        <v>0.2</v>
      </c>
      <c r="D18" s="142">
        <f>+Shehata!C5</f>
        <v>0.1</v>
      </c>
      <c r="E18" s="142">
        <f>+Shehata!D5</f>
        <v>0.05</v>
      </c>
      <c r="F18" s="143">
        <f>+Shehata!E5</f>
        <v>0</v>
      </c>
      <c r="G18" s="150"/>
      <c r="H18" s="141">
        <f>+Shehata!B17</f>
        <v>0.55000000000000004</v>
      </c>
      <c r="I18" s="142">
        <f>+Shehata!C17</f>
        <v>0.4</v>
      </c>
      <c r="J18" s="142">
        <f>+Shehata!D17</f>
        <v>0.25</v>
      </c>
      <c r="K18" s="142">
        <f>+Shehata!E17</f>
        <v>0.2</v>
      </c>
      <c r="L18" s="142">
        <f>+Shehata!F17</f>
        <v>0.15</v>
      </c>
      <c r="M18" s="143">
        <f>+Shehata!G17</f>
        <v>0</v>
      </c>
    </row>
    <row r="19" spans="2:13" x14ac:dyDescent="0.3">
      <c r="B19" s="150" t="s">
        <v>16</v>
      </c>
      <c r="C19" s="158">
        <f>+Maglietta!B4</f>
        <v>5</v>
      </c>
      <c r="D19" s="159">
        <f>+Maglietta!C4</f>
        <v>4</v>
      </c>
      <c r="E19" s="159">
        <f>+Maglietta!D4</f>
        <v>3</v>
      </c>
      <c r="F19" s="160" t="str">
        <f>+Maglietta!E4</f>
        <v>&gt;= 2</v>
      </c>
      <c r="G19" s="150" t="s">
        <v>16</v>
      </c>
      <c r="H19" s="102">
        <f>+Maglietta!B16</f>
        <v>13500000</v>
      </c>
      <c r="I19" s="118">
        <f>+Maglietta!C16</f>
        <v>12500000</v>
      </c>
      <c r="J19" s="118">
        <f>+Maglietta!D16</f>
        <v>11500000</v>
      </c>
      <c r="K19" s="118">
        <f>+Maglietta!E16</f>
        <v>10750000</v>
      </c>
      <c r="L19" s="118">
        <f>+Maglietta!F16</f>
        <v>10000000</v>
      </c>
      <c r="M19" s="119">
        <f>+Maglietta!G16</f>
        <v>9999999</v>
      </c>
    </row>
    <row r="20" spans="2:13" x14ac:dyDescent="0.3">
      <c r="B20" s="150"/>
      <c r="C20" s="141">
        <f>+Maglietta!B5</f>
        <v>0.2</v>
      </c>
      <c r="D20" s="142">
        <f>+Maglietta!C5</f>
        <v>0.1</v>
      </c>
      <c r="E20" s="142">
        <f>+Maglietta!D5</f>
        <v>0.05</v>
      </c>
      <c r="F20" s="143">
        <f>+Maglietta!E5</f>
        <v>0</v>
      </c>
      <c r="G20" s="150"/>
      <c r="H20" s="141">
        <f>+Maglietta!B17</f>
        <v>0.45</v>
      </c>
      <c r="I20" s="142">
        <f>+Maglietta!C17</f>
        <v>0.35</v>
      </c>
      <c r="J20" s="142">
        <f>+Maglietta!D17</f>
        <v>0.25</v>
      </c>
      <c r="K20" s="142">
        <f>+Maglietta!E17</f>
        <v>0.15</v>
      </c>
      <c r="L20" s="142">
        <f>+Maglietta!F17</f>
        <v>0.1</v>
      </c>
      <c r="M20" s="143">
        <f>+Maglietta!G17</f>
        <v>0</v>
      </c>
    </row>
    <row r="21" spans="2:13" x14ac:dyDescent="0.3">
      <c r="B21" s="150" t="s">
        <v>2</v>
      </c>
      <c r="C21" s="87">
        <f>+Velasco!B4</f>
        <v>6</v>
      </c>
      <c r="D21" s="19">
        <f>+Velasco!C4</f>
        <v>5</v>
      </c>
      <c r="E21" s="19">
        <f>+Velasco!D4</f>
        <v>4</v>
      </c>
      <c r="F21" s="154" t="str">
        <f>+Velasco!E4</f>
        <v>&gt;= 3</v>
      </c>
      <c r="G21" s="150" t="s">
        <v>2</v>
      </c>
      <c r="H21" s="102">
        <f>+Velasco!B16</f>
        <v>13500000</v>
      </c>
      <c r="I21" s="118">
        <f>+Velasco!C16</f>
        <v>12500000</v>
      </c>
      <c r="J21" s="118">
        <f>+Velasco!D16</f>
        <v>11500000</v>
      </c>
      <c r="K21" s="118">
        <f>+Velasco!E16</f>
        <v>10750000</v>
      </c>
      <c r="L21" s="118">
        <f>+Velasco!F16</f>
        <v>10000000</v>
      </c>
      <c r="M21" s="119">
        <f>+Velasco!G16</f>
        <v>9999999</v>
      </c>
    </row>
    <row r="22" spans="2:13" x14ac:dyDescent="0.3">
      <c r="B22" s="116"/>
      <c r="C22" s="144">
        <f>+Velasco!B5</f>
        <v>0.2</v>
      </c>
      <c r="D22" s="145">
        <f>+Velasco!C5</f>
        <v>0.1</v>
      </c>
      <c r="E22" s="145">
        <f>+Velasco!D5</f>
        <v>0.05</v>
      </c>
      <c r="F22" s="146">
        <f>+Velasco!E5</f>
        <v>0</v>
      </c>
      <c r="G22" s="116"/>
      <c r="H22" s="141">
        <f>+Velasco!B17</f>
        <v>0.45</v>
      </c>
      <c r="I22" s="142">
        <f>+Velasco!C17</f>
        <v>0.35</v>
      </c>
      <c r="J22" s="142">
        <f>+Velasco!D17</f>
        <v>0.25</v>
      </c>
      <c r="K22" s="142">
        <f>+Velasco!E17</f>
        <v>0.15</v>
      </c>
      <c r="L22" s="142">
        <f>+Velasco!F17</f>
        <v>0.1</v>
      </c>
      <c r="M22" s="143">
        <f>+Velasco!G17</f>
        <v>0</v>
      </c>
    </row>
    <row r="23" spans="2:13" x14ac:dyDescent="0.3">
      <c r="B23" s="150"/>
      <c r="C23" s="169" t="s">
        <v>107</v>
      </c>
      <c r="D23" s="170"/>
      <c r="E23" s="170"/>
      <c r="F23" s="171"/>
      <c r="G23" s="150" t="s">
        <v>0</v>
      </c>
      <c r="H23" s="102">
        <f>+Bettini!B3</f>
        <v>13500000</v>
      </c>
      <c r="I23" s="118">
        <f>+Bettini!C3</f>
        <v>12500000</v>
      </c>
      <c r="J23" s="118">
        <f>+Bettini!D3</f>
        <v>11500000</v>
      </c>
      <c r="K23" s="118">
        <f>+Bettini!E3</f>
        <v>10750000</v>
      </c>
      <c r="L23" s="118">
        <f>+Bettini!F3</f>
        <v>10000000</v>
      </c>
      <c r="M23" s="119">
        <f>+Bettini!G3</f>
        <v>9999999</v>
      </c>
    </row>
    <row r="24" spans="2:13" x14ac:dyDescent="0.3">
      <c r="B24" s="150" t="s">
        <v>33</v>
      </c>
      <c r="C24" s="102">
        <f>+Luppi!B8</f>
        <v>3150000</v>
      </c>
      <c r="D24" s="118">
        <f>+Luppi!C8</f>
        <v>2600000</v>
      </c>
      <c r="E24" s="118">
        <f>+Luppi!D8</f>
        <v>2000000</v>
      </c>
      <c r="F24" s="155" t="str">
        <f>+Luppi!E8</f>
        <v>&gt;=  2.000.000</v>
      </c>
      <c r="H24" s="151">
        <f>+Bettini!B4</f>
        <v>1.2</v>
      </c>
      <c r="I24" s="152">
        <f>+Bettini!C4</f>
        <v>0.9</v>
      </c>
      <c r="J24" s="152">
        <f>+Bettini!D4</f>
        <v>0.6</v>
      </c>
      <c r="K24" s="152">
        <f>+Bettini!E4</f>
        <v>0.45</v>
      </c>
      <c r="L24" s="152">
        <f>+Bettini!F4</f>
        <v>0.3</v>
      </c>
      <c r="M24" s="153">
        <f>+Bettini!G4</f>
        <v>0</v>
      </c>
    </row>
    <row r="25" spans="2:13" x14ac:dyDescent="0.3">
      <c r="B25" s="150"/>
      <c r="C25" s="141">
        <f>+Luppi!B9</f>
        <v>0.25</v>
      </c>
      <c r="D25" s="142">
        <f>+Luppi!C9</f>
        <v>0.15</v>
      </c>
      <c r="E25" s="142">
        <f>+Luppi!D9</f>
        <v>0.05</v>
      </c>
      <c r="F25" s="143">
        <f>+Luppi!E9</f>
        <v>0</v>
      </c>
      <c r="H25" s="147"/>
      <c r="I25" s="123"/>
      <c r="J25" s="123"/>
      <c r="K25" s="123"/>
      <c r="L25" s="123"/>
      <c r="M25" s="124"/>
    </row>
    <row r="26" spans="2:13" x14ac:dyDescent="0.3">
      <c r="B26" s="150" t="s">
        <v>106</v>
      </c>
      <c r="C26" s="102">
        <f>+Shehata!B8</f>
        <v>3150000</v>
      </c>
      <c r="D26" s="118">
        <f>+Shehata!C8</f>
        <v>2600000</v>
      </c>
      <c r="E26" s="118">
        <f>+Shehata!D8</f>
        <v>2000000</v>
      </c>
      <c r="F26" s="155" t="str">
        <f>+Shehata!E8</f>
        <v>&gt;=  2.000.000</v>
      </c>
    </row>
    <row r="27" spans="2:13" x14ac:dyDescent="0.3">
      <c r="B27" s="150"/>
      <c r="C27" s="141">
        <f>+Shehata!B9</f>
        <v>0.25</v>
      </c>
      <c r="D27" s="142">
        <f>+Shehata!C9</f>
        <v>0.15</v>
      </c>
      <c r="E27" s="142">
        <f>+Shehata!D9</f>
        <v>0.05</v>
      </c>
      <c r="F27" s="143">
        <f>+Shehata!E9</f>
        <v>0</v>
      </c>
    </row>
    <row r="28" spans="2:13" x14ac:dyDescent="0.3">
      <c r="B28" s="150" t="s">
        <v>16</v>
      </c>
      <c r="C28" s="91">
        <f>+Maglietta!B8</f>
        <v>2850000</v>
      </c>
      <c r="D28" s="90">
        <f>+Maglietta!C8</f>
        <v>2400000</v>
      </c>
      <c r="E28" s="90">
        <f>+Maglietta!D8</f>
        <v>1800000</v>
      </c>
      <c r="F28" s="157" t="str">
        <f>+Maglietta!E8</f>
        <v>&gt;=  1.800.000</v>
      </c>
    </row>
    <row r="29" spans="2:13" x14ac:dyDescent="0.3">
      <c r="B29" s="150"/>
      <c r="C29" s="141">
        <f>+Maglietta!B9</f>
        <v>0.25</v>
      </c>
      <c r="D29" s="142">
        <f>+Maglietta!C9</f>
        <v>0.15</v>
      </c>
      <c r="E29" s="142">
        <f>+Maglietta!D9</f>
        <v>0.05</v>
      </c>
      <c r="F29" s="143">
        <f>+Maglietta!E9</f>
        <v>0</v>
      </c>
    </row>
    <row r="30" spans="2:13" x14ac:dyDescent="0.3">
      <c r="B30" s="150" t="s">
        <v>2</v>
      </c>
      <c r="C30" s="102">
        <f>+Velasco!B8</f>
        <v>3150000</v>
      </c>
      <c r="D30" s="118">
        <f>+Velasco!C8</f>
        <v>2600000</v>
      </c>
      <c r="E30" s="118">
        <f>+Velasco!D8</f>
        <v>2000000</v>
      </c>
      <c r="F30" s="155" t="str">
        <f>+Velasco!E8</f>
        <v>&gt;=  2.000.000</v>
      </c>
    </row>
    <row r="31" spans="2:13" x14ac:dyDescent="0.3">
      <c r="B31" s="116"/>
      <c r="C31" s="144">
        <f>+Velasco!B9</f>
        <v>0.25</v>
      </c>
      <c r="D31" s="145">
        <f>+Velasco!C9</f>
        <v>0.15</v>
      </c>
      <c r="E31" s="145">
        <f>+Velasco!D9</f>
        <v>0.05</v>
      </c>
      <c r="F31" s="146">
        <f>+Velasco!E9</f>
        <v>0</v>
      </c>
    </row>
    <row r="32" spans="2:13" x14ac:dyDescent="0.3">
      <c r="B32" s="116"/>
      <c r="C32" s="172" t="s">
        <v>108</v>
      </c>
      <c r="D32" s="173"/>
      <c r="E32" s="173"/>
      <c r="F32" s="174"/>
    </row>
    <row r="33" spans="2:6" x14ac:dyDescent="0.3">
      <c r="B33" s="150" t="s">
        <v>33</v>
      </c>
      <c r="C33" s="148">
        <f>+Luppi!B12</f>
        <v>950000</v>
      </c>
      <c r="D33" s="149">
        <f>+Luppi!C12</f>
        <v>875000</v>
      </c>
      <c r="E33" s="149">
        <f>+Luppi!D12</f>
        <v>801000</v>
      </c>
      <c r="F33" s="156" t="str">
        <f>+Luppi!E12</f>
        <v>&gt;=  800.000</v>
      </c>
    </row>
    <row r="34" spans="2:6" x14ac:dyDescent="0.3">
      <c r="B34" s="150"/>
      <c r="C34" s="141">
        <f>+Luppi!B13</f>
        <v>0.1</v>
      </c>
      <c r="D34" s="142">
        <f>+Luppi!C13</f>
        <v>7.4999999999999997E-2</v>
      </c>
      <c r="E34" s="142">
        <f>+Luppi!D13</f>
        <v>0.05</v>
      </c>
      <c r="F34" s="143">
        <f>+Luppi!E13</f>
        <v>0</v>
      </c>
    </row>
    <row r="35" spans="2:6" x14ac:dyDescent="0.3">
      <c r="B35" s="150" t="s">
        <v>106</v>
      </c>
      <c r="C35" s="91">
        <f>+Shehata!B12</f>
        <v>0</v>
      </c>
      <c r="D35" s="90">
        <f>+Shehata!C12</f>
        <v>0</v>
      </c>
      <c r="E35" s="90">
        <f>+Shehata!D12</f>
        <v>0</v>
      </c>
      <c r="F35" s="157">
        <f>+Shehata!E12</f>
        <v>0</v>
      </c>
    </row>
    <row r="36" spans="2:6" x14ac:dyDescent="0.3">
      <c r="B36" s="150"/>
      <c r="C36" s="151">
        <f>+Shehata!B13</f>
        <v>0</v>
      </c>
      <c r="D36" s="152">
        <f>+Shehata!C13</f>
        <v>0</v>
      </c>
      <c r="E36" s="152">
        <f>+Shehata!D13</f>
        <v>0</v>
      </c>
      <c r="F36" s="153">
        <f>+Shehata!E13</f>
        <v>0</v>
      </c>
    </row>
    <row r="37" spans="2:6" x14ac:dyDescent="0.3">
      <c r="B37" s="150" t="s">
        <v>16</v>
      </c>
      <c r="C37" s="102">
        <f>+Maglietta!B12</f>
        <v>600000</v>
      </c>
      <c r="D37" s="118">
        <f>+Maglietta!C12</f>
        <v>525000</v>
      </c>
      <c r="E37" s="118">
        <f>+Maglietta!D12</f>
        <v>450000</v>
      </c>
      <c r="F37" s="155" t="str">
        <f>+Maglietta!E12</f>
        <v>&gt;=  4490.000</v>
      </c>
    </row>
    <row r="38" spans="2:6" x14ac:dyDescent="0.3">
      <c r="B38" s="150"/>
      <c r="C38" s="141">
        <f>+Maglietta!B13</f>
        <v>0.1</v>
      </c>
      <c r="D38" s="142">
        <f>+Maglietta!C13</f>
        <v>7.4999999999999997E-2</v>
      </c>
      <c r="E38" s="142">
        <f>+Maglietta!D13</f>
        <v>0.05</v>
      </c>
      <c r="F38" s="143">
        <f>+Maglietta!E13</f>
        <v>0</v>
      </c>
    </row>
    <row r="39" spans="2:6" x14ac:dyDescent="0.3">
      <c r="B39" s="150" t="s">
        <v>2</v>
      </c>
      <c r="C39" s="102">
        <f>+Velasco!B12</f>
        <v>950000</v>
      </c>
      <c r="D39" s="118">
        <f>+Velasco!C12</f>
        <v>875000</v>
      </c>
      <c r="E39" s="118">
        <f>+Velasco!D12</f>
        <v>801000</v>
      </c>
      <c r="F39" s="155" t="str">
        <f>+Velasco!E12</f>
        <v>&gt;=  800.000</v>
      </c>
    </row>
    <row r="40" spans="2:6" x14ac:dyDescent="0.3">
      <c r="B40" s="116"/>
      <c r="C40" s="144">
        <f>+Velasco!B13</f>
        <v>0.1</v>
      </c>
      <c r="D40" s="145">
        <f>+Velasco!C13</f>
        <v>7.4999999999999997E-2</v>
      </c>
      <c r="E40" s="145">
        <f>+Velasco!D13</f>
        <v>0.05</v>
      </c>
      <c r="F40" s="146">
        <f>+Velasco!E13</f>
        <v>0</v>
      </c>
    </row>
    <row r="41" spans="2:6" x14ac:dyDescent="0.3">
      <c r="B41" s="150"/>
    </row>
    <row r="42" spans="2:6" x14ac:dyDescent="0.3">
      <c r="B42" s="116"/>
    </row>
    <row r="43" spans="2:6" x14ac:dyDescent="0.3">
      <c r="B43" s="116"/>
    </row>
    <row r="44" spans="2:6" x14ac:dyDescent="0.3">
      <c r="B44" s="116"/>
    </row>
    <row r="45" spans="2:6" x14ac:dyDescent="0.3">
      <c r="B45" s="116"/>
    </row>
    <row r="46" spans="2:6" x14ac:dyDescent="0.3">
      <c r="B46" s="116"/>
    </row>
    <row r="47" spans="2:6" x14ac:dyDescent="0.3">
      <c r="B47" s="116"/>
    </row>
    <row r="48" spans="2:6" x14ac:dyDescent="0.3">
      <c r="B48" s="116"/>
    </row>
    <row r="49" spans="2:2" x14ac:dyDescent="0.3">
      <c r="B49" s="116"/>
    </row>
    <row r="50" spans="2:2" x14ac:dyDescent="0.3">
      <c r="B50" s="116"/>
    </row>
    <row r="51" spans="2:2" x14ac:dyDescent="0.3">
      <c r="B51" s="116"/>
    </row>
    <row r="52" spans="2:2" x14ac:dyDescent="0.3">
      <c r="B52" s="116"/>
    </row>
    <row r="53" spans="2:2" x14ac:dyDescent="0.3">
      <c r="B53" s="116"/>
    </row>
    <row r="54" spans="2:2" x14ac:dyDescent="0.3">
      <c r="B54" s="116"/>
    </row>
    <row r="55" spans="2:2" x14ac:dyDescent="0.3">
      <c r="B55" s="116"/>
    </row>
    <row r="56" spans="2:2" x14ac:dyDescent="0.3">
      <c r="B56" s="116"/>
    </row>
    <row r="57" spans="2:2" x14ac:dyDescent="0.3">
      <c r="B57" s="116"/>
    </row>
    <row r="58" spans="2:2" x14ac:dyDescent="0.3">
      <c r="B58" s="116"/>
    </row>
    <row r="59" spans="2:2" x14ac:dyDescent="0.3">
      <c r="B59" s="116"/>
    </row>
    <row r="60" spans="2:2" x14ac:dyDescent="0.3">
      <c r="B60" s="116"/>
    </row>
    <row r="61" spans="2:2" x14ac:dyDescent="0.3">
      <c r="B61" s="116"/>
    </row>
    <row r="62" spans="2:2" x14ac:dyDescent="0.3">
      <c r="B62" s="116"/>
    </row>
    <row r="63" spans="2:2" x14ac:dyDescent="0.3">
      <c r="B63" s="116"/>
    </row>
    <row r="64" spans="2:2" x14ac:dyDescent="0.3">
      <c r="B64" s="116"/>
    </row>
    <row r="65" spans="2:2" x14ac:dyDescent="0.3">
      <c r="B65" s="116"/>
    </row>
    <row r="66" spans="2:2" x14ac:dyDescent="0.3">
      <c r="B66" s="116"/>
    </row>
    <row r="67" spans="2:2" x14ac:dyDescent="0.3">
      <c r="B67" s="116"/>
    </row>
    <row r="68" spans="2:2" x14ac:dyDescent="0.3">
      <c r="B68" s="116"/>
    </row>
    <row r="69" spans="2:2" x14ac:dyDescent="0.3">
      <c r="B69" s="116"/>
    </row>
    <row r="70" spans="2:2" x14ac:dyDescent="0.3">
      <c r="B70" s="116"/>
    </row>
    <row r="71" spans="2:2" x14ac:dyDescent="0.3">
      <c r="B71" s="116"/>
    </row>
    <row r="72" spans="2:2" x14ac:dyDescent="0.3">
      <c r="B72" s="116"/>
    </row>
    <row r="73" spans="2:2" x14ac:dyDescent="0.3">
      <c r="B73" s="116"/>
    </row>
    <row r="74" spans="2:2" x14ac:dyDescent="0.3">
      <c r="B74" s="116"/>
    </row>
    <row r="75" spans="2:2" x14ac:dyDescent="0.3">
      <c r="B75" s="116"/>
    </row>
    <row r="76" spans="2:2" x14ac:dyDescent="0.3">
      <c r="B76" s="116"/>
    </row>
  </sheetData>
  <mergeCells count="4">
    <mergeCell ref="C14:F14"/>
    <mergeCell ref="C23:F23"/>
    <mergeCell ref="C32:F32"/>
    <mergeCell ref="H14:M14"/>
  </mergeCells>
  <pageMargins left="0.7" right="0.7" top="0.75" bottom="0.75" header="0.3" footer="0.3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90" zoomScaleNormal="90" workbookViewId="0">
      <selection activeCell="D25" sqref="D25"/>
    </sheetView>
  </sheetViews>
  <sheetFormatPr defaultColWidth="8.88671875" defaultRowHeight="14.4" x14ac:dyDescent="0.3"/>
  <cols>
    <col min="1" max="1" width="38.6640625" style="1" bestFit="1" customWidth="1"/>
    <col min="2" max="5" width="14" style="1" customWidth="1"/>
    <col min="6" max="6" width="12.33203125" style="1" customWidth="1"/>
    <col min="7" max="7" width="11.44140625" style="1" bestFit="1" customWidth="1"/>
    <col min="8" max="8" width="2.44140625" style="1" customWidth="1"/>
    <col min="9" max="9" width="11.109375" style="1" customWidth="1"/>
    <col min="10" max="10" width="22.44140625" style="1" bestFit="1" customWidth="1"/>
    <col min="11" max="11" width="19.5546875" style="1" customWidth="1"/>
    <col min="12" max="14" width="14.88671875" style="1" customWidth="1"/>
    <col min="15" max="16384" width="8.88671875" style="1"/>
  </cols>
  <sheetData>
    <row r="1" spans="1:14" x14ac:dyDescent="0.3">
      <c r="A1" s="52" t="s">
        <v>33</v>
      </c>
      <c r="B1" s="37"/>
    </row>
    <row r="2" spans="1:14" x14ac:dyDescent="0.3">
      <c r="I2" s="49"/>
      <c r="J2" s="49"/>
      <c r="N2" s="53"/>
    </row>
    <row r="3" spans="1:14" x14ac:dyDescent="0.3">
      <c r="C3" s="42"/>
      <c r="J3" s="1" t="s">
        <v>82</v>
      </c>
      <c r="K3" s="1">
        <v>12</v>
      </c>
    </row>
    <row r="4" spans="1:14" x14ac:dyDescent="0.3">
      <c r="A4" s="66" t="s">
        <v>36</v>
      </c>
      <c r="B4" s="57">
        <v>6</v>
      </c>
      <c r="C4" s="57">
        <v>5</v>
      </c>
      <c r="D4" s="57">
        <v>4</v>
      </c>
      <c r="E4" s="57" t="s">
        <v>103</v>
      </c>
      <c r="J4" s="61" t="s">
        <v>22</v>
      </c>
      <c r="K4" s="36">
        <v>50000</v>
      </c>
      <c r="L4" s="58"/>
      <c r="M4" s="58"/>
      <c r="N4" s="58"/>
    </row>
    <row r="5" spans="1:14" x14ac:dyDescent="0.3">
      <c r="A5" s="54"/>
      <c r="B5" s="55">
        <v>0.2</v>
      </c>
      <c r="C5" s="56">
        <v>0.1</v>
      </c>
      <c r="D5" s="56">
        <v>0.05</v>
      </c>
      <c r="E5" s="56">
        <v>0</v>
      </c>
      <c r="J5" s="61" t="s">
        <v>52</v>
      </c>
      <c r="K5" s="64">
        <v>6</v>
      </c>
      <c r="L5" s="58"/>
      <c r="M5" s="58"/>
      <c r="N5" s="58"/>
    </row>
    <row r="6" spans="1:14" x14ac:dyDescent="0.3">
      <c r="A6" s="52" t="s">
        <v>35</v>
      </c>
      <c r="B6" s="51">
        <f>+B5*$K$4</f>
        <v>10000</v>
      </c>
      <c r="C6" s="51">
        <f>+C5*$K$4</f>
        <v>5000</v>
      </c>
      <c r="D6" s="51">
        <f>+D5*$K$4</f>
        <v>2500</v>
      </c>
      <c r="E6" s="51">
        <f>+E5*$K$4</f>
        <v>0</v>
      </c>
      <c r="J6" s="61" t="s">
        <v>49</v>
      </c>
      <c r="K6" s="65">
        <v>450000</v>
      </c>
      <c r="L6" s="58"/>
      <c r="M6" s="58"/>
      <c r="N6" s="58"/>
    </row>
    <row r="7" spans="1:14" x14ac:dyDescent="0.3">
      <c r="J7" s="61" t="s">
        <v>44</v>
      </c>
      <c r="K7" s="60">
        <f>+K5*$K$6</f>
        <v>2700000</v>
      </c>
      <c r="L7" s="58" t="s">
        <v>81</v>
      </c>
      <c r="M7" s="58" t="s">
        <v>27</v>
      </c>
      <c r="N7" s="58"/>
    </row>
    <row r="8" spans="1:14" x14ac:dyDescent="0.3">
      <c r="A8" s="133" t="s">
        <v>104</v>
      </c>
      <c r="B8" s="134">
        <v>3150000</v>
      </c>
      <c r="C8" s="134">
        <v>2600000</v>
      </c>
      <c r="D8" s="134">
        <v>2000000</v>
      </c>
      <c r="E8" s="134" t="s">
        <v>101</v>
      </c>
      <c r="J8" s="61" t="s">
        <v>45</v>
      </c>
      <c r="K8" s="64">
        <v>802000</v>
      </c>
      <c r="L8" s="58">
        <v>551000</v>
      </c>
      <c r="M8" s="58">
        <f>+K8-L8</f>
        <v>251000</v>
      </c>
      <c r="N8" s="58" t="s">
        <v>86</v>
      </c>
    </row>
    <row r="9" spans="1:14" x14ac:dyDescent="0.3">
      <c r="A9" s="135"/>
      <c r="B9" s="136">
        <v>0.25</v>
      </c>
      <c r="C9" s="137">
        <v>0.15</v>
      </c>
      <c r="D9" s="137">
        <v>0.05</v>
      </c>
      <c r="E9" s="137">
        <v>0</v>
      </c>
      <c r="I9" s="52"/>
      <c r="J9" s="61" t="s">
        <v>41</v>
      </c>
      <c r="K9" s="59">
        <f>+K7+K8</f>
        <v>3502000</v>
      </c>
      <c r="L9" s="51"/>
      <c r="M9" s="129">
        <v>100000</v>
      </c>
      <c r="N9" s="51" t="s">
        <v>83</v>
      </c>
    </row>
    <row r="10" spans="1:14" x14ac:dyDescent="0.3">
      <c r="A10" s="138" t="s">
        <v>46</v>
      </c>
      <c r="B10" s="139">
        <f>+B9*$K$4</f>
        <v>12500</v>
      </c>
      <c r="C10" s="139">
        <f>+C9*$K$4</f>
        <v>7500</v>
      </c>
      <c r="D10" s="139">
        <f>+D9*$K$4</f>
        <v>2500</v>
      </c>
      <c r="E10" s="139">
        <f>+E9*$K$4</f>
        <v>0</v>
      </c>
      <c r="J10" s="61" t="s">
        <v>53</v>
      </c>
      <c r="K10" s="42">
        <f>(+IF(K5=B4,B5,IF(K5=C4,C5,IF(K5=D4,D5,0))))+(+IF(K9&gt;=B8,B9,IF(K9&gt;=C8,C9,IF(K9&gt;=D8,D9,0))))+(+IF(K8&gt;=B12,B13,IF(K8&gt;=C12,C13,IF(K8&gt;=D12,D13,0))))+(+IF('General Recap'!D8&gt;=B16,B17,IF('General Recap'!D8&gt;=C16,C17,IF('General Recap'!D8&gt;=D16,D17,IF('General Recap'!D8&gt;=E16,E17,IF('General Recap'!D8&gt;=F16,F17,0))))))</f>
        <v>0.5</v>
      </c>
      <c r="M10" s="129">
        <v>60000</v>
      </c>
      <c r="N10" s="1" t="s">
        <v>84</v>
      </c>
    </row>
    <row r="11" spans="1:14" x14ac:dyDescent="0.3">
      <c r="A11" s="140"/>
      <c r="B11" s="140"/>
      <c r="C11" s="140"/>
      <c r="D11" s="140"/>
      <c r="E11" s="140"/>
      <c r="J11" s="61"/>
      <c r="M11" s="129">
        <v>15000</v>
      </c>
      <c r="N11" s="1" t="s">
        <v>85</v>
      </c>
    </row>
    <row r="12" spans="1:14" ht="28.8" x14ac:dyDescent="0.3">
      <c r="A12" s="167" t="s">
        <v>105</v>
      </c>
      <c r="B12" s="163">
        <v>950000</v>
      </c>
      <c r="C12" s="163">
        <v>875000</v>
      </c>
      <c r="D12" s="163">
        <v>801000</v>
      </c>
      <c r="E12" s="163" t="s">
        <v>102</v>
      </c>
      <c r="J12" s="62" t="s">
        <v>34</v>
      </c>
      <c r="K12" s="63">
        <f>+K10*K4</f>
        <v>25000</v>
      </c>
      <c r="M12" s="36">
        <v>50000</v>
      </c>
      <c r="N12" s="1" t="s">
        <v>87</v>
      </c>
    </row>
    <row r="13" spans="1:14" x14ac:dyDescent="0.3">
      <c r="A13" s="164"/>
      <c r="B13" s="165">
        <v>0.1</v>
      </c>
      <c r="C13" s="166">
        <v>7.4999999999999997E-2</v>
      </c>
      <c r="D13" s="166">
        <v>0.05</v>
      </c>
      <c r="E13" s="166">
        <v>0</v>
      </c>
      <c r="J13" s="61"/>
      <c r="M13" s="130">
        <f>+M8-SUM(M9:M12)</f>
        <v>26000</v>
      </c>
    </row>
    <row r="14" spans="1:14" x14ac:dyDescent="0.3">
      <c r="A14" s="138" t="s">
        <v>47</v>
      </c>
      <c r="B14" s="139">
        <f>+B13*$K$4</f>
        <v>5000</v>
      </c>
      <c r="C14" s="139">
        <f>+C13*$K$4</f>
        <v>3750</v>
      </c>
      <c r="D14" s="139">
        <f>+D13*$K$4</f>
        <v>2500</v>
      </c>
      <c r="E14" s="139">
        <f>+E13*$K$4</f>
        <v>0</v>
      </c>
      <c r="M14" s="129"/>
    </row>
    <row r="16" spans="1:14" x14ac:dyDescent="0.3">
      <c r="A16" s="66" t="s">
        <v>40</v>
      </c>
      <c r="B16" s="57">
        <v>13500000</v>
      </c>
      <c r="C16" s="57">
        <v>12500000</v>
      </c>
      <c r="D16" s="57">
        <v>11500000</v>
      </c>
      <c r="E16" s="57">
        <v>10750000</v>
      </c>
      <c r="F16" s="57">
        <v>10000000</v>
      </c>
      <c r="G16" s="57">
        <f>+F16-1</f>
        <v>9999999</v>
      </c>
    </row>
    <row r="17" spans="1:7" x14ac:dyDescent="0.3">
      <c r="A17" s="54"/>
      <c r="B17" s="55">
        <v>0.45</v>
      </c>
      <c r="C17" s="56">
        <v>0.35</v>
      </c>
      <c r="D17" s="56">
        <v>0.25</v>
      </c>
      <c r="E17" s="56">
        <v>0.15</v>
      </c>
      <c r="F17" s="56">
        <v>0.1</v>
      </c>
      <c r="G17" s="56">
        <v>0</v>
      </c>
    </row>
    <row r="18" spans="1:7" x14ac:dyDescent="0.3">
      <c r="A18" s="52" t="s">
        <v>48</v>
      </c>
      <c r="B18" s="51">
        <f t="shared" ref="B18:G18" si="0">+B17*$K$4</f>
        <v>22500</v>
      </c>
      <c r="C18" s="51">
        <f t="shared" si="0"/>
        <v>17500</v>
      </c>
      <c r="D18" s="51">
        <f t="shared" si="0"/>
        <v>12500</v>
      </c>
      <c r="E18" s="51">
        <f t="shared" si="0"/>
        <v>7500</v>
      </c>
      <c r="F18" s="51">
        <f t="shared" si="0"/>
        <v>5000</v>
      </c>
      <c r="G18" s="51">
        <f t="shared" si="0"/>
        <v>0</v>
      </c>
    </row>
  </sheetData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90" zoomScaleNormal="90" workbookViewId="0">
      <selection activeCell="C13" sqref="C13"/>
    </sheetView>
  </sheetViews>
  <sheetFormatPr defaultColWidth="8.88671875" defaultRowHeight="14.4" x14ac:dyDescent="0.3"/>
  <cols>
    <col min="1" max="1" width="27.44140625" style="1" customWidth="1"/>
    <col min="2" max="5" width="14" style="1" customWidth="1"/>
    <col min="6" max="6" width="12.33203125" style="1" customWidth="1"/>
    <col min="7" max="7" width="11.44140625" style="1" bestFit="1" customWidth="1"/>
    <col min="8" max="8" width="2.44140625" style="1" customWidth="1"/>
    <col min="9" max="9" width="11.109375" style="1" customWidth="1"/>
    <col min="10" max="10" width="22.44140625" style="1" bestFit="1" customWidth="1"/>
    <col min="11" max="11" width="19.5546875" style="1" customWidth="1"/>
    <col min="12" max="14" width="14.88671875" style="1" customWidth="1"/>
    <col min="15" max="16384" width="8.88671875" style="1"/>
  </cols>
  <sheetData>
    <row r="1" spans="1:14" x14ac:dyDescent="0.3">
      <c r="A1" s="52" t="s">
        <v>51</v>
      </c>
      <c r="B1" s="37"/>
    </row>
    <row r="2" spans="1:14" x14ac:dyDescent="0.3">
      <c r="I2" s="49"/>
      <c r="J2" s="49"/>
      <c r="N2" s="53"/>
    </row>
    <row r="3" spans="1:14" x14ac:dyDescent="0.3">
      <c r="C3" s="42"/>
      <c r="J3" s="1" t="s">
        <v>82</v>
      </c>
    </row>
    <row r="4" spans="1:14" x14ac:dyDescent="0.3">
      <c r="A4" s="66" t="s">
        <v>36</v>
      </c>
      <c r="B4" s="57">
        <v>6</v>
      </c>
      <c r="C4" s="57">
        <v>5</v>
      </c>
      <c r="D4" s="57">
        <v>4</v>
      </c>
      <c r="E4" s="57" t="s">
        <v>103</v>
      </c>
      <c r="J4" s="61" t="s">
        <v>22</v>
      </c>
      <c r="K4" s="36">
        <v>70000</v>
      </c>
      <c r="L4" s="58"/>
      <c r="M4" s="58"/>
      <c r="N4" s="58"/>
    </row>
    <row r="5" spans="1:14" x14ac:dyDescent="0.3">
      <c r="A5" s="54"/>
      <c r="B5" s="55">
        <v>0.2</v>
      </c>
      <c r="C5" s="56">
        <v>0.1</v>
      </c>
      <c r="D5" s="56">
        <v>0.05</v>
      </c>
      <c r="E5" s="56">
        <v>0</v>
      </c>
      <c r="J5" s="61" t="s">
        <v>52</v>
      </c>
      <c r="K5" s="64">
        <v>3</v>
      </c>
      <c r="L5" s="58"/>
      <c r="M5" s="58"/>
      <c r="N5" s="58"/>
    </row>
    <row r="6" spans="1:14" x14ac:dyDescent="0.3">
      <c r="A6" s="52" t="s">
        <v>35</v>
      </c>
      <c r="B6" s="51">
        <f>+B5*$K$4</f>
        <v>14000</v>
      </c>
      <c r="C6" s="51">
        <f>+C5*$K$4</f>
        <v>7000</v>
      </c>
      <c r="D6" s="51">
        <f>+D5*$K$4</f>
        <v>3500</v>
      </c>
      <c r="E6" s="51">
        <f>+E5*$K$4</f>
        <v>0</v>
      </c>
      <c r="J6" s="61" t="s">
        <v>49</v>
      </c>
      <c r="K6" s="65">
        <v>450000</v>
      </c>
      <c r="L6" s="58"/>
      <c r="M6" s="58"/>
      <c r="N6" s="58"/>
    </row>
    <row r="7" spans="1:14" x14ac:dyDescent="0.3">
      <c r="J7" s="61" t="s">
        <v>44</v>
      </c>
      <c r="K7" s="60">
        <f>+K5*$K$6</f>
        <v>1350000</v>
      </c>
      <c r="L7" s="58" t="s">
        <v>81</v>
      </c>
      <c r="M7" s="58"/>
      <c r="N7" s="58"/>
    </row>
    <row r="8" spans="1:14" x14ac:dyDescent="0.3">
      <c r="A8" s="66" t="s">
        <v>38</v>
      </c>
      <c r="B8" s="134">
        <v>3150000</v>
      </c>
      <c r="C8" s="134">
        <v>2600000</v>
      </c>
      <c r="D8" s="134">
        <v>2000000</v>
      </c>
      <c r="E8" s="134" t="s">
        <v>101</v>
      </c>
      <c r="J8" s="61" t="s">
        <v>45</v>
      </c>
      <c r="K8" s="64"/>
      <c r="L8" s="58">
        <v>410000</v>
      </c>
      <c r="M8" s="58">
        <f>+K8-L8</f>
        <v>-410000</v>
      </c>
      <c r="N8" s="58" t="s">
        <v>86</v>
      </c>
    </row>
    <row r="9" spans="1:14" x14ac:dyDescent="0.3">
      <c r="A9" s="54"/>
      <c r="B9" s="55">
        <v>0.25</v>
      </c>
      <c r="C9" s="56">
        <v>0.15</v>
      </c>
      <c r="D9" s="56">
        <v>0.05</v>
      </c>
      <c r="E9" s="56">
        <v>0</v>
      </c>
      <c r="I9" s="52"/>
      <c r="J9" s="61" t="s">
        <v>41</v>
      </c>
      <c r="K9" s="59">
        <f>+K7+K8</f>
        <v>1350000</v>
      </c>
      <c r="L9" s="51"/>
      <c r="M9" s="129">
        <v>150000</v>
      </c>
      <c r="N9" s="131" t="s">
        <v>88</v>
      </c>
    </row>
    <row r="10" spans="1:14" x14ac:dyDescent="0.3">
      <c r="A10" s="52" t="s">
        <v>46</v>
      </c>
      <c r="B10" s="51">
        <f>+B9*$K$4</f>
        <v>17500</v>
      </c>
      <c r="C10" s="51">
        <f>+C9*$K$4</f>
        <v>10500</v>
      </c>
      <c r="D10" s="51">
        <f>+D9*$K$4</f>
        <v>3500</v>
      </c>
      <c r="E10" s="51">
        <f>+E9*$K$4</f>
        <v>0</v>
      </c>
      <c r="J10" s="61" t="s">
        <v>53</v>
      </c>
      <c r="K10" s="42">
        <f>(+IF(K5=B4,B5,IF(K5=C4,C5,IF(K5=D4,D5,0))))+(+IF(K9&gt;=B8,B9,IF(K9&gt;=C8,C9,IF(K9&gt;=D8,D9,0))))+(+IF(K8&gt;=B12,B13,IF(K8&gt;=C12,C13,IF(K8&gt;=D12,D13,0))))+(+IF('General Recap'!D8&gt;=B16,B17,IF('General Recap'!D8&gt;=C16,C17,IF('General Recap'!D8&gt;=D16,D17,IF('General Recap'!D8&gt;=E16,E17,IF('General Recap'!D8&gt;=F16,F17,0))))))</f>
        <v>0</v>
      </c>
      <c r="M10" s="129">
        <v>120000</v>
      </c>
      <c r="N10" s="1" t="s">
        <v>89</v>
      </c>
    </row>
    <row r="11" spans="1:14" x14ac:dyDescent="0.3">
      <c r="J11" s="61"/>
      <c r="M11" s="129"/>
    </row>
    <row r="12" spans="1:14" x14ac:dyDescent="0.3">
      <c r="A12" s="66" t="s">
        <v>39</v>
      </c>
      <c r="B12" s="132"/>
      <c r="C12" s="132"/>
      <c r="D12" s="132"/>
      <c r="E12" s="132"/>
      <c r="J12" s="62" t="s">
        <v>34</v>
      </c>
      <c r="K12" s="63">
        <f>+K10*K4</f>
        <v>0</v>
      </c>
      <c r="M12" s="36"/>
    </row>
    <row r="13" spans="1:14" x14ac:dyDescent="0.3">
      <c r="A13" s="54"/>
      <c r="B13" s="55"/>
      <c r="C13" s="56"/>
      <c r="D13" s="56"/>
      <c r="E13" s="56"/>
      <c r="J13" s="61"/>
      <c r="M13" s="130">
        <f>+M8-SUM(M9:M12)</f>
        <v>-680000</v>
      </c>
    </row>
    <row r="14" spans="1:14" x14ac:dyDescent="0.3">
      <c r="A14" s="52" t="s">
        <v>47</v>
      </c>
      <c r="B14" s="51">
        <f>+B13*$K$4</f>
        <v>0</v>
      </c>
      <c r="C14" s="51">
        <f>+C13*$K$4</f>
        <v>0</v>
      </c>
      <c r="D14" s="51">
        <f>+D13*$K$4</f>
        <v>0</v>
      </c>
      <c r="E14" s="51">
        <f>+E13*$K$4</f>
        <v>0</v>
      </c>
    </row>
    <row r="16" spans="1:14" x14ac:dyDescent="0.3">
      <c r="A16" s="66" t="s">
        <v>40</v>
      </c>
      <c r="B16" s="57">
        <v>13500000</v>
      </c>
      <c r="C16" s="57">
        <v>12500000</v>
      </c>
      <c r="D16" s="57">
        <v>11500000</v>
      </c>
      <c r="E16" s="57">
        <v>10750000</v>
      </c>
      <c r="F16" s="57">
        <v>10000000</v>
      </c>
      <c r="G16" s="57">
        <f>+F16-1</f>
        <v>9999999</v>
      </c>
    </row>
    <row r="17" spans="1:7" x14ac:dyDescent="0.3">
      <c r="A17" s="54"/>
      <c r="B17" s="55">
        <v>0.55000000000000004</v>
      </c>
      <c r="C17" s="56">
        <v>0.4</v>
      </c>
      <c r="D17" s="56">
        <v>0.25</v>
      </c>
      <c r="E17" s="56">
        <v>0.2</v>
      </c>
      <c r="F17" s="56">
        <v>0.15</v>
      </c>
      <c r="G17" s="56">
        <v>0</v>
      </c>
    </row>
    <row r="18" spans="1:7" x14ac:dyDescent="0.3">
      <c r="A18" s="52" t="s">
        <v>48</v>
      </c>
      <c r="B18" s="51">
        <f t="shared" ref="B18:G18" si="0">+B17*$K$4</f>
        <v>38500</v>
      </c>
      <c r="C18" s="51">
        <f t="shared" si="0"/>
        <v>28000</v>
      </c>
      <c r="D18" s="51">
        <f t="shared" si="0"/>
        <v>17500</v>
      </c>
      <c r="E18" s="51">
        <f t="shared" si="0"/>
        <v>14000</v>
      </c>
      <c r="F18" s="51">
        <f t="shared" si="0"/>
        <v>10500</v>
      </c>
      <c r="G18" s="51">
        <f t="shared" si="0"/>
        <v>0</v>
      </c>
    </row>
  </sheetData>
  <pageMargins left="0.7" right="0.7" top="0.75" bottom="0.75" header="0.3" footer="0.3"/>
  <pageSetup paperSize="9" scale="3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90" zoomScaleNormal="90" workbookViewId="0">
      <selection activeCell="E34" sqref="E34"/>
    </sheetView>
  </sheetViews>
  <sheetFormatPr defaultColWidth="8.88671875" defaultRowHeight="14.4" x14ac:dyDescent="0.3"/>
  <cols>
    <col min="1" max="1" width="27.44140625" style="1" customWidth="1"/>
    <col min="2" max="5" width="14" style="1" customWidth="1"/>
    <col min="6" max="6" width="12.33203125" style="1" customWidth="1"/>
    <col min="7" max="7" width="11.44140625" style="1" bestFit="1" customWidth="1"/>
    <col min="8" max="8" width="2.44140625" style="1" customWidth="1"/>
    <col min="9" max="9" width="11.109375" style="1" customWidth="1"/>
    <col min="10" max="10" width="22.44140625" style="1" bestFit="1" customWidth="1"/>
    <col min="11" max="11" width="19.5546875" style="1" customWidth="1"/>
    <col min="12" max="14" width="14.88671875" style="1" customWidth="1"/>
    <col min="15" max="16384" width="8.88671875" style="1"/>
  </cols>
  <sheetData>
    <row r="1" spans="1:14" x14ac:dyDescent="0.3">
      <c r="A1" s="52" t="s">
        <v>16</v>
      </c>
      <c r="B1" s="37"/>
    </row>
    <row r="2" spans="1:14" x14ac:dyDescent="0.3">
      <c r="I2" s="49"/>
      <c r="J2" s="49"/>
      <c r="N2" s="53"/>
    </row>
    <row r="3" spans="1:14" x14ac:dyDescent="0.3">
      <c r="C3" s="42"/>
      <c r="J3" s="1" t="s">
        <v>82</v>
      </c>
      <c r="K3" s="1">
        <v>7</v>
      </c>
      <c r="L3" s="1" t="s">
        <v>54</v>
      </c>
    </row>
    <row r="4" spans="1:14" x14ac:dyDescent="0.3">
      <c r="A4" s="66" t="s">
        <v>36</v>
      </c>
      <c r="B4" s="57">
        <v>5</v>
      </c>
      <c r="C4" s="57">
        <v>4</v>
      </c>
      <c r="D4" s="57">
        <v>3</v>
      </c>
      <c r="E4" s="57" t="s">
        <v>37</v>
      </c>
      <c r="J4" s="61" t="s">
        <v>22</v>
      </c>
      <c r="K4" s="36">
        <f>+L4/1.6</f>
        <v>75000</v>
      </c>
      <c r="L4" s="58">
        <v>120000</v>
      </c>
      <c r="M4" s="58"/>
      <c r="N4" s="58"/>
    </row>
    <row r="5" spans="1:14" x14ac:dyDescent="0.3">
      <c r="A5" s="54"/>
      <c r="B5" s="55">
        <v>0.2</v>
      </c>
      <c r="C5" s="56">
        <v>0.1</v>
      </c>
      <c r="D5" s="56">
        <v>0.05</v>
      </c>
      <c r="E5" s="56">
        <v>0</v>
      </c>
      <c r="J5" s="61" t="s">
        <v>52</v>
      </c>
      <c r="K5" s="64">
        <v>3</v>
      </c>
      <c r="L5" s="58"/>
      <c r="M5" s="58"/>
      <c r="N5" s="58"/>
    </row>
    <row r="6" spans="1:14" x14ac:dyDescent="0.3">
      <c r="A6" s="52" t="s">
        <v>35</v>
      </c>
      <c r="B6" s="51">
        <f>+B5*$K$4</f>
        <v>15000</v>
      </c>
      <c r="C6" s="51">
        <f>+C5*$K$4</f>
        <v>7500</v>
      </c>
      <c r="D6" s="51">
        <f>+D5*$K$4</f>
        <v>3750</v>
      </c>
      <c r="E6" s="51">
        <f>+E5*$K$4</f>
        <v>0</v>
      </c>
      <c r="J6" s="61" t="s">
        <v>49</v>
      </c>
      <c r="K6" s="65">
        <v>450000</v>
      </c>
      <c r="L6" s="58"/>
      <c r="M6" s="58"/>
      <c r="N6" s="58"/>
    </row>
    <row r="7" spans="1:14" x14ac:dyDescent="0.3">
      <c r="J7" s="61" t="s">
        <v>44</v>
      </c>
      <c r="K7" s="60">
        <f>+K5*$K$6</f>
        <v>1350000</v>
      </c>
      <c r="L7" s="58" t="s">
        <v>81</v>
      </c>
      <c r="M7" s="58"/>
      <c r="N7" s="58"/>
    </row>
    <row r="8" spans="1:14" x14ac:dyDescent="0.3">
      <c r="A8" s="66" t="s">
        <v>38</v>
      </c>
      <c r="B8" s="134">
        <v>2850000</v>
      </c>
      <c r="C8" s="134">
        <v>2400000</v>
      </c>
      <c r="D8" s="134">
        <v>1800000</v>
      </c>
      <c r="E8" s="134" t="s">
        <v>110</v>
      </c>
      <c r="J8" s="61" t="s">
        <v>45</v>
      </c>
      <c r="K8" s="64">
        <v>700000</v>
      </c>
      <c r="L8" s="58">
        <v>199000</v>
      </c>
      <c r="M8" s="58">
        <f>+K8-L8</f>
        <v>501000</v>
      </c>
      <c r="N8" s="58" t="s">
        <v>86</v>
      </c>
    </row>
    <row r="9" spans="1:14" x14ac:dyDescent="0.3">
      <c r="A9" s="54"/>
      <c r="B9" s="55">
        <v>0.25</v>
      </c>
      <c r="C9" s="56">
        <v>0.15</v>
      </c>
      <c r="D9" s="56">
        <v>0.05</v>
      </c>
      <c r="E9" s="56">
        <v>0</v>
      </c>
      <c r="I9" s="52"/>
      <c r="J9" s="61" t="s">
        <v>41</v>
      </c>
      <c r="K9" s="59">
        <f>+K7+K8</f>
        <v>2050000</v>
      </c>
      <c r="L9" s="51"/>
      <c r="M9" s="129">
        <v>77000</v>
      </c>
      <c r="N9" s="131" t="s">
        <v>90</v>
      </c>
    </row>
    <row r="10" spans="1:14" x14ac:dyDescent="0.3">
      <c r="A10" s="52" t="s">
        <v>46</v>
      </c>
      <c r="B10" s="51">
        <f>+B9*$K$4</f>
        <v>18750</v>
      </c>
      <c r="C10" s="51">
        <f>+C9*$K$4</f>
        <v>11250</v>
      </c>
      <c r="D10" s="51">
        <f>+D9*$K$4</f>
        <v>3750</v>
      </c>
      <c r="E10" s="51">
        <f>+E9*$K$4</f>
        <v>0</v>
      </c>
      <c r="J10" s="61" t="s">
        <v>53</v>
      </c>
      <c r="K10" s="42">
        <f>(+IF(K5=B4,B5,IF(K5=C4,C5,IF(K5=D4,D5,0))))+(+IF(K9&gt;=B8,B9,IF(K9&gt;=C8,C9,IF(K9&gt;=D8,D9,0))))+(+IF(K8&gt;=B12,B13,IF(K8&gt;=C12,C13,IF(K8&gt;=D12,D13,0))))+(+IF('General Recap'!D8&gt;=B16,B17,IF('General Recap'!D8&gt;=C16,C17,IF('General Recap'!D8&gt;=D16,D17,IF('General Recap'!D8&gt;=E16,E17,IF('General Recap'!D8&gt;=F16,F17,0))))))</f>
        <v>0.2</v>
      </c>
      <c r="M10" s="129">
        <v>33000</v>
      </c>
      <c r="N10" s="1" t="s">
        <v>91</v>
      </c>
    </row>
    <row r="11" spans="1:14" x14ac:dyDescent="0.3">
      <c r="J11" s="61"/>
      <c r="M11" s="129">
        <v>70000</v>
      </c>
      <c r="N11" s="1" t="s">
        <v>92</v>
      </c>
    </row>
    <row r="12" spans="1:14" ht="28.8" x14ac:dyDescent="0.3">
      <c r="A12" s="168" t="s">
        <v>39</v>
      </c>
      <c r="B12" s="134">
        <v>600000</v>
      </c>
      <c r="C12" s="134">
        <v>525000</v>
      </c>
      <c r="D12" s="134">
        <v>450000</v>
      </c>
      <c r="E12" s="134" t="s">
        <v>111</v>
      </c>
      <c r="J12" s="62" t="s">
        <v>34</v>
      </c>
      <c r="K12" s="63">
        <f>+K10*K4</f>
        <v>15000</v>
      </c>
      <c r="M12" s="36">
        <v>50000</v>
      </c>
      <c r="N12" s="1" t="s">
        <v>93</v>
      </c>
    </row>
    <row r="13" spans="1:14" x14ac:dyDescent="0.3">
      <c r="A13" s="54"/>
      <c r="B13" s="55">
        <v>0.1</v>
      </c>
      <c r="C13" s="56">
        <v>7.4999999999999997E-2</v>
      </c>
      <c r="D13" s="56">
        <v>0.05</v>
      </c>
      <c r="E13" s="56">
        <v>0</v>
      </c>
      <c r="J13" s="61"/>
      <c r="M13" s="130">
        <f>+M8-SUM(M9:M12)</f>
        <v>271000</v>
      </c>
    </row>
    <row r="14" spans="1:14" x14ac:dyDescent="0.3">
      <c r="A14" s="52" t="s">
        <v>47</v>
      </c>
      <c r="B14" s="51">
        <f>+B13*$K$4</f>
        <v>7500</v>
      </c>
      <c r="C14" s="51">
        <f>+C13*$K$4</f>
        <v>5625</v>
      </c>
      <c r="D14" s="51">
        <f>+D13*$K$4</f>
        <v>3750</v>
      </c>
      <c r="E14" s="51">
        <f>+E13*$K$4</f>
        <v>0</v>
      </c>
    </row>
    <row r="16" spans="1:14" x14ac:dyDescent="0.3">
      <c r="A16" s="66" t="s">
        <v>40</v>
      </c>
      <c r="B16" s="57">
        <v>13500000</v>
      </c>
      <c r="C16" s="57">
        <v>12500000</v>
      </c>
      <c r="D16" s="57">
        <v>11500000</v>
      </c>
      <c r="E16" s="57">
        <v>10750000</v>
      </c>
      <c r="F16" s="57">
        <v>10000000</v>
      </c>
      <c r="G16" s="57">
        <f>+F16-1</f>
        <v>9999999</v>
      </c>
    </row>
    <row r="17" spans="1:7" x14ac:dyDescent="0.3">
      <c r="A17" s="54"/>
      <c r="B17" s="55">
        <v>0.45</v>
      </c>
      <c r="C17" s="56">
        <v>0.35</v>
      </c>
      <c r="D17" s="56">
        <v>0.25</v>
      </c>
      <c r="E17" s="56">
        <v>0.15</v>
      </c>
      <c r="F17" s="56">
        <v>0.1</v>
      </c>
      <c r="G17" s="56">
        <v>0</v>
      </c>
    </row>
    <row r="18" spans="1:7" x14ac:dyDescent="0.3">
      <c r="A18" s="52" t="s">
        <v>48</v>
      </c>
      <c r="B18" s="51">
        <f t="shared" ref="B18:G18" si="0">+B17*$K$4</f>
        <v>33750</v>
      </c>
      <c r="C18" s="51">
        <f t="shared" si="0"/>
        <v>26250</v>
      </c>
      <c r="D18" s="51">
        <f t="shared" si="0"/>
        <v>18750</v>
      </c>
      <c r="E18" s="51">
        <f t="shared" si="0"/>
        <v>11250</v>
      </c>
      <c r="F18" s="51">
        <f t="shared" si="0"/>
        <v>7500</v>
      </c>
      <c r="G18" s="51">
        <f t="shared" si="0"/>
        <v>0</v>
      </c>
    </row>
  </sheetData>
  <pageMargins left="0.7" right="0.7" top="0.75" bottom="0.75" header="0.3" footer="0.3"/>
  <pageSetup paperSize="9" scale="3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90" zoomScaleNormal="90" workbookViewId="0">
      <selection activeCell="E23" sqref="E23"/>
    </sheetView>
  </sheetViews>
  <sheetFormatPr defaultColWidth="8.88671875" defaultRowHeight="14.4" x14ac:dyDescent="0.3"/>
  <cols>
    <col min="1" max="1" width="27.44140625" style="1" customWidth="1"/>
    <col min="2" max="5" width="14" style="1" customWidth="1"/>
    <col min="6" max="6" width="12.33203125" style="1" customWidth="1"/>
    <col min="7" max="7" width="11.44140625" style="1" bestFit="1" customWidth="1"/>
    <col min="8" max="8" width="2.44140625" style="1" customWidth="1"/>
    <col min="9" max="9" width="11.109375" style="1" customWidth="1"/>
    <col min="10" max="10" width="22.44140625" style="1" bestFit="1" customWidth="1"/>
    <col min="11" max="11" width="19.5546875" style="1" customWidth="1"/>
    <col min="12" max="14" width="14.88671875" style="1" customWidth="1"/>
    <col min="15" max="16384" width="8.88671875" style="1"/>
  </cols>
  <sheetData>
    <row r="1" spans="1:14" x14ac:dyDescent="0.3">
      <c r="A1" s="52" t="s">
        <v>2</v>
      </c>
      <c r="B1" s="37"/>
    </row>
    <row r="2" spans="1:14" x14ac:dyDescent="0.3">
      <c r="I2" s="49"/>
      <c r="J2" s="49"/>
      <c r="N2" s="53"/>
    </row>
    <row r="3" spans="1:14" x14ac:dyDescent="0.3">
      <c r="C3" s="42"/>
      <c r="J3" s="1" t="s">
        <v>82</v>
      </c>
      <c r="K3" s="1">
        <v>12</v>
      </c>
      <c r="L3" s="1" t="s">
        <v>55</v>
      </c>
    </row>
    <row r="4" spans="1:14" x14ac:dyDescent="0.3">
      <c r="A4" s="66" t="s">
        <v>36</v>
      </c>
      <c r="B4" s="57">
        <v>6</v>
      </c>
      <c r="C4" s="57">
        <v>5</v>
      </c>
      <c r="D4" s="57">
        <v>4</v>
      </c>
      <c r="E4" s="57" t="s">
        <v>103</v>
      </c>
      <c r="J4" s="61" t="s">
        <v>22</v>
      </c>
      <c r="K4" s="36">
        <f>+L4/1.3</f>
        <v>69230.769230769234</v>
      </c>
      <c r="L4" s="58">
        <v>90000</v>
      </c>
      <c r="M4" s="58"/>
      <c r="N4" s="58"/>
    </row>
    <row r="5" spans="1:14" x14ac:dyDescent="0.3">
      <c r="A5" s="54"/>
      <c r="B5" s="55">
        <v>0.2</v>
      </c>
      <c r="C5" s="56">
        <v>0.1</v>
      </c>
      <c r="D5" s="56">
        <v>0.05</v>
      </c>
      <c r="E5" s="56">
        <v>0</v>
      </c>
      <c r="J5" s="61" t="s">
        <v>52</v>
      </c>
      <c r="K5" s="64">
        <v>3</v>
      </c>
      <c r="L5" s="58"/>
      <c r="M5" s="58"/>
      <c r="N5" s="58"/>
    </row>
    <row r="6" spans="1:14" x14ac:dyDescent="0.3">
      <c r="A6" s="52" t="s">
        <v>35</v>
      </c>
      <c r="B6" s="51">
        <f>+B5*$K$4</f>
        <v>13846.153846153848</v>
      </c>
      <c r="C6" s="51">
        <f>+C5*$K$4</f>
        <v>6923.0769230769238</v>
      </c>
      <c r="D6" s="51">
        <f>+D5*$K$4</f>
        <v>3461.5384615384619</v>
      </c>
      <c r="E6" s="51">
        <f>+E5*$K$4</f>
        <v>0</v>
      </c>
      <c r="J6" s="61" t="s">
        <v>49</v>
      </c>
      <c r="K6" s="65">
        <v>450000</v>
      </c>
      <c r="L6" s="58"/>
      <c r="M6" s="58"/>
      <c r="N6" s="58"/>
    </row>
    <row r="7" spans="1:14" x14ac:dyDescent="0.3">
      <c r="J7" s="61" t="s">
        <v>44</v>
      </c>
      <c r="K7" s="60">
        <f>+K5*$K$6</f>
        <v>1350000</v>
      </c>
      <c r="L7" s="58" t="s">
        <v>81</v>
      </c>
      <c r="M7" s="58"/>
      <c r="N7" s="58"/>
    </row>
    <row r="8" spans="1:14" x14ac:dyDescent="0.3">
      <c r="A8" s="66" t="s">
        <v>38</v>
      </c>
      <c r="B8" s="134">
        <v>3150000</v>
      </c>
      <c r="C8" s="134">
        <v>2600000</v>
      </c>
      <c r="D8" s="134">
        <v>2000000</v>
      </c>
      <c r="E8" s="134" t="s">
        <v>101</v>
      </c>
      <c r="J8" s="61" t="s">
        <v>45</v>
      </c>
      <c r="K8" s="64">
        <v>700000</v>
      </c>
      <c r="L8" s="58">
        <v>290000</v>
      </c>
      <c r="M8" s="58">
        <f>+K8-L8</f>
        <v>410000</v>
      </c>
      <c r="N8" s="58" t="s">
        <v>86</v>
      </c>
    </row>
    <row r="9" spans="1:14" x14ac:dyDescent="0.3">
      <c r="A9" s="54"/>
      <c r="B9" s="55">
        <v>0.25</v>
      </c>
      <c r="C9" s="56">
        <v>0.15</v>
      </c>
      <c r="D9" s="56">
        <v>0.05</v>
      </c>
      <c r="E9" s="56">
        <v>0</v>
      </c>
      <c r="I9" s="52"/>
      <c r="J9" s="61" t="s">
        <v>41</v>
      </c>
      <c r="K9" s="59">
        <f>+K7+K8</f>
        <v>2050000</v>
      </c>
      <c r="L9" s="51"/>
      <c r="M9" s="129">
        <v>80000</v>
      </c>
      <c r="N9" s="131" t="s">
        <v>94</v>
      </c>
    </row>
    <row r="10" spans="1:14" x14ac:dyDescent="0.3">
      <c r="A10" s="52" t="s">
        <v>46</v>
      </c>
      <c r="B10" s="51">
        <f>+B9*$K$4</f>
        <v>17307.692307692309</v>
      </c>
      <c r="C10" s="51">
        <f>+C9*$K$4</f>
        <v>10384.615384615385</v>
      </c>
      <c r="D10" s="51">
        <f>+D9*$K$4</f>
        <v>3461.5384615384619</v>
      </c>
      <c r="E10" s="51">
        <f>+E9*$K$4</f>
        <v>0</v>
      </c>
      <c r="J10" s="61" t="s">
        <v>53</v>
      </c>
      <c r="K10" s="42">
        <f>(+IF(K5=B4,B5,IF(K5=C4,C5,IF(K5=D4,D5,0))))+(+IF(K9&gt;=B8,B9,IF(K9&gt;=C8,C9,IF(K9&gt;=D8,D9,0))))+(+IF(K8&gt;=B12,B13,IF(K8&gt;=C12,C13,IF(K8&gt;=D12,D13,0))))+(+IF('General Recap'!D8&gt;=B16,B17,IF('General Recap'!D8&gt;=C16,C17,IF('General Recap'!D8&gt;=D16,D17,IF('General Recap'!D8&gt;=E16,E17,IF('General Recap'!D8&gt;=F16,F17,0))))))</f>
        <v>0.05</v>
      </c>
      <c r="M10" s="129">
        <v>100000</v>
      </c>
      <c r="N10" s="1" t="s">
        <v>95</v>
      </c>
    </row>
    <row r="11" spans="1:14" x14ac:dyDescent="0.3">
      <c r="J11" s="61"/>
      <c r="M11" s="129">
        <v>20000</v>
      </c>
      <c r="N11" s="1" t="s">
        <v>96</v>
      </c>
    </row>
    <row r="12" spans="1:14" x14ac:dyDescent="0.3">
      <c r="A12" s="66" t="s">
        <v>39</v>
      </c>
      <c r="B12" s="134">
        <v>950000</v>
      </c>
      <c r="C12" s="134">
        <v>875000</v>
      </c>
      <c r="D12" s="134">
        <v>801000</v>
      </c>
      <c r="E12" s="134" t="s">
        <v>102</v>
      </c>
      <c r="J12" s="62" t="s">
        <v>34</v>
      </c>
      <c r="K12" s="63">
        <f>+K10*K4</f>
        <v>3461.5384615384619</v>
      </c>
      <c r="M12" s="36">
        <v>80000</v>
      </c>
      <c r="N12" s="1" t="s">
        <v>97</v>
      </c>
    </row>
    <row r="13" spans="1:14" x14ac:dyDescent="0.3">
      <c r="A13" s="54"/>
      <c r="B13" s="55">
        <v>0.1</v>
      </c>
      <c r="C13" s="56">
        <v>7.4999999999999997E-2</v>
      </c>
      <c r="D13" s="56">
        <v>0.05</v>
      </c>
      <c r="E13" s="56">
        <v>0</v>
      </c>
      <c r="J13" s="61"/>
      <c r="M13" s="36">
        <v>80000</v>
      </c>
      <c r="N13" s="1" t="s">
        <v>98</v>
      </c>
    </row>
    <row r="14" spans="1:14" x14ac:dyDescent="0.3">
      <c r="A14" s="52" t="s">
        <v>47</v>
      </c>
      <c r="B14" s="51">
        <f>+B13*$K$4</f>
        <v>6923.0769230769238</v>
      </c>
      <c r="C14" s="51">
        <f>+C13*$K$4</f>
        <v>5192.3076923076924</v>
      </c>
      <c r="D14" s="51">
        <f>+D13*$K$4</f>
        <v>3461.5384615384619</v>
      </c>
      <c r="E14" s="51">
        <f>+E13*$K$4</f>
        <v>0</v>
      </c>
      <c r="M14" s="130">
        <f>+M8-SUM(M9:M13)</f>
        <v>50000</v>
      </c>
    </row>
    <row r="16" spans="1:14" x14ac:dyDescent="0.3">
      <c r="A16" s="66" t="s">
        <v>40</v>
      </c>
      <c r="B16" s="57">
        <v>13500000</v>
      </c>
      <c r="C16" s="57">
        <v>12500000</v>
      </c>
      <c r="D16" s="57">
        <v>11500000</v>
      </c>
      <c r="E16" s="57">
        <v>10750000</v>
      </c>
      <c r="F16" s="57">
        <v>10000000</v>
      </c>
      <c r="G16" s="57">
        <f>+F16-1</f>
        <v>9999999</v>
      </c>
    </row>
    <row r="17" spans="1:7" x14ac:dyDescent="0.3">
      <c r="A17" s="54"/>
      <c r="B17" s="55">
        <v>0.45</v>
      </c>
      <c r="C17" s="56">
        <v>0.35</v>
      </c>
      <c r="D17" s="56">
        <v>0.25</v>
      </c>
      <c r="E17" s="56">
        <v>0.15</v>
      </c>
      <c r="F17" s="56">
        <v>0.1</v>
      </c>
      <c r="G17" s="56">
        <v>0</v>
      </c>
    </row>
    <row r="18" spans="1:7" x14ac:dyDescent="0.3">
      <c r="A18" s="52" t="s">
        <v>48</v>
      </c>
      <c r="B18" s="51">
        <f t="shared" ref="B18:G18" si="0">+B17*$K$4</f>
        <v>31153.846153846156</v>
      </c>
      <c r="C18" s="51">
        <f t="shared" si="0"/>
        <v>24230.76923076923</v>
      </c>
      <c r="D18" s="51">
        <f t="shared" si="0"/>
        <v>17307.692307692309</v>
      </c>
      <c r="E18" s="51">
        <f t="shared" si="0"/>
        <v>10384.615384615385</v>
      </c>
      <c r="F18" s="51">
        <f t="shared" si="0"/>
        <v>6923.0769230769238</v>
      </c>
      <c r="G18" s="51">
        <f t="shared" si="0"/>
        <v>0</v>
      </c>
    </row>
  </sheetData>
  <pageMargins left="0.7" right="0.7" top="0.75" bottom="0.75" header="0.3" footer="0.3"/>
  <pageSetup paperSize="9" scale="4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zoomScale="90" zoomScaleNormal="90" workbookViewId="0">
      <selection activeCell="A7" sqref="A7"/>
    </sheetView>
  </sheetViews>
  <sheetFormatPr defaultColWidth="8.88671875" defaultRowHeight="14.4" x14ac:dyDescent="0.3"/>
  <cols>
    <col min="1" max="1" width="27.44140625" style="1" customWidth="1"/>
    <col min="2" max="5" width="14" style="1" customWidth="1"/>
    <col min="6" max="6" width="12.33203125" style="1" customWidth="1"/>
    <col min="7" max="7" width="11.44140625" style="1" bestFit="1" customWidth="1"/>
    <col min="8" max="8" width="2.44140625" style="1" customWidth="1"/>
    <col min="9" max="9" width="11.109375" style="1" customWidth="1"/>
    <col min="10" max="10" width="22.44140625" style="1" bestFit="1" customWidth="1"/>
    <col min="11" max="11" width="19.5546875" style="1" customWidth="1"/>
    <col min="12" max="14" width="14.88671875" style="1" customWidth="1"/>
    <col min="15" max="16384" width="8.88671875" style="1"/>
  </cols>
  <sheetData>
    <row r="1" spans="1:14" x14ac:dyDescent="0.3">
      <c r="A1" s="52" t="s">
        <v>0</v>
      </c>
      <c r="B1" s="37"/>
    </row>
    <row r="2" spans="1:14" x14ac:dyDescent="0.3">
      <c r="I2" s="49"/>
      <c r="J2" s="49"/>
      <c r="N2" s="53"/>
    </row>
    <row r="3" spans="1:14" x14ac:dyDescent="0.3">
      <c r="A3" s="66" t="s">
        <v>40</v>
      </c>
      <c r="B3" s="57">
        <v>13500000</v>
      </c>
      <c r="C3" s="57">
        <v>12500000</v>
      </c>
      <c r="D3" s="57">
        <v>11500000</v>
      </c>
      <c r="E3" s="57">
        <v>10750000</v>
      </c>
      <c r="F3" s="57">
        <v>10000000</v>
      </c>
      <c r="G3" s="57">
        <f>+F3-1</f>
        <v>9999999</v>
      </c>
      <c r="J3" s="1" t="s">
        <v>82</v>
      </c>
      <c r="K3" s="1">
        <v>11</v>
      </c>
    </row>
    <row r="4" spans="1:14" x14ac:dyDescent="0.3">
      <c r="A4" s="54"/>
      <c r="B4" s="136">
        <v>1.2</v>
      </c>
      <c r="C4" s="137">
        <v>0.9</v>
      </c>
      <c r="D4" s="137">
        <v>0.6</v>
      </c>
      <c r="E4" s="137">
        <v>0.45</v>
      </c>
      <c r="F4" s="137">
        <v>0.3</v>
      </c>
      <c r="G4" s="137">
        <v>0</v>
      </c>
      <c r="J4" s="61" t="s">
        <v>22</v>
      </c>
      <c r="K4" s="36">
        <v>75000</v>
      </c>
      <c r="L4" s="58"/>
      <c r="M4" s="58"/>
      <c r="N4" s="58"/>
    </row>
    <row r="5" spans="1:14" x14ac:dyDescent="0.3">
      <c r="A5" s="52" t="s">
        <v>48</v>
      </c>
      <c r="B5" s="51">
        <f t="shared" ref="B5:G5" si="0">+B4*$K$4</f>
        <v>90000</v>
      </c>
      <c r="C5" s="51">
        <f t="shared" si="0"/>
        <v>67500</v>
      </c>
      <c r="D5" s="51">
        <f t="shared" si="0"/>
        <v>45000</v>
      </c>
      <c r="E5" s="51">
        <f t="shared" si="0"/>
        <v>33750</v>
      </c>
      <c r="F5" s="51">
        <f t="shared" si="0"/>
        <v>22500</v>
      </c>
      <c r="G5" s="51">
        <f t="shared" si="0"/>
        <v>0</v>
      </c>
      <c r="J5" s="61" t="s">
        <v>52</v>
      </c>
      <c r="K5" s="64"/>
      <c r="L5" s="58"/>
      <c r="M5" s="58"/>
      <c r="N5" s="58"/>
    </row>
    <row r="6" spans="1:14" x14ac:dyDescent="0.3">
      <c r="J6" s="61" t="s">
        <v>49</v>
      </c>
      <c r="K6" s="65"/>
      <c r="L6" s="58"/>
      <c r="M6" s="58"/>
      <c r="N6" s="58"/>
    </row>
    <row r="7" spans="1:14" x14ac:dyDescent="0.3">
      <c r="A7" s="1">
        <v>2013</v>
      </c>
      <c r="B7" s="1">
        <v>82500</v>
      </c>
      <c r="C7" s="175">
        <v>60000</v>
      </c>
      <c r="D7" s="175">
        <v>37500</v>
      </c>
      <c r="E7" s="175"/>
      <c r="F7" s="1">
        <v>15000</v>
      </c>
      <c r="G7" s="175"/>
      <c r="J7" s="61" t="s">
        <v>44</v>
      </c>
      <c r="K7" s="60">
        <f>+K5*$K$6</f>
        <v>0</v>
      </c>
      <c r="L7" s="58" t="s">
        <v>81</v>
      </c>
      <c r="M7" s="58"/>
      <c r="N7" s="58"/>
    </row>
    <row r="8" spans="1:14" x14ac:dyDescent="0.3">
      <c r="B8" s="42">
        <f>+B7/$K$4</f>
        <v>1.1000000000000001</v>
      </c>
      <c r="C8" s="42">
        <f t="shared" ref="C8:D8" si="1">+C7/$K$4</f>
        <v>0.8</v>
      </c>
      <c r="D8" s="42">
        <f t="shared" si="1"/>
        <v>0.5</v>
      </c>
      <c r="E8" s="42"/>
      <c r="F8" s="42">
        <f>+F7/$K$4</f>
        <v>0.2</v>
      </c>
      <c r="J8" s="61" t="s">
        <v>45</v>
      </c>
      <c r="K8" s="64"/>
      <c r="L8" s="58">
        <v>267000</v>
      </c>
      <c r="M8" s="58">
        <f>+K8-L8</f>
        <v>-267000</v>
      </c>
      <c r="N8" s="58" t="s">
        <v>86</v>
      </c>
    </row>
    <row r="9" spans="1:14" x14ac:dyDescent="0.3">
      <c r="I9" s="52"/>
      <c r="J9" s="61" t="s">
        <v>41</v>
      </c>
      <c r="K9" s="59">
        <f>+K7+K8</f>
        <v>0</v>
      </c>
      <c r="L9" s="51"/>
      <c r="M9" s="129">
        <v>150000</v>
      </c>
      <c r="N9" s="131" t="s">
        <v>99</v>
      </c>
    </row>
    <row r="10" spans="1:14" x14ac:dyDescent="0.3">
      <c r="J10" s="61" t="s">
        <v>53</v>
      </c>
      <c r="K10" s="42">
        <f>+(+IF('General Recap'!D8&gt;=B3,B4,IF('General Recap'!D8&gt;=C3,C4,IF('General Recap'!D8&gt;=D3,D4,IF('General Recap'!D8&gt;=E3,E4,IF('General Recap'!D8&gt;=F3,F4,0))))))</f>
        <v>0</v>
      </c>
      <c r="M10" s="129">
        <v>45000</v>
      </c>
      <c r="N10" s="1" t="s">
        <v>100</v>
      </c>
    </row>
    <row r="11" spans="1:14" x14ac:dyDescent="0.3">
      <c r="J11" s="61"/>
      <c r="M11" s="129"/>
    </row>
    <row r="12" spans="1:14" x14ac:dyDescent="0.3">
      <c r="J12" s="62" t="s">
        <v>34</v>
      </c>
      <c r="K12" s="63">
        <f>+K10*K4</f>
        <v>0</v>
      </c>
      <c r="M12" s="36"/>
    </row>
    <row r="13" spans="1:14" x14ac:dyDescent="0.3">
      <c r="J13" s="61"/>
      <c r="M13" s="36"/>
    </row>
    <row r="14" spans="1:14" x14ac:dyDescent="0.3">
      <c r="M14" s="130">
        <f>+M8-SUM(M9:M13)</f>
        <v>-462000</v>
      </c>
    </row>
  </sheetData>
  <pageMargins left="0.7" right="0.7" top="0.75" bottom="0.75" header="0.3" footer="0.3"/>
  <pageSetup paperSize="9" scale="4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opLeftCell="B1" workbookViewId="0">
      <selection activeCell="O6" sqref="O6"/>
    </sheetView>
  </sheetViews>
  <sheetFormatPr defaultColWidth="8.88671875" defaultRowHeight="14.4" x14ac:dyDescent="0.3"/>
  <cols>
    <col min="1" max="1" width="9.6640625" style="1" customWidth="1"/>
    <col min="2" max="2" width="14" style="1" customWidth="1"/>
    <col min="3" max="3" width="10.33203125" style="1" bestFit="1" customWidth="1"/>
    <col min="4" max="4" width="12" style="1" customWidth="1"/>
    <col min="5" max="5" width="11.44140625" style="1" bestFit="1" customWidth="1"/>
    <col min="6" max="6" width="2.33203125" style="1" customWidth="1"/>
    <col min="7" max="13" width="12.88671875" style="1" bestFit="1" customWidth="1"/>
    <col min="14" max="17" width="14" style="1" bestFit="1" customWidth="1"/>
    <col min="18" max="16384" width="8.88671875" style="1"/>
  </cols>
  <sheetData>
    <row r="1" spans="1:18" ht="30.6" customHeight="1" x14ac:dyDescent="0.3">
      <c r="A1" s="4"/>
      <c r="B1" s="3" t="s">
        <v>25</v>
      </c>
      <c r="C1" s="2"/>
      <c r="D1" s="3" t="s">
        <v>25</v>
      </c>
      <c r="E1" s="2" t="s">
        <v>29</v>
      </c>
      <c r="F1" s="2"/>
      <c r="G1" s="46">
        <v>0.1</v>
      </c>
      <c r="H1" s="46">
        <v>0.2</v>
      </c>
      <c r="I1" s="46">
        <v>0.3</v>
      </c>
      <c r="J1" s="46">
        <v>0.4</v>
      </c>
      <c r="K1" s="46">
        <v>0.5</v>
      </c>
      <c r="L1" s="46">
        <v>0.6</v>
      </c>
      <c r="M1" s="46">
        <v>0.7</v>
      </c>
      <c r="N1" s="46">
        <v>0.8</v>
      </c>
      <c r="O1" s="46">
        <v>0.9</v>
      </c>
      <c r="P1" s="46">
        <v>1</v>
      </c>
      <c r="Q1" s="46">
        <v>1.1000000000000001</v>
      </c>
    </row>
    <row r="2" spans="1:18" hidden="1" x14ac:dyDescent="0.3">
      <c r="A2" s="40" t="s">
        <v>24</v>
      </c>
      <c r="B2" s="38"/>
      <c r="C2" s="39"/>
      <c r="D2" s="41">
        <v>105000</v>
      </c>
      <c r="E2" s="2"/>
      <c r="F2" s="2"/>
      <c r="G2" s="36">
        <v>0</v>
      </c>
      <c r="H2" s="36">
        <v>0</v>
      </c>
      <c r="I2" s="36">
        <v>0</v>
      </c>
      <c r="J2" s="36">
        <v>0</v>
      </c>
      <c r="K2" s="36">
        <v>0</v>
      </c>
      <c r="L2" s="36">
        <v>0</v>
      </c>
      <c r="M2" s="36"/>
      <c r="N2" s="36"/>
      <c r="O2" s="36">
        <v>0</v>
      </c>
      <c r="P2" s="36">
        <f>+D2</f>
        <v>105000</v>
      </c>
      <c r="Q2" s="36">
        <f>+P2</f>
        <v>105000</v>
      </c>
    </row>
    <row r="3" spans="1:18" x14ac:dyDescent="0.3">
      <c r="A3" s="6" t="s">
        <v>16</v>
      </c>
      <c r="B3" s="31">
        <f>8000*12</f>
        <v>96000</v>
      </c>
      <c r="C3" s="1" t="s">
        <v>17</v>
      </c>
      <c r="D3" s="31">
        <f>+B3/B9</f>
        <v>60000</v>
      </c>
      <c r="G3" s="36">
        <f>+D3*$G$1</f>
        <v>6000</v>
      </c>
      <c r="H3" s="36">
        <f>+D3*$H$1</f>
        <v>12000</v>
      </c>
      <c r="I3" s="36">
        <f>+D3*$I$1</f>
        <v>18000</v>
      </c>
      <c r="J3" s="36">
        <f>+D3*$J$1</f>
        <v>24000</v>
      </c>
      <c r="K3" s="36">
        <f>+D3*($K$1+10%)</f>
        <v>36000</v>
      </c>
      <c r="L3" s="36">
        <f>+D3*($L$1+10%)</f>
        <v>42000</v>
      </c>
      <c r="M3" s="36">
        <f>+D3*($M$1+15%)</f>
        <v>51000</v>
      </c>
      <c r="N3" s="36">
        <f>+D3*($N$1+15%)</f>
        <v>57000.000000000007</v>
      </c>
      <c r="O3" s="36">
        <f>+D3*($O$1+15%)</f>
        <v>63000</v>
      </c>
      <c r="P3" s="36">
        <f>+$D$3*1.2</f>
        <v>72000</v>
      </c>
      <c r="Q3" s="36">
        <f>+$D$3*1.4</f>
        <v>84000</v>
      </c>
    </row>
    <row r="4" spans="1:18" x14ac:dyDescent="0.3">
      <c r="A4" s="6" t="s">
        <v>0</v>
      </c>
      <c r="B4" s="31">
        <v>75000</v>
      </c>
      <c r="C4" s="1" t="s">
        <v>18</v>
      </c>
      <c r="D4" s="31">
        <f>+B4</f>
        <v>75000</v>
      </c>
      <c r="G4" s="36">
        <f t="shared" ref="G4:G7" si="0">+D4*$G$1</f>
        <v>7500</v>
      </c>
      <c r="H4" s="36">
        <f t="shared" ref="H4:H7" si="1">+D4*$H$1</f>
        <v>15000</v>
      </c>
      <c r="I4" s="36">
        <f t="shared" ref="I4:I7" si="2">+D4*$I$1</f>
        <v>22500</v>
      </c>
      <c r="J4" s="36">
        <f t="shared" ref="J4:J7" si="3">+D4*$J$1</f>
        <v>30000</v>
      </c>
      <c r="K4" s="36">
        <f t="shared" ref="K4:K7" si="4">+D4*($K$1+10%)</f>
        <v>45000</v>
      </c>
      <c r="L4" s="36">
        <f t="shared" ref="L4:L7" si="5">+D4*($L$1+10%)</f>
        <v>52500</v>
      </c>
      <c r="M4" s="36">
        <f t="shared" ref="M4:M7" si="6">+D4*($M$1+15%)</f>
        <v>63750</v>
      </c>
      <c r="N4" s="36">
        <f t="shared" ref="N4:N7" si="7">+D4*($N$1+15%)</f>
        <v>71250</v>
      </c>
      <c r="O4" s="36">
        <f t="shared" ref="O4:O7" si="8">+D4*($O$1+15%)</f>
        <v>78750</v>
      </c>
      <c r="P4" s="36">
        <f>+$D$4*1.2</f>
        <v>90000</v>
      </c>
      <c r="Q4" s="36">
        <f>+$D$4*1.4</f>
        <v>105000</v>
      </c>
    </row>
    <row r="5" spans="1:18" x14ac:dyDescent="0.3">
      <c r="A5" s="6" t="s">
        <v>5</v>
      </c>
      <c r="B5" s="47">
        <v>52000</v>
      </c>
      <c r="C5" s="1" t="s">
        <v>31</v>
      </c>
      <c r="D5" s="31">
        <f>+B5</f>
        <v>52000</v>
      </c>
      <c r="G5" s="36">
        <f t="shared" si="0"/>
        <v>5200</v>
      </c>
      <c r="H5" s="36">
        <f t="shared" si="1"/>
        <v>10400</v>
      </c>
      <c r="I5" s="36">
        <f t="shared" si="2"/>
        <v>15600</v>
      </c>
      <c r="J5" s="36">
        <f t="shared" si="3"/>
        <v>20800</v>
      </c>
      <c r="K5" s="36">
        <f t="shared" si="4"/>
        <v>31200</v>
      </c>
      <c r="L5" s="36">
        <f t="shared" ref="L5" si="9">+D5*($L$1+10%)</f>
        <v>36400</v>
      </c>
      <c r="M5" s="36">
        <f t="shared" ref="M5" si="10">+D5*($M$1+15%)</f>
        <v>44200</v>
      </c>
      <c r="N5" s="36">
        <f t="shared" ref="N5" si="11">+D5*($N$1+15%)</f>
        <v>49400</v>
      </c>
      <c r="O5" s="36">
        <f t="shared" ref="O5" si="12">+D5*($O$1+15%)</f>
        <v>54600</v>
      </c>
      <c r="P5" s="36">
        <f>+$D$5*1.2</f>
        <v>62400</v>
      </c>
      <c r="Q5" s="36">
        <f>+$D$5*1.4</f>
        <v>72800</v>
      </c>
    </row>
    <row r="6" spans="1:18" x14ac:dyDescent="0.3">
      <c r="A6" s="6" t="s">
        <v>1</v>
      </c>
      <c r="B6" s="31">
        <v>60000</v>
      </c>
      <c r="C6" s="1" t="s">
        <v>18</v>
      </c>
      <c r="D6" s="31">
        <f>+B6</f>
        <v>60000</v>
      </c>
      <c r="G6" s="36">
        <f t="shared" si="0"/>
        <v>6000</v>
      </c>
      <c r="H6" s="36">
        <f t="shared" si="1"/>
        <v>12000</v>
      </c>
      <c r="I6" s="36">
        <f t="shared" si="2"/>
        <v>18000</v>
      </c>
      <c r="J6" s="36">
        <f t="shared" si="3"/>
        <v>24000</v>
      </c>
      <c r="K6" s="36">
        <f>+D6*($K$1+10%)</f>
        <v>36000</v>
      </c>
      <c r="L6" s="36">
        <f t="shared" si="5"/>
        <v>42000</v>
      </c>
      <c r="M6" s="36">
        <f t="shared" si="6"/>
        <v>51000</v>
      </c>
      <c r="N6" s="36">
        <f t="shared" si="7"/>
        <v>57000.000000000007</v>
      </c>
      <c r="O6" s="36">
        <f t="shared" si="8"/>
        <v>63000</v>
      </c>
      <c r="P6" s="36">
        <f>+$D$6*1.2</f>
        <v>72000</v>
      </c>
      <c r="Q6" s="36">
        <f>+$D$6*1.4</f>
        <v>84000</v>
      </c>
    </row>
    <row r="7" spans="1:18" x14ac:dyDescent="0.3">
      <c r="A7" s="7" t="s">
        <v>2</v>
      </c>
      <c r="B7" s="32">
        <v>80000</v>
      </c>
      <c r="C7" s="1" t="s">
        <v>19</v>
      </c>
      <c r="D7" s="32">
        <f>+B7/B8</f>
        <v>61538.461538461539</v>
      </c>
      <c r="G7" s="36">
        <f t="shared" si="0"/>
        <v>6153.8461538461543</v>
      </c>
      <c r="H7" s="36">
        <f t="shared" si="1"/>
        <v>12307.692307692309</v>
      </c>
      <c r="I7" s="36">
        <f t="shared" si="2"/>
        <v>18461.538461538461</v>
      </c>
      <c r="J7" s="36">
        <f t="shared" si="3"/>
        <v>24615.384615384617</v>
      </c>
      <c r="K7" s="36">
        <f t="shared" si="4"/>
        <v>36923.076923076922</v>
      </c>
      <c r="L7" s="36">
        <f t="shared" si="5"/>
        <v>43076.923076923078</v>
      </c>
      <c r="M7" s="36">
        <f t="shared" si="6"/>
        <v>52307.692307692305</v>
      </c>
      <c r="N7" s="36">
        <f t="shared" si="7"/>
        <v>58461.538461538468</v>
      </c>
      <c r="O7" s="36">
        <f t="shared" si="8"/>
        <v>64615.384615384617</v>
      </c>
      <c r="P7" s="36">
        <f>+$D$7*1.2</f>
        <v>73846.153846153844</v>
      </c>
      <c r="Q7" s="36">
        <f>+$D$7*1.4</f>
        <v>86153.846153846156</v>
      </c>
    </row>
    <row r="8" spans="1:18" x14ac:dyDescent="0.3">
      <c r="A8" s="1" t="s">
        <v>4</v>
      </c>
      <c r="B8" s="1">
        <v>1.3</v>
      </c>
      <c r="E8" s="44" t="s">
        <v>22</v>
      </c>
      <c r="F8" s="44"/>
      <c r="G8" s="45">
        <f>+SUM(G2:G7)</f>
        <v>30853.846153846156</v>
      </c>
      <c r="H8" s="45">
        <f t="shared" ref="H8:Q8" si="13">+SUM(H2:H7)</f>
        <v>61707.692307692312</v>
      </c>
      <c r="I8" s="45">
        <f t="shared" si="13"/>
        <v>92561.538461538468</v>
      </c>
      <c r="J8" s="45">
        <f t="shared" si="13"/>
        <v>123415.38461538462</v>
      </c>
      <c r="K8" s="45">
        <f t="shared" si="13"/>
        <v>185123.07692307694</v>
      </c>
      <c r="L8" s="45">
        <f t="shared" si="13"/>
        <v>215976.92307692306</v>
      </c>
      <c r="M8" s="45">
        <f t="shared" si="13"/>
        <v>262257.69230769231</v>
      </c>
      <c r="N8" s="45">
        <f t="shared" si="13"/>
        <v>293111.5384615385</v>
      </c>
      <c r="O8" s="45">
        <f t="shared" si="13"/>
        <v>323965.38461538462</v>
      </c>
      <c r="P8" s="45">
        <f t="shared" si="13"/>
        <v>475246.15384615387</v>
      </c>
      <c r="Q8" s="45">
        <f t="shared" si="13"/>
        <v>536953.84615384613</v>
      </c>
    </row>
    <row r="9" spans="1:18" hidden="1" x14ac:dyDescent="0.3">
      <c r="A9" s="1" t="s">
        <v>20</v>
      </c>
      <c r="B9" s="1">
        <v>1.6</v>
      </c>
      <c r="E9" s="1" t="s">
        <v>23</v>
      </c>
      <c r="G9" s="37">
        <f t="shared" ref="G9:Q9" si="14">+G8*$R$9</f>
        <v>43195.384615384617</v>
      </c>
      <c r="H9" s="37">
        <f t="shared" si="14"/>
        <v>86390.769230769234</v>
      </c>
      <c r="I9" s="37">
        <f t="shared" si="14"/>
        <v>129586.15384615384</v>
      </c>
      <c r="J9" s="37">
        <f t="shared" si="14"/>
        <v>172781.53846153847</v>
      </c>
      <c r="K9" s="37">
        <f t="shared" si="14"/>
        <v>259172.30769230769</v>
      </c>
      <c r="L9" s="37">
        <f t="shared" si="14"/>
        <v>302367.69230769225</v>
      </c>
      <c r="M9" s="37">
        <f t="shared" si="14"/>
        <v>367160.76923076919</v>
      </c>
      <c r="N9" s="37">
        <f t="shared" si="14"/>
        <v>410356.15384615387</v>
      </c>
      <c r="O9" s="37">
        <f t="shared" si="14"/>
        <v>453551.53846153844</v>
      </c>
      <c r="P9" s="37">
        <f t="shared" si="14"/>
        <v>665344.61538461538</v>
      </c>
      <c r="Q9" s="37">
        <f t="shared" si="14"/>
        <v>751735.38461538451</v>
      </c>
      <c r="R9" s="1">
        <v>1.4</v>
      </c>
    </row>
    <row r="10" spans="1:18" x14ac:dyDescent="0.3"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1:18" x14ac:dyDescent="0.3">
      <c r="A11" s="1" t="s">
        <v>32</v>
      </c>
      <c r="H11" s="35"/>
      <c r="I11" s="35"/>
      <c r="J11" s="35"/>
      <c r="K11" s="35"/>
      <c r="L11" s="35"/>
      <c r="M11" s="35"/>
      <c r="N11" s="35"/>
      <c r="O11" s="35"/>
    </row>
    <row r="12" spans="1:18" ht="16.2" x14ac:dyDescent="0.45">
      <c r="A12" s="33" t="s">
        <v>21</v>
      </c>
      <c r="E12" s="36">
        <v>14090000</v>
      </c>
      <c r="F12" s="36"/>
      <c r="G12" s="43">
        <f t="shared" ref="G12:O12" si="15">+$E$13+G1*$E$14</f>
        <v>10409000</v>
      </c>
      <c r="H12" s="43">
        <f t="shared" si="15"/>
        <v>10818000</v>
      </c>
      <c r="I12" s="43">
        <f t="shared" si="15"/>
        <v>11227000</v>
      </c>
      <c r="J12" s="43">
        <f t="shared" si="15"/>
        <v>11636000</v>
      </c>
      <c r="K12" s="43">
        <f t="shared" si="15"/>
        <v>12045000</v>
      </c>
      <c r="L12" s="43">
        <f t="shared" si="15"/>
        <v>12454000</v>
      </c>
      <c r="M12" s="43">
        <f t="shared" si="15"/>
        <v>12863000</v>
      </c>
      <c r="N12" s="43">
        <f t="shared" si="15"/>
        <v>13272000</v>
      </c>
      <c r="O12" s="43">
        <f t="shared" si="15"/>
        <v>13681000</v>
      </c>
      <c r="P12" s="43">
        <v>14090000</v>
      </c>
      <c r="Q12" s="43">
        <f>+$E$13+Q1*$E$14</f>
        <v>14499000</v>
      </c>
    </row>
    <row r="13" spans="1:18" x14ac:dyDescent="0.3">
      <c r="A13" s="33" t="s">
        <v>26</v>
      </c>
      <c r="E13" s="36">
        <v>10000000</v>
      </c>
      <c r="F13" s="36"/>
    </row>
    <row r="14" spans="1:18" x14ac:dyDescent="0.3">
      <c r="D14" s="1" t="s">
        <v>27</v>
      </c>
      <c r="E14" s="35">
        <f>+E12-E13</f>
        <v>4090000</v>
      </c>
      <c r="F14" s="35"/>
      <c r="P14" s="35"/>
    </row>
    <row r="17" spans="1:17" x14ac:dyDescent="0.3">
      <c r="A17" s="1" t="s">
        <v>30</v>
      </c>
    </row>
    <row r="18" spans="1:17" x14ac:dyDescent="0.3">
      <c r="K18" s="34">
        <v>0.1</v>
      </c>
      <c r="L18" s="34">
        <v>0.1</v>
      </c>
      <c r="M18" s="34">
        <v>0.15</v>
      </c>
      <c r="N18" s="34">
        <v>0.15</v>
      </c>
      <c r="O18" s="34">
        <v>0.15</v>
      </c>
      <c r="P18" s="34">
        <v>0.2</v>
      </c>
      <c r="Q18" s="34">
        <v>0.4</v>
      </c>
    </row>
  </sheetData>
  <pageMargins left="0.7" right="0.7" top="0.75" bottom="0.75" header="0.3" footer="0.3"/>
  <pageSetup paperSize="9" scale="62" orientation="landscape" horizontalDpi="1200" verticalDpi="1200" r:id="rId1"/>
  <ignoredErrors>
    <ignoredError sqref="M8:N8" emptyCellReferenc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O6" sqref="O6"/>
    </sheetView>
  </sheetViews>
  <sheetFormatPr defaultColWidth="8.88671875" defaultRowHeight="14.4" x14ac:dyDescent="0.3"/>
  <cols>
    <col min="1" max="1" width="12.6640625" style="1" customWidth="1"/>
    <col min="2" max="4" width="26.88671875" style="1" customWidth="1"/>
    <col min="5" max="5" width="9.33203125" style="19" customWidth="1"/>
    <col min="6" max="6" width="26.88671875" style="1" customWidth="1"/>
    <col min="7" max="7" width="18.6640625" style="1" customWidth="1"/>
    <col min="8" max="16384" width="8.88671875" style="1"/>
  </cols>
  <sheetData>
    <row r="1" spans="1:10" ht="30.6" customHeight="1" x14ac:dyDescent="0.3">
      <c r="A1" s="4"/>
      <c r="B1" s="3" t="s">
        <v>3</v>
      </c>
      <c r="C1" s="20" t="s">
        <v>11</v>
      </c>
      <c r="D1" s="21" t="s">
        <v>10</v>
      </c>
      <c r="E1" s="25"/>
      <c r="F1" s="26" t="s">
        <v>12</v>
      </c>
      <c r="G1" s="10" t="s">
        <v>15</v>
      </c>
      <c r="H1" s="2"/>
      <c r="I1" s="2"/>
      <c r="J1" s="2"/>
    </row>
    <row r="2" spans="1:10" x14ac:dyDescent="0.3">
      <c r="A2" s="5" t="s">
        <v>6</v>
      </c>
      <c r="B2" s="13">
        <v>93000</v>
      </c>
      <c r="C2" s="14">
        <v>68000</v>
      </c>
      <c r="D2" s="22">
        <f>+B2+C2</f>
        <v>161000</v>
      </c>
      <c r="E2" s="18"/>
      <c r="F2" s="27">
        <v>30000</v>
      </c>
      <c r="G2" s="15">
        <f>+F2+B2</f>
        <v>123000</v>
      </c>
    </row>
    <row r="3" spans="1:10" x14ac:dyDescent="0.3">
      <c r="A3" s="6" t="s">
        <v>7</v>
      </c>
      <c r="B3" s="16">
        <v>93000</v>
      </c>
      <c r="C3" s="8">
        <v>62000</v>
      </c>
      <c r="D3" s="23">
        <f t="shared" ref="D3:D8" si="0">+B3+C3</f>
        <v>155000</v>
      </c>
      <c r="E3" s="18"/>
      <c r="F3" s="28">
        <v>35000</v>
      </c>
      <c r="G3" s="11">
        <f>+F3+B3</f>
        <v>128000</v>
      </c>
    </row>
    <row r="4" spans="1:10" x14ac:dyDescent="0.3">
      <c r="A4" s="6" t="s">
        <v>8</v>
      </c>
      <c r="B4" s="16">
        <f>6605*2+7083*10</f>
        <v>84040</v>
      </c>
      <c r="C4" s="8">
        <v>43000</v>
      </c>
      <c r="D4" s="23">
        <f t="shared" si="0"/>
        <v>127040</v>
      </c>
      <c r="E4" s="18"/>
      <c r="F4" s="28">
        <v>16000</v>
      </c>
      <c r="G4" s="11">
        <f>+B4+F4</f>
        <v>100040</v>
      </c>
    </row>
    <row r="5" spans="1:10" x14ac:dyDescent="0.3">
      <c r="A5" s="6" t="s">
        <v>0</v>
      </c>
      <c r="B5" s="16">
        <v>75000</v>
      </c>
      <c r="C5" s="8">
        <v>52000</v>
      </c>
      <c r="D5" s="23">
        <f t="shared" si="0"/>
        <v>127000</v>
      </c>
      <c r="E5" s="18"/>
      <c r="F5" s="29">
        <v>90000</v>
      </c>
      <c r="G5" s="11">
        <f>+B5+F5</f>
        <v>165000</v>
      </c>
    </row>
    <row r="6" spans="1:10" x14ac:dyDescent="0.3">
      <c r="A6" s="6" t="s">
        <v>5</v>
      </c>
      <c r="B6" s="16">
        <v>44000</v>
      </c>
      <c r="C6" s="8">
        <v>47000</v>
      </c>
      <c r="D6" s="23">
        <f t="shared" si="0"/>
        <v>91000</v>
      </c>
      <c r="E6" s="18"/>
      <c r="F6" s="29">
        <v>60000</v>
      </c>
      <c r="G6" s="11">
        <f>+B6+F6</f>
        <v>104000</v>
      </c>
    </row>
    <row r="7" spans="1:10" x14ac:dyDescent="0.3">
      <c r="A7" s="6" t="s">
        <v>1</v>
      </c>
      <c r="B7" s="16">
        <v>60000</v>
      </c>
      <c r="C7" s="8">
        <v>22500</v>
      </c>
      <c r="D7" s="23">
        <f t="shared" si="0"/>
        <v>82500</v>
      </c>
      <c r="E7" s="18"/>
      <c r="F7" s="29">
        <v>55000</v>
      </c>
      <c r="G7" s="11">
        <f>+B7+F7</f>
        <v>115000</v>
      </c>
    </row>
    <row r="8" spans="1:10" x14ac:dyDescent="0.3">
      <c r="A8" s="7" t="s">
        <v>2</v>
      </c>
      <c r="B8" s="17">
        <f>80000/B9</f>
        <v>61538.461538461539</v>
      </c>
      <c r="C8" s="9">
        <v>0</v>
      </c>
      <c r="D8" s="24">
        <f t="shared" si="0"/>
        <v>61538.461538461539</v>
      </c>
      <c r="E8" s="18"/>
      <c r="F8" s="30">
        <f>90000/B9</f>
        <v>69230.769230769234</v>
      </c>
      <c r="G8" s="12">
        <f>+B8+F8</f>
        <v>130769.23076923078</v>
      </c>
    </row>
    <row r="9" spans="1:10" x14ac:dyDescent="0.3">
      <c r="A9" s="1" t="s">
        <v>4</v>
      </c>
      <c r="B9" s="1">
        <v>1.3</v>
      </c>
    </row>
    <row r="11" spans="1:10" x14ac:dyDescent="0.3">
      <c r="A11" s="1" t="s">
        <v>9</v>
      </c>
    </row>
    <row r="12" spans="1:10" x14ac:dyDescent="0.3">
      <c r="A12" s="1" t="s">
        <v>14</v>
      </c>
    </row>
    <row r="13" spans="1:10" x14ac:dyDescent="0.3">
      <c r="A13" s="1" t="s">
        <v>13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P&amp;L</vt:lpstr>
      <vt:lpstr>General Recap</vt:lpstr>
      <vt:lpstr>Luppi</vt:lpstr>
      <vt:lpstr>Shehata</vt:lpstr>
      <vt:lpstr>Maglietta</vt:lpstr>
      <vt:lpstr>Velasco</vt:lpstr>
      <vt:lpstr>Bettini</vt:lpstr>
      <vt:lpstr>Bonus commerciali 2013_old</vt:lpstr>
      <vt:lpstr>Riepilogo complessivo 2012_old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</dc:creator>
  <cp:lastModifiedBy>Giancarlo</cp:lastModifiedBy>
  <cp:lastPrinted>2014-07-22T15:30:40Z</cp:lastPrinted>
  <dcterms:created xsi:type="dcterms:W3CDTF">2013-01-20T20:04:38Z</dcterms:created>
  <dcterms:modified xsi:type="dcterms:W3CDTF">2014-07-23T10:21:36Z</dcterms:modified>
</cp:coreProperties>
</file>