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7785" activeTab="2"/>
  </bookViews>
  <sheets>
    <sheet name="1Q" sheetId="1" r:id="rId1"/>
    <sheet name="2Q" sheetId="2" r:id="rId2"/>
    <sheet name="3Q" sheetId="5" r:id="rId3"/>
    <sheet name="4Q" sheetId="6" r:id="rId4"/>
    <sheet name="FINAL" sheetId="8" r:id="rId5"/>
  </sheets>
  <definedNames>
    <definedName name="_xlnm.Print_Area" localSheetId="0">'1Q'!$A$1:$M$57</definedName>
  </definedNames>
  <calcPr calcId="124519"/>
</workbook>
</file>

<file path=xl/calcChain.xml><?xml version="1.0" encoding="utf-8"?>
<calcChain xmlns="http://schemas.openxmlformats.org/spreadsheetml/2006/main">
  <c r="F8" i="5"/>
  <c r="E61" i="2"/>
  <c r="E60"/>
  <c r="E47"/>
  <c r="E45"/>
  <c r="E48"/>
  <c r="E9" i="5"/>
  <c r="E58" i="2"/>
  <c r="E21" i="5"/>
  <c r="E22"/>
  <c r="E86" i="6"/>
  <c r="E48" i="1"/>
  <c r="E47"/>
  <c r="E34"/>
  <c r="E35"/>
  <c r="E21"/>
  <c r="E22"/>
  <c r="E8" l="1"/>
  <c r="E22" i="2"/>
  <c r="E8" l="1"/>
  <c r="E9"/>
  <c r="E34"/>
  <c r="E35"/>
  <c r="E19"/>
  <c r="E10"/>
  <c r="E49" i="1"/>
  <c r="E64" i="2"/>
  <c r="D38"/>
  <c r="C38"/>
  <c r="E45" i="1"/>
  <c r="E6"/>
  <c r="E12" s="1"/>
  <c r="E32"/>
  <c r="E38" s="1"/>
  <c r="E19"/>
  <c r="E9"/>
  <c r="D86" i="6"/>
  <c r="D87"/>
  <c r="D8"/>
  <c r="D9"/>
  <c r="D34"/>
  <c r="D38" s="1"/>
  <c r="D35"/>
  <c r="D21"/>
  <c r="D22"/>
  <c r="D25"/>
  <c r="D47"/>
  <c r="D48"/>
  <c r="D60"/>
  <c r="D61"/>
  <c r="D64" s="1"/>
  <c r="D73"/>
  <c r="D74"/>
  <c r="D99"/>
  <c r="D100"/>
  <c r="C64"/>
  <c r="E77"/>
  <c r="C77"/>
  <c r="E64"/>
  <c r="D22" i="5"/>
  <c r="D25" s="1"/>
  <c r="D61" i="2"/>
  <c r="D48" i="1"/>
  <c r="D48" i="5"/>
  <c r="D47"/>
  <c r="D34"/>
  <c r="D35"/>
  <c r="D8"/>
  <c r="D9"/>
  <c r="D21"/>
  <c r="D60" i="2"/>
  <c r="D47"/>
  <c r="D51" s="1"/>
  <c r="D21"/>
  <c r="D22"/>
  <c r="D47" i="1"/>
  <c r="C45"/>
  <c r="C51" s="1"/>
  <c r="D38"/>
  <c r="C36"/>
  <c r="C35"/>
  <c r="C38" s="1"/>
  <c r="D21"/>
  <c r="D25" s="1"/>
  <c r="C19"/>
  <c r="C25" s="1"/>
  <c r="D9"/>
  <c r="C9"/>
  <c r="D8"/>
  <c r="C6"/>
  <c r="C22" i="6"/>
  <c r="C21"/>
  <c r="C19"/>
  <c r="E51"/>
  <c r="C48"/>
  <c r="C45"/>
  <c r="C100"/>
  <c r="C103" s="1"/>
  <c r="C99"/>
  <c r="E25"/>
  <c r="E38"/>
  <c r="C35"/>
  <c r="C34"/>
  <c r="C32"/>
  <c r="C90"/>
  <c r="C9"/>
  <c r="C12" s="1"/>
  <c r="C6"/>
  <c r="C38" i="5"/>
  <c r="C48"/>
  <c r="C47"/>
  <c r="C45"/>
  <c r="C6"/>
  <c r="C12" s="1"/>
  <c r="C22"/>
  <c r="C21"/>
  <c r="C19"/>
  <c r="C48" i="2"/>
  <c r="C45"/>
  <c r="C12"/>
  <c r="C60"/>
  <c r="C58"/>
  <c r="C25"/>
  <c r="E38" i="5"/>
  <c r="D38"/>
  <c r="E51"/>
  <c r="E51" i="2"/>
  <c r="E103" i="6"/>
  <c r="E90"/>
  <c r="E12"/>
  <c r="E25" i="5"/>
  <c r="D12" i="2"/>
  <c r="E12" i="5"/>
  <c r="D12" l="1"/>
  <c r="D51"/>
  <c r="C38" i="6"/>
  <c r="D77"/>
  <c r="B55" i="5"/>
  <c r="B107" i="6"/>
  <c r="C25" i="5"/>
  <c r="C12" i="1"/>
  <c r="D103" i="6"/>
  <c r="D12"/>
  <c r="B106" s="1"/>
  <c r="E25" i="2"/>
  <c r="C51" i="5"/>
  <c r="C25" i="6"/>
  <c r="D12" i="1"/>
  <c r="D51"/>
  <c r="C64" i="2"/>
  <c r="C51"/>
  <c r="D25"/>
  <c r="D64"/>
  <c r="D90" i="6"/>
  <c r="E25" i="1"/>
  <c r="C51" i="6"/>
  <c r="D51"/>
  <c r="E51" i="1"/>
  <c r="E12" i="2"/>
  <c r="E38"/>
  <c r="B54" i="5" l="1"/>
  <c r="B56" s="1"/>
  <c r="B108" i="6"/>
  <c r="B55" i="1"/>
  <c r="B68" i="2"/>
  <c r="B67"/>
  <c r="B54" i="1"/>
  <c r="B1" i="8" l="1"/>
  <c r="B56" i="1"/>
  <c r="B2" i="8"/>
  <c r="B3" s="1"/>
  <c r="B69" i="2"/>
</calcChain>
</file>

<file path=xl/sharedStrings.xml><?xml version="1.0" encoding="utf-8"?>
<sst xmlns="http://schemas.openxmlformats.org/spreadsheetml/2006/main" count="451" uniqueCount="187">
  <si>
    <t xml:space="preserve">Exposition Fee </t>
  </si>
  <si>
    <t xml:space="preserve">Exposition costs </t>
  </si>
  <si>
    <t xml:space="preserve">(Meeting room, Speech, Furniture etc.) </t>
  </si>
  <si>
    <t xml:space="preserve">Stand shipping/construction </t>
  </si>
  <si>
    <t xml:space="preserve">HT Team </t>
  </si>
  <si>
    <t>TOTAL COST</t>
  </si>
  <si>
    <t xml:space="preserve">TOTAL COST </t>
  </si>
  <si>
    <t>ACTUALS</t>
  </si>
  <si>
    <t>Flights</t>
  </si>
  <si>
    <t>Hotel</t>
  </si>
  <si>
    <t>2 Sales + 1 Field</t>
  </si>
  <si>
    <t>1Q BUDGET</t>
  </si>
  <si>
    <t>1Q ACTUALS</t>
  </si>
  <si>
    <t>HOSDB - Security&amp;Policing</t>
  </si>
  <si>
    <t>Farnborough - UK</t>
  </si>
  <si>
    <t>Kuala Lumpur - Malaysia</t>
  </si>
  <si>
    <t xml:space="preserve">                                                                                          </t>
  </si>
  <si>
    <t>Delta</t>
  </si>
  <si>
    <t>NATIA</t>
  </si>
  <si>
    <t>2Q BUDGET</t>
  </si>
  <si>
    <t>2Q ACTUALS</t>
  </si>
  <si>
    <t>3Q BUDGET</t>
  </si>
  <si>
    <t>3Q ACTUALS</t>
  </si>
  <si>
    <t>MILIPOL</t>
  </si>
  <si>
    <t>3 Sales + 1 Field</t>
  </si>
  <si>
    <t>April 14 -17</t>
  </si>
  <si>
    <t xml:space="preserve">ISS Johannesburg </t>
  </si>
  <si>
    <t>Johannesburg - South Africa</t>
  </si>
  <si>
    <t>Washington - USA</t>
  </si>
  <si>
    <t xml:space="preserve">SEECAT </t>
  </si>
  <si>
    <t>Tokyo - Japan</t>
  </si>
  <si>
    <t>ISS KUALA LUMPUR</t>
  </si>
  <si>
    <t>4 Sales + 3 Tech + 1 Field</t>
  </si>
  <si>
    <t>Prague - CZ Republic</t>
  </si>
  <si>
    <t>IDEX</t>
  </si>
  <si>
    <t>February 22-26</t>
  </si>
  <si>
    <t>GSA</t>
  </si>
  <si>
    <t>March 03-05</t>
  </si>
  <si>
    <t>Singapore</t>
  </si>
  <si>
    <t>March 10-12</t>
  </si>
  <si>
    <t>ISS Dubai</t>
  </si>
  <si>
    <t>March 16-18</t>
  </si>
  <si>
    <t>Dubai - Emirates</t>
  </si>
  <si>
    <t>Abu Dhabi - Emirates</t>
  </si>
  <si>
    <t>INTERPOL WORLD</t>
  </si>
  <si>
    <t>April 14-16</t>
  </si>
  <si>
    <t>LAAD</t>
  </si>
  <si>
    <t>Rio de Janeiro - Brazil</t>
  </si>
  <si>
    <t>ISS Praga</t>
  </si>
  <si>
    <t>IDEC</t>
  </si>
  <si>
    <t>ISS Washington</t>
  </si>
  <si>
    <t>September 29-30</t>
  </si>
  <si>
    <t>DSEI</t>
  </si>
  <si>
    <t>London - UK</t>
  </si>
  <si>
    <t>September 10-13</t>
  </si>
  <si>
    <t>Paris - France</t>
  </si>
  <si>
    <t>November 02-05</t>
  </si>
  <si>
    <t>4Q BUDGET</t>
  </si>
  <si>
    <t>4Q ACTUALS</t>
  </si>
  <si>
    <t>2 Sing. + 1 Ita</t>
  </si>
  <si>
    <t>3 Ita</t>
  </si>
  <si>
    <t>ANNUAL BUDGET</t>
  </si>
  <si>
    <t>ANNUAL ACTUALS</t>
  </si>
  <si>
    <t>4 Sales + 3 Tech + 1 Mgmt</t>
  </si>
  <si>
    <t>3 Sales + 3 Tech</t>
  </si>
  <si>
    <t>Roll-up</t>
  </si>
  <si>
    <t>Costruzione Pon</t>
  </si>
  <si>
    <t>2 Sing. + 6 Ita</t>
  </si>
  <si>
    <t>3 Sales + 1 Field (+ Hostess)</t>
  </si>
  <si>
    <t>1 Sales + 1 Field</t>
  </si>
  <si>
    <t>2 Sales + 1 Field + 1 Mgmt</t>
  </si>
  <si>
    <t>2 Sales + 3 Tech + 1 field + 2 Mgmt</t>
  </si>
  <si>
    <t>IACP</t>
  </si>
  <si>
    <t>1 Sales + 2 Field</t>
  </si>
  <si>
    <t>ACTUALS 2014</t>
  </si>
  <si>
    <t>BUDGET 2015</t>
  </si>
  <si>
    <t>ACTUALS 2015</t>
  </si>
  <si>
    <t>ACTUALS 2013</t>
  </si>
  <si>
    <t>ISS MEXICO</t>
  </si>
  <si>
    <t>DEFENSE SECURITY BANGKOK</t>
  </si>
  <si>
    <t>ACTUALS 2014 (Interpol Monaco)</t>
  </si>
  <si>
    <t>ACTUALS 2014 (IDEC Rome)</t>
  </si>
  <si>
    <t>ACTUALS 2013 (MILIPOL Paris)</t>
  </si>
  <si>
    <t>ACTUALS 2014 (SEECAT Tokyo)</t>
  </si>
  <si>
    <t>October 24 - 27</t>
  </si>
  <si>
    <t>Chicago - USA</t>
  </si>
  <si>
    <t xml:space="preserve">ACTUALS 2014 </t>
  </si>
  <si>
    <t>Mexico City - MEXICO</t>
  </si>
  <si>
    <t>ACTUALS 2014 (ISS Washington)</t>
  </si>
  <si>
    <t>Costruzione PON</t>
  </si>
  <si>
    <t>5 Sales + 2 Field</t>
  </si>
  <si>
    <t>Bangkok - Thailandia</t>
  </si>
  <si>
    <t>3 Sales + 3 Tech + 1 Field + 1 Mgmt</t>
  </si>
  <si>
    <t>June 03-04</t>
  </si>
  <si>
    <t>Cartagena - Colombia</t>
  </si>
  <si>
    <t>July 28-29</t>
  </si>
  <si>
    <t>1 USA + 1 Mexico</t>
  </si>
  <si>
    <t>USD 11.000,00</t>
  </si>
  <si>
    <t>GBP 7.447,20</t>
  </si>
  <si>
    <t>SGD 15.408,00</t>
  </si>
  <si>
    <t>Spedizione Nomadic Sing.</t>
  </si>
  <si>
    <t>December 02 - 03</t>
  </si>
  <si>
    <t>1 USA + 1 Mexico + 6 Ita</t>
  </si>
  <si>
    <t>1 USA + 1 Mexico + 1 Colombia + 5 Ita</t>
  </si>
  <si>
    <t>Spedizione Pon USA</t>
  </si>
  <si>
    <t xml:space="preserve">2 Sing. </t>
  </si>
  <si>
    <t>4 Ita + 1 USA + 2 Sing.</t>
  </si>
  <si>
    <t>November XXXXX</t>
  </si>
  <si>
    <t>Rwanda - Africa</t>
  </si>
  <si>
    <t xml:space="preserve">KIDEC </t>
  </si>
  <si>
    <t xml:space="preserve">Kuwait </t>
  </si>
  <si>
    <t xml:space="preserve">INTERPOL </t>
  </si>
  <si>
    <t>2 Sales + 1 Tech + 1 Field</t>
  </si>
  <si>
    <t>4 Ita</t>
  </si>
  <si>
    <t>Spedizione Nomadic Ita</t>
  </si>
  <si>
    <t>2 Ita</t>
  </si>
  <si>
    <t>USD 10.290</t>
  </si>
  <si>
    <t>Electricity+Cleaning+Internet</t>
  </si>
  <si>
    <t>GBP 195 room rate</t>
  </si>
  <si>
    <t>July 21-23</t>
  </si>
  <si>
    <t>Charlotte, North Carolina - USA</t>
  </si>
  <si>
    <t xml:space="preserve">3 Sales + 3 Tech + 1 Field + 1 Mgmt </t>
  </si>
  <si>
    <t>3 Sales + 2 Tech + 2 Field + 1 Mgmt + 1M&amp;M</t>
  </si>
  <si>
    <t>2 Sales + 1 Field + 1 Mgmt + 1 M&amp;M</t>
  </si>
  <si>
    <t>Eric Rabe</t>
  </si>
  <si>
    <t>SGD 440 x fascia name</t>
  </si>
  <si>
    <t>SGD 1300 Internet</t>
  </si>
  <si>
    <t>SGD 12.470,00</t>
  </si>
  <si>
    <t>Nomadic Singapore</t>
  </si>
  <si>
    <t>November 17 - 20</t>
  </si>
  <si>
    <t>SGD 170 furniture</t>
  </si>
  <si>
    <t>6 Ita + 2 Sing.+ 1 USA</t>
  </si>
  <si>
    <t>2 Sing. + 1 Ita + 1 USA</t>
  </si>
  <si>
    <t>November 15 - 19</t>
  </si>
  <si>
    <t>Russo/Bettini/Rabe</t>
  </si>
  <si>
    <t>USD 11.000</t>
  </si>
  <si>
    <t>GBP 300 Internet</t>
  </si>
  <si>
    <t>R$ 1.600 Hostess</t>
  </si>
  <si>
    <t xml:space="preserve">GBP 450 Furniture </t>
  </si>
  <si>
    <t>1 Sales + 1 Field + 1 Hostess</t>
  </si>
  <si>
    <t xml:space="preserve">1 Ita + 1 Colombia + 1 Brazil </t>
  </si>
  <si>
    <t>USD 12.910,00</t>
  </si>
  <si>
    <t>Inclusi 2 pick-up</t>
  </si>
  <si>
    <t>Spedizione materiale (suddivisa con ISS Dubai)</t>
  </si>
  <si>
    <t>SGD 1.444 (cleaning+internet)</t>
  </si>
  <si>
    <t>Roll-Up</t>
  </si>
  <si>
    <t>SGD 480 (fee+lighting)</t>
  </si>
  <si>
    <t>1 Sales + 1 Field + 1 V.P.</t>
  </si>
  <si>
    <r>
      <t xml:space="preserve">3 Ita </t>
    </r>
    <r>
      <rPr>
        <sz val="11"/>
        <rFont val="Calibri"/>
        <family val="2"/>
        <scheme val="minor"/>
      </rPr>
      <t>(Luppi cancellato ultimo momento + Vinci)</t>
    </r>
  </si>
  <si>
    <t>October 20-22</t>
  </si>
  <si>
    <t>AED 150 (Internet Track) / € 70 Flyers</t>
  </si>
  <si>
    <t>EXPO SEGURIDAD MEXICO</t>
  </si>
  <si>
    <t>April 28 - 30</t>
  </si>
  <si>
    <t>Mexico City - Mexico</t>
  </si>
  <si>
    <t>Spedizione Nomadic A/R + Collecting service Andata (GBP 260)+Ritorno (?)</t>
  </si>
  <si>
    <t>USD 3817</t>
  </si>
  <si>
    <t>1 Sales + 2 Field + 1 V.P.</t>
  </si>
  <si>
    <t>June 01-05</t>
  </si>
  <si>
    <t>Costruzione Pon+Spedizione rientro</t>
  </si>
  <si>
    <t>Modifica Pardo (€ 110 penale)</t>
  </si>
  <si>
    <t>USD 1061: 394(TV) + 54(CLEANING) + 195(INTERNET) + 278(LIGHTS/ELECTRICITY) + 52(FURNITURE)</t>
  </si>
  <si>
    <t>Spedizione materiale Colombia</t>
  </si>
  <si>
    <t>Costruzione Pon + Spedizione materiale</t>
  </si>
  <si>
    <t>€ 96 TV</t>
  </si>
  <si>
    <t>Voli Vinci/Pardo/Bettini</t>
  </si>
  <si>
    <t>USD 220*4 (Bettini) + USD 220*4 (Pardo)</t>
  </si>
  <si>
    <t>(Spedizione Nomadic) Costruzione stand=IDEX</t>
  </si>
  <si>
    <t>8 standard room  € 119 cad. (check-in 01-out 04)+ suite (€ 300 /day+ equipment)</t>
  </si>
  <si>
    <t>6 Ita + 1 Sing.+ 1 Mad + 1 USA</t>
  </si>
  <si>
    <t xml:space="preserve">(500 USD per stampe) </t>
  </si>
  <si>
    <t>October 14-16</t>
  </si>
  <si>
    <t>2756 ZAR a notte (197 €)</t>
  </si>
  <si>
    <t>Shocraft</t>
  </si>
  <si>
    <t>GBP 7420,00</t>
  </si>
  <si>
    <t>3 Sales + 3 Tech + 1 Field</t>
  </si>
  <si>
    <t xml:space="preserve">5 Sales + 2 Field+2 Mgmt </t>
  </si>
  <si>
    <t>LINEA INTERNET</t>
  </si>
  <si>
    <t>6 Ita</t>
  </si>
  <si>
    <t>11.000 USD</t>
  </si>
  <si>
    <t>Electricity (€ 100) + Wired line for TRACK 4+catering</t>
  </si>
  <si>
    <t>USD 1900</t>
  </si>
  <si>
    <t>TV LED-LCD 42"+EXTRA FURNITURE</t>
  </si>
  <si>
    <t xml:space="preserve">1 Ita + 1 Mexico+ 1 Colombia </t>
  </si>
  <si>
    <t>Bettini, Martinez e Pardo € 142*4 notti</t>
  </si>
  <si>
    <t>(Martinez Pardo Bettini)</t>
  </si>
  <si>
    <t>Voli Luppi, Shehata,Busatto, Cornelli, Milan,Vinci + Maglietta + Rabe+Sergio+ pick-up</t>
  </si>
  <si>
    <t>USD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</si>
</sst>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8" formatCode="&quot;€&quot;\ #,##0.00;[Red]\-&quot;€&quot;\ #,##0.00"/>
    <numFmt numFmtId="164" formatCode="[$$-C09]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left" vertical="center" wrapText="1" indent="1" readingOrder="1"/>
    </xf>
    <xf numFmtId="8" fontId="4" fillId="3" borderId="1" xfId="0" applyNumberFormat="1" applyFont="1" applyFill="1" applyBorder="1" applyAlignment="1">
      <alignment horizontal="left" vertical="center" wrapText="1" indent="1" readingOrder="1"/>
    </xf>
    <xf numFmtId="0" fontId="4" fillId="2" borderId="2" xfId="0" applyFont="1" applyFill="1" applyBorder="1" applyAlignment="1">
      <alignment horizontal="left" vertical="center" wrapText="1" indent="1" readingOrder="1"/>
    </xf>
    <xf numFmtId="0" fontId="4" fillId="2" borderId="3" xfId="0" applyFont="1" applyFill="1" applyBorder="1" applyAlignment="1">
      <alignment horizontal="left" vertical="center" wrapText="1" indent="1" readingOrder="1"/>
    </xf>
    <xf numFmtId="0" fontId="4" fillId="3" borderId="2" xfId="0" applyFont="1" applyFill="1" applyBorder="1" applyAlignment="1">
      <alignment horizontal="left" vertical="center" wrapText="1" indent="1" readingOrder="1"/>
    </xf>
    <xf numFmtId="0" fontId="1" fillId="0" borderId="0" xfId="0" applyFont="1" applyAlignment="1">
      <alignment horizontal="center"/>
    </xf>
    <xf numFmtId="8" fontId="4" fillId="3" borderId="2" xfId="0" applyNumberFormat="1" applyFont="1" applyFill="1" applyBorder="1" applyAlignment="1">
      <alignment horizontal="left" vertical="center" wrapText="1" indent="1" readingOrder="1"/>
    </xf>
    <xf numFmtId="0" fontId="5" fillId="4" borderId="1" xfId="0" applyFont="1" applyFill="1" applyBorder="1" applyAlignment="1">
      <alignment horizontal="left" vertical="center" wrapText="1" indent="1" readingOrder="1"/>
    </xf>
    <xf numFmtId="8" fontId="5" fillId="4" borderId="1" xfId="0" applyNumberFormat="1" applyFont="1" applyFill="1" applyBorder="1" applyAlignment="1">
      <alignment horizontal="left" vertical="center" wrapText="1" indent="1" readingOrder="1"/>
    </xf>
    <xf numFmtId="0" fontId="6" fillId="0" borderId="0" xfId="0" applyFont="1"/>
    <xf numFmtId="0" fontId="5" fillId="5" borderId="1" xfId="0" applyFont="1" applyFill="1" applyBorder="1" applyAlignment="1">
      <alignment horizontal="left" vertical="center" wrapText="1" indent="1" readingOrder="1"/>
    </xf>
    <xf numFmtId="8" fontId="5" fillId="5" borderId="1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/>
    <xf numFmtId="0" fontId="6" fillId="0" borderId="0" xfId="0" applyFont="1" applyAlignment="1">
      <alignment horizontal="right"/>
    </xf>
    <xf numFmtId="8" fontId="1" fillId="0" borderId="0" xfId="0" applyNumberFormat="1" applyFont="1" applyAlignment="1">
      <alignment horizontal="center"/>
    </xf>
    <xf numFmtId="8" fontId="0" fillId="0" borderId="0" xfId="0" applyNumberFormat="1"/>
    <xf numFmtId="6" fontId="0" fillId="0" borderId="0" xfId="0" applyNumberFormat="1" applyAlignment="1">
      <alignment horizontal="left"/>
    </xf>
    <xf numFmtId="164" fontId="7" fillId="0" borderId="0" xfId="0" applyNumberFormat="1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3" borderId="4" xfId="0" applyNumberFormat="1" applyFont="1" applyFill="1" applyBorder="1" applyAlignment="1">
      <alignment horizontal="left" vertical="center" wrapText="1" indent="1" readingOrder="1"/>
    </xf>
    <xf numFmtId="8" fontId="4" fillId="3" borderId="5" xfId="0" applyNumberFormat="1" applyFont="1" applyFill="1" applyBorder="1" applyAlignment="1">
      <alignment horizontal="left" vertical="center" wrapText="1" indent="1" readingOrder="1"/>
    </xf>
    <xf numFmtId="8" fontId="9" fillId="0" borderId="0" xfId="0" applyNumberFormat="1" applyFont="1"/>
    <xf numFmtId="8" fontId="8" fillId="0" borderId="0" xfId="0" applyNumberFormat="1" applyFont="1"/>
    <xf numFmtId="8" fontId="9" fillId="0" borderId="0" xfId="0" applyNumberFormat="1" applyFont="1" applyAlignment="1">
      <alignment horizontal="right"/>
    </xf>
    <xf numFmtId="8" fontId="8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left" vertical="center" wrapText="1" indent="1" readingOrder="1"/>
    </xf>
    <xf numFmtId="0" fontId="0" fillId="0" borderId="0" xfId="0" applyFill="1"/>
    <xf numFmtId="8" fontId="5" fillId="0" borderId="0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5" fillId="6" borderId="7" xfId="0" applyFont="1" applyFill="1" applyBorder="1" applyAlignment="1">
      <alignment horizontal="center" vertical="center" wrapText="1" readingOrder="1"/>
    </xf>
    <xf numFmtId="8" fontId="5" fillId="6" borderId="8" xfId="0" applyNumberFormat="1" applyFont="1" applyFill="1" applyBorder="1" applyAlignment="1">
      <alignment horizontal="center" vertical="center" wrapText="1" readingOrder="1"/>
    </xf>
    <xf numFmtId="0" fontId="5" fillId="6" borderId="8" xfId="0" applyFont="1" applyFill="1" applyBorder="1" applyAlignment="1">
      <alignment horizontal="center" vertical="center" wrapText="1" readingOrder="1"/>
    </xf>
    <xf numFmtId="8" fontId="5" fillId="6" borderId="9" xfId="0" applyNumberFormat="1" applyFont="1" applyFill="1" applyBorder="1" applyAlignment="1">
      <alignment horizontal="center" vertical="center" wrapText="1" readingOrder="1"/>
    </xf>
    <xf numFmtId="0" fontId="6" fillId="6" borderId="10" xfId="0" applyFont="1" applyFill="1" applyBorder="1" applyAlignment="1">
      <alignment horizontal="center"/>
    </xf>
    <xf numFmtId="8" fontId="8" fillId="6" borderId="8" xfId="0" applyNumberFormat="1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8" fontId="4" fillId="7" borderId="2" xfId="0" applyNumberFormat="1" applyFont="1" applyFill="1" applyBorder="1" applyAlignment="1">
      <alignment horizontal="left" vertical="center" wrapText="1" indent="1" readingOrder="1"/>
    </xf>
    <xf numFmtId="0" fontId="6" fillId="0" borderId="0" xfId="0" applyFont="1" applyFill="1"/>
    <xf numFmtId="0" fontId="3" fillId="0" borderId="0" xfId="0" applyFont="1" applyFill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 applyFill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1" fillId="0" borderId="0" xfId="0" applyFont="1" applyFill="1" applyAlignment="1">
      <alignment horizontal="center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7" fillId="8" borderId="0" xfId="0" applyFont="1" applyFill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 applyFill="1" applyBorder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0" fillId="8" borderId="0" xfId="0" applyFill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3" xfId="0" applyNumberFormat="1" applyFont="1" applyFill="1" applyBorder="1" applyAlignment="1">
      <alignment horizontal="left" vertical="center" wrapText="1" indent="1" readingOrder="1"/>
    </xf>
    <xf numFmtId="8" fontId="4" fillId="2" borderId="5" xfId="0" applyNumberFormat="1" applyFont="1" applyFill="1" applyBorder="1" applyAlignment="1">
      <alignment horizontal="left" vertical="center" wrapText="1" indent="1" readingOrder="1"/>
    </xf>
    <xf numFmtId="8" fontId="4" fillId="2" borderId="6" xfId="0" applyNumberFormat="1" applyFont="1" applyFill="1" applyBorder="1" applyAlignment="1">
      <alignment horizontal="left" vertical="center" wrapText="1" indent="1" readingOrder="1"/>
    </xf>
    <xf numFmtId="8" fontId="7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opLeftCell="A31" workbookViewId="0">
      <selection activeCell="C56" sqref="C56"/>
    </sheetView>
  </sheetViews>
  <sheetFormatPr defaultRowHeight="15"/>
  <cols>
    <col min="1" max="1" width="41.5703125" customWidth="1"/>
    <col min="2" max="2" width="13.85546875" customWidth="1"/>
    <col min="3" max="3" width="33" customWidth="1"/>
    <col min="4" max="4" width="50.28515625" customWidth="1"/>
    <col min="5" max="5" width="32.85546875" customWidth="1"/>
    <col min="6" max="6" width="15.28515625" customWidth="1"/>
    <col min="7" max="7" width="14.7109375" customWidth="1"/>
    <col min="8" max="8" width="10" customWidth="1"/>
  </cols>
  <sheetData>
    <row r="1" spans="1:10">
      <c r="A1" s="13" t="s">
        <v>34</v>
      </c>
      <c r="D1" s="13"/>
      <c r="E1" s="13"/>
    </row>
    <row r="2" spans="1:10">
      <c r="A2" t="s">
        <v>35</v>
      </c>
    </row>
    <row r="3" spans="1:10">
      <c r="A3" t="s">
        <v>43</v>
      </c>
    </row>
    <row r="4" spans="1:10" ht="15.75" thickBot="1">
      <c r="C4" s="9" t="s">
        <v>77</v>
      </c>
      <c r="D4" s="9" t="s">
        <v>75</v>
      </c>
      <c r="E4" s="9" t="s">
        <v>76</v>
      </c>
      <c r="F4" s="16"/>
      <c r="G4" s="16"/>
      <c r="H4" s="16"/>
      <c r="I4" s="16"/>
      <c r="J4" s="16"/>
    </row>
    <row r="5" spans="1:10" ht="15.75" customHeight="1" thickBot="1">
      <c r="A5" s="4" t="s">
        <v>0</v>
      </c>
      <c r="C5" s="5">
        <v>12866</v>
      </c>
      <c r="D5" s="5">
        <v>10000</v>
      </c>
      <c r="E5" s="5">
        <v>9921</v>
      </c>
      <c r="F5" s="16" t="s">
        <v>116</v>
      </c>
      <c r="G5" s="16"/>
      <c r="H5" s="16"/>
      <c r="I5" s="16"/>
      <c r="J5" s="16"/>
    </row>
    <row r="6" spans="1:10" ht="15.75" customHeight="1">
      <c r="A6" s="6" t="s">
        <v>1</v>
      </c>
      <c r="C6" s="67">
        <f>SUM(3320+854+4+74)</f>
        <v>4252</v>
      </c>
      <c r="D6" s="67">
        <v>1500</v>
      </c>
      <c r="E6" s="67">
        <f>375+70+580+302</f>
        <v>1327</v>
      </c>
      <c r="F6" s="16" t="s">
        <v>117</v>
      </c>
    </row>
    <row r="7" spans="1:10" ht="15.75" customHeight="1" thickBot="1">
      <c r="A7" s="7" t="s">
        <v>2</v>
      </c>
      <c r="C7" s="68"/>
      <c r="D7" s="68"/>
      <c r="E7" s="68"/>
      <c r="F7" s="49" t="s">
        <v>143</v>
      </c>
      <c r="G7" s="49"/>
    </row>
    <row r="8" spans="1:10" ht="15.75" customHeight="1" thickBot="1">
      <c r="A8" s="8" t="s">
        <v>9</v>
      </c>
      <c r="C8" s="10">
        <v>7757.11</v>
      </c>
      <c r="D8" s="10">
        <f>170*5*3</f>
        <v>2550</v>
      </c>
      <c r="E8" s="10">
        <f>(1917.89*3)+30</f>
        <v>5783.67</v>
      </c>
      <c r="F8" s="16"/>
    </row>
    <row r="9" spans="1:10" ht="15.75" thickBot="1">
      <c r="A9" s="6" t="s">
        <v>8</v>
      </c>
      <c r="C9" s="45">
        <f>1580+840</f>
        <v>2420</v>
      </c>
      <c r="D9" s="45">
        <f>800*3</f>
        <v>2400</v>
      </c>
      <c r="E9" s="45">
        <f>646.58*3</f>
        <v>1939.7400000000002</v>
      </c>
    </row>
    <row r="10" spans="1:10" ht="15.75" thickBot="1">
      <c r="A10" s="8" t="s">
        <v>3</v>
      </c>
      <c r="C10" s="10">
        <v>9000</v>
      </c>
      <c r="D10" s="10">
        <v>4500</v>
      </c>
      <c r="E10" s="10">
        <v>7000</v>
      </c>
      <c r="F10" s="16" t="s">
        <v>66</v>
      </c>
    </row>
    <row r="11" spans="1:10" ht="14.25" customHeight="1" thickBot="1">
      <c r="A11" s="6" t="s">
        <v>4</v>
      </c>
      <c r="C11" s="45" t="s">
        <v>10</v>
      </c>
      <c r="D11" s="45" t="s">
        <v>10</v>
      </c>
      <c r="E11" s="53" t="s">
        <v>10</v>
      </c>
      <c r="F11" s="16" t="s">
        <v>60</v>
      </c>
    </row>
    <row r="12" spans="1:10" ht="15.75" thickBot="1">
      <c r="A12" s="11" t="s">
        <v>6</v>
      </c>
      <c r="C12" s="12">
        <f>SUM(C5:C10)</f>
        <v>36295.11</v>
      </c>
      <c r="D12" s="12">
        <f>SUM(D5:D10)</f>
        <v>20950</v>
      </c>
      <c r="E12" s="12">
        <f>SUM(E5:E10)</f>
        <v>25971.41</v>
      </c>
      <c r="F12" s="25"/>
      <c r="G12" s="26"/>
    </row>
    <row r="14" spans="1:10">
      <c r="A14" s="13" t="s">
        <v>36</v>
      </c>
      <c r="D14" s="1"/>
      <c r="E14" s="19"/>
    </row>
    <row r="15" spans="1:10">
      <c r="A15" t="s">
        <v>37</v>
      </c>
      <c r="D15" s="2"/>
    </row>
    <row r="16" spans="1:10">
      <c r="A16" t="s">
        <v>38</v>
      </c>
    </row>
    <row r="17" spans="1:8" ht="15.75" thickBot="1">
      <c r="C17" s="9" t="s">
        <v>77</v>
      </c>
      <c r="D17" s="9" t="s">
        <v>75</v>
      </c>
      <c r="E17" s="9" t="s">
        <v>76</v>
      </c>
      <c r="F17" s="16"/>
      <c r="G17" s="16"/>
      <c r="H17" s="16"/>
    </row>
    <row r="18" spans="1:8" ht="15" customHeight="1" thickBot="1">
      <c r="A18" s="4" t="s">
        <v>0</v>
      </c>
      <c r="C18" s="5">
        <v>7300</v>
      </c>
      <c r="D18" s="5">
        <v>6000</v>
      </c>
      <c r="E18" s="5">
        <v>7950</v>
      </c>
      <c r="F18" s="16" t="s">
        <v>127</v>
      </c>
    </row>
    <row r="19" spans="1:8" ht="15.75" customHeight="1">
      <c r="A19" s="6" t="s">
        <v>1</v>
      </c>
      <c r="C19" s="67">
        <f>1199+668</f>
        <v>1867</v>
      </c>
      <c r="D19" s="67">
        <v>1500</v>
      </c>
      <c r="E19" s="67">
        <f>280+113+827</f>
        <v>1220</v>
      </c>
      <c r="F19" s="16" t="s">
        <v>125</v>
      </c>
    </row>
    <row r="20" spans="1:8" ht="15.75" customHeight="1" thickBot="1">
      <c r="A20" s="7" t="s">
        <v>2</v>
      </c>
      <c r="C20" s="68"/>
      <c r="D20" s="68"/>
      <c r="E20" s="68"/>
      <c r="F20" s="16" t="s">
        <v>130</v>
      </c>
    </row>
    <row r="21" spans="1:8" ht="15.75" customHeight="1" thickBot="1">
      <c r="A21" s="8" t="s">
        <v>9</v>
      </c>
      <c r="C21" s="10">
        <v>1130</v>
      </c>
      <c r="D21" s="10">
        <f>170*2*2</f>
        <v>680</v>
      </c>
      <c r="E21" s="10">
        <f>(189*5)-105.01</f>
        <v>839.99</v>
      </c>
      <c r="F21" s="16" t="s">
        <v>126</v>
      </c>
    </row>
    <row r="22" spans="1:8" ht="15.75" thickBot="1">
      <c r="A22" s="6" t="s">
        <v>8</v>
      </c>
      <c r="C22" s="45">
        <v>2232</v>
      </c>
      <c r="D22" s="45">
        <v>0</v>
      </c>
      <c r="E22" s="45">
        <f>998+20-49.86</f>
        <v>968.14</v>
      </c>
      <c r="F22" s="58"/>
      <c r="G22" s="30"/>
    </row>
    <row r="23" spans="1:8" ht="15.75" thickBot="1">
      <c r="A23" s="8" t="s">
        <v>3</v>
      </c>
      <c r="C23" s="10">
        <v>0</v>
      </c>
      <c r="D23" s="10">
        <v>250</v>
      </c>
      <c r="E23" s="10"/>
      <c r="F23" s="49" t="s">
        <v>128</v>
      </c>
      <c r="G23" s="30"/>
    </row>
    <row r="24" spans="1:8" ht="15.75" thickBot="1">
      <c r="A24" s="6" t="s">
        <v>4</v>
      </c>
      <c r="C24" s="45" t="s">
        <v>10</v>
      </c>
      <c r="D24" s="45" t="s">
        <v>69</v>
      </c>
      <c r="E24" s="56" t="s">
        <v>73</v>
      </c>
      <c r="F24" s="16" t="s">
        <v>59</v>
      </c>
    </row>
    <row r="25" spans="1:8" ht="15.75" thickBot="1">
      <c r="A25" s="11" t="s">
        <v>5</v>
      </c>
      <c r="C25" s="12">
        <f>SUM(C18:C23)</f>
        <v>12529</v>
      </c>
      <c r="D25" s="12">
        <f>SUM(D18:D23)</f>
        <v>8430</v>
      </c>
      <c r="E25" s="12">
        <f>SUM(E18:E23)</f>
        <v>10978.13</v>
      </c>
      <c r="F25" s="25"/>
      <c r="G25" s="26"/>
    </row>
    <row r="27" spans="1:8">
      <c r="A27" s="13" t="s">
        <v>13</v>
      </c>
    </row>
    <row r="28" spans="1:8">
      <c r="A28" t="s">
        <v>39</v>
      </c>
    </row>
    <row r="29" spans="1:8">
      <c r="A29" t="s">
        <v>14</v>
      </c>
    </row>
    <row r="30" spans="1:8" ht="15.75" thickBot="1">
      <c r="C30" s="9" t="s">
        <v>74</v>
      </c>
      <c r="D30" s="9" t="s">
        <v>75</v>
      </c>
      <c r="E30" s="9" t="s">
        <v>76</v>
      </c>
    </row>
    <row r="31" spans="1:8" ht="15.75" thickBot="1">
      <c r="A31" s="4" t="s">
        <v>0</v>
      </c>
      <c r="C31" s="5">
        <v>6416.42</v>
      </c>
      <c r="D31" s="5">
        <v>6000</v>
      </c>
      <c r="E31" s="5">
        <v>9880</v>
      </c>
      <c r="F31" s="16" t="s">
        <v>98</v>
      </c>
    </row>
    <row r="32" spans="1:8">
      <c r="A32" s="6" t="s">
        <v>1</v>
      </c>
      <c r="C32" s="67">
        <v>1205</v>
      </c>
      <c r="D32" s="67">
        <v>1300</v>
      </c>
      <c r="E32" s="67">
        <f>606+400</f>
        <v>1006</v>
      </c>
      <c r="F32" s="16" t="s">
        <v>138</v>
      </c>
    </row>
    <row r="33" spans="1:11" ht="15.75" thickBot="1">
      <c r="A33" s="7" t="s">
        <v>2</v>
      </c>
      <c r="C33" s="68"/>
      <c r="D33" s="68"/>
      <c r="E33" s="68"/>
      <c r="F33" s="16" t="s">
        <v>136</v>
      </c>
    </row>
    <row r="34" spans="1:11" ht="15.75" thickBot="1">
      <c r="A34" s="8" t="s">
        <v>9</v>
      </c>
      <c r="C34" s="10">
        <v>2182.6999999999998</v>
      </c>
      <c r="D34" s="10">
        <v>1800</v>
      </c>
      <c r="E34" s="10">
        <f>686.33*3</f>
        <v>2058.9900000000002</v>
      </c>
      <c r="F34" s="16" t="s">
        <v>118</v>
      </c>
    </row>
    <row r="35" spans="1:11" ht="15.75" thickBot="1">
      <c r="A35" s="6" t="s">
        <v>8</v>
      </c>
      <c r="C35" s="45">
        <f>516.09</f>
        <v>516.09</v>
      </c>
      <c r="D35" s="45">
        <v>900</v>
      </c>
      <c r="E35" s="45">
        <f>224.31*3+843.78</f>
        <v>1516.71</v>
      </c>
    </row>
    <row r="36" spans="1:11" ht="15.75" thickBot="1">
      <c r="A36" s="8" t="s">
        <v>3</v>
      </c>
      <c r="C36" s="10">
        <f>266+269</f>
        <v>535</v>
      </c>
      <c r="D36" s="10">
        <v>450</v>
      </c>
      <c r="E36" s="10">
        <v>350</v>
      </c>
      <c r="F36" s="55" t="s">
        <v>154</v>
      </c>
      <c r="G36" s="60"/>
      <c r="H36" s="60"/>
      <c r="I36" s="60"/>
      <c r="J36" s="60"/>
      <c r="K36" s="60"/>
    </row>
    <row r="37" spans="1:11" ht="15.75" thickBot="1">
      <c r="A37" s="6" t="s">
        <v>4</v>
      </c>
      <c r="C37" s="45" t="s">
        <v>10</v>
      </c>
      <c r="D37" s="45" t="s">
        <v>10</v>
      </c>
      <c r="E37" s="59" t="s">
        <v>147</v>
      </c>
      <c r="F37" s="16" t="s">
        <v>148</v>
      </c>
    </row>
    <row r="38" spans="1:11" ht="15.75" thickBot="1">
      <c r="A38" s="11" t="s">
        <v>6</v>
      </c>
      <c r="C38" s="12">
        <f>SUM(C31:C36)</f>
        <v>10855.21</v>
      </c>
      <c r="D38" s="12">
        <f>SUM(D31:D36)</f>
        <v>10450</v>
      </c>
      <c r="E38" s="12">
        <f>SUM(E31:E36)</f>
        <v>14811.7</v>
      </c>
      <c r="F38" s="25"/>
      <c r="G38" s="26"/>
    </row>
    <row r="40" spans="1:11">
      <c r="A40" s="13" t="s">
        <v>40</v>
      </c>
      <c r="D40" s="13"/>
      <c r="E40" s="13"/>
    </row>
    <row r="41" spans="1:11">
      <c r="A41" t="s">
        <v>41</v>
      </c>
    </row>
    <row r="42" spans="1:11">
      <c r="A42" t="s">
        <v>42</v>
      </c>
      <c r="F42" s="16"/>
    </row>
    <row r="43" spans="1:11" ht="15.75" thickBot="1">
      <c r="C43" s="9" t="s">
        <v>74</v>
      </c>
      <c r="D43" s="9" t="s">
        <v>75</v>
      </c>
      <c r="E43" s="9" t="s">
        <v>76</v>
      </c>
      <c r="F43" s="16"/>
    </row>
    <row r="44" spans="1:11" ht="25.5" customHeight="1" thickBot="1">
      <c r="A44" s="4" t="s">
        <v>0</v>
      </c>
      <c r="C44" s="5">
        <v>10438.1</v>
      </c>
      <c r="D44" s="5">
        <v>10000</v>
      </c>
      <c r="E44" s="5">
        <v>9700</v>
      </c>
      <c r="F44" s="16" t="s">
        <v>135</v>
      </c>
    </row>
    <row r="45" spans="1:11" ht="15" customHeight="1">
      <c r="A45" s="6" t="s">
        <v>1</v>
      </c>
      <c r="C45" s="67">
        <f>97.6</f>
        <v>97.6</v>
      </c>
      <c r="D45" s="67">
        <v>1000</v>
      </c>
      <c r="E45" s="67">
        <f>33+70+302</f>
        <v>405</v>
      </c>
      <c r="F45" s="16" t="s">
        <v>150</v>
      </c>
    </row>
    <row r="46" spans="1:11" ht="15.75" customHeight="1" thickBot="1">
      <c r="A46" s="7" t="s">
        <v>2</v>
      </c>
      <c r="C46" s="68"/>
      <c r="D46" s="68"/>
      <c r="E46" s="68"/>
      <c r="F46" s="49" t="s">
        <v>143</v>
      </c>
    </row>
    <row r="47" spans="1:11" ht="15.75" customHeight="1" thickBot="1">
      <c r="A47" s="8" t="s">
        <v>9</v>
      </c>
      <c r="C47" s="10">
        <v>5023.62</v>
      </c>
      <c r="D47" s="10">
        <f>(170*3*7)+(240*3)</f>
        <v>4290</v>
      </c>
      <c r="E47" s="10">
        <f>(217*4*6)+(217*3*2)+(539*4)+(217*5)+50+43+796.81</f>
        <v>10640.81</v>
      </c>
      <c r="F47" s="49" t="s">
        <v>142</v>
      </c>
      <c r="G47" s="30"/>
    </row>
    <row r="48" spans="1:11" ht="15.75" customHeight="1" thickBot="1">
      <c r="A48" s="6" t="s">
        <v>8</v>
      </c>
      <c r="C48" s="45">
        <v>5068.93</v>
      </c>
      <c r="D48" s="45">
        <f>(950*5)+(550*2)+(1900)</f>
        <v>7750</v>
      </c>
      <c r="E48" s="45">
        <f>(675.58*5)+(894)+652.23+1251.35+100+926.51+653.29</f>
        <v>7855.28</v>
      </c>
      <c r="F48" s="49"/>
      <c r="G48" s="30"/>
      <c r="H48" s="30"/>
      <c r="I48" s="30"/>
      <c r="J48" s="30"/>
      <c r="K48" s="30"/>
    </row>
    <row r="49" spans="1:7" ht="15.75" thickBot="1">
      <c r="A49" s="8" t="s">
        <v>3</v>
      </c>
      <c r="C49" s="10">
        <v>4765.54</v>
      </c>
      <c r="D49" s="10">
        <v>4500</v>
      </c>
      <c r="E49" s="10">
        <f>4790+425</f>
        <v>5215</v>
      </c>
      <c r="F49" s="16" t="s">
        <v>158</v>
      </c>
    </row>
    <row r="50" spans="1:7" ht="33.75" customHeight="1" thickBot="1">
      <c r="A50" s="6" t="s">
        <v>4</v>
      </c>
      <c r="C50" s="45" t="s">
        <v>32</v>
      </c>
      <c r="D50" s="54" t="s">
        <v>121</v>
      </c>
      <c r="E50" s="54" t="s">
        <v>122</v>
      </c>
      <c r="F50" s="16" t="s">
        <v>131</v>
      </c>
    </row>
    <row r="51" spans="1:7" ht="15.75" thickBot="1">
      <c r="A51" s="11" t="s">
        <v>6</v>
      </c>
      <c r="C51" s="12">
        <f>SUM(C44:C49)</f>
        <v>25393.79</v>
      </c>
      <c r="D51" s="12">
        <f>SUM(D44:D49)</f>
        <v>27540</v>
      </c>
      <c r="E51" s="12">
        <f>SUM(E44:E49)</f>
        <v>33816.089999999997</v>
      </c>
      <c r="F51" s="25"/>
      <c r="G51" s="26"/>
    </row>
    <row r="53" spans="1:7" ht="15.75" thickBot="1"/>
    <row r="54" spans="1:7" ht="15.75" thickBot="1">
      <c r="A54" s="14" t="s">
        <v>11</v>
      </c>
      <c r="B54" s="15">
        <f>SUM(D12+D25+D38+D51)</f>
        <v>67370</v>
      </c>
    </row>
    <row r="55" spans="1:7" ht="15.75" thickBot="1">
      <c r="A55" s="14" t="s">
        <v>12</v>
      </c>
      <c r="B55" s="15">
        <f>SUM(E12,E25,E38,E51)</f>
        <v>85577.33</v>
      </c>
    </row>
    <row r="56" spans="1:7">
      <c r="A56" s="27" t="s">
        <v>17</v>
      </c>
      <c r="B56" s="28">
        <f>B54-B55</f>
        <v>-18207.330000000002</v>
      </c>
      <c r="C56" s="28"/>
    </row>
  </sheetData>
  <mergeCells count="12">
    <mergeCell ref="C6:C7"/>
    <mergeCell ref="C45:C46"/>
    <mergeCell ref="C32:C33"/>
    <mergeCell ref="C19:C20"/>
    <mergeCell ref="D19:D20"/>
    <mergeCell ref="E19:E20"/>
    <mergeCell ref="E6:E7"/>
    <mergeCell ref="D6:D7"/>
    <mergeCell ref="D45:D46"/>
    <mergeCell ref="E45:E46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opLeftCell="A37" workbookViewId="0">
      <selection activeCell="C68" sqref="C68"/>
    </sheetView>
  </sheetViews>
  <sheetFormatPr defaultRowHeight="15"/>
  <cols>
    <col min="1" max="1" width="37.7109375" customWidth="1"/>
    <col min="2" max="2" width="13.85546875" customWidth="1"/>
    <col min="3" max="3" width="31.85546875" customWidth="1"/>
    <col min="4" max="4" width="50.28515625" customWidth="1"/>
    <col min="5" max="5" width="32.85546875" customWidth="1"/>
    <col min="6" max="6" width="36.140625" customWidth="1"/>
    <col min="7" max="7" width="12.85546875" customWidth="1"/>
    <col min="8" max="8" width="19.28515625" customWidth="1"/>
  </cols>
  <sheetData>
    <row r="1" spans="1:8">
      <c r="A1" s="13" t="s">
        <v>44</v>
      </c>
      <c r="B1" s="2"/>
      <c r="C1" s="2"/>
      <c r="D1" s="2"/>
    </row>
    <row r="2" spans="1:8">
      <c r="A2" s="3" t="s">
        <v>45</v>
      </c>
      <c r="B2" s="2"/>
      <c r="C2" s="2"/>
      <c r="D2" s="2"/>
    </row>
    <row r="3" spans="1:8">
      <c r="A3" t="s">
        <v>38</v>
      </c>
      <c r="D3" s="2"/>
    </row>
    <row r="4" spans="1:8" ht="15.75" thickBot="1">
      <c r="A4" s="2"/>
      <c r="C4" s="9" t="s">
        <v>80</v>
      </c>
      <c r="D4" s="9" t="s">
        <v>75</v>
      </c>
      <c r="E4" s="9" t="s">
        <v>76</v>
      </c>
    </row>
    <row r="5" spans="1:8" ht="15.75" thickBot="1">
      <c r="A5" s="4" t="s">
        <v>0</v>
      </c>
      <c r="B5" t="s">
        <v>16</v>
      </c>
      <c r="C5" s="5">
        <v>12000</v>
      </c>
      <c r="D5" s="5">
        <v>10000</v>
      </c>
      <c r="E5" s="5">
        <v>10627.0599</v>
      </c>
      <c r="F5" s="16" t="s">
        <v>99</v>
      </c>
    </row>
    <row r="6" spans="1:8">
      <c r="A6" s="6" t="s">
        <v>1</v>
      </c>
      <c r="C6" s="67">
        <v>0</v>
      </c>
      <c r="D6" s="67">
        <v>1000</v>
      </c>
      <c r="E6" s="67">
        <v>960</v>
      </c>
      <c r="F6" s="16" t="s">
        <v>144</v>
      </c>
      <c r="G6" s="16"/>
    </row>
    <row r="7" spans="1:8" ht="15.75" thickBot="1">
      <c r="A7" s="7" t="s">
        <v>2</v>
      </c>
      <c r="C7" s="68"/>
      <c r="D7" s="68"/>
      <c r="E7" s="68"/>
      <c r="F7" s="16" t="s">
        <v>146</v>
      </c>
      <c r="G7" s="16"/>
    </row>
    <row r="8" spans="1:8" ht="15.75" thickBot="1">
      <c r="A8" s="8" t="s">
        <v>9</v>
      </c>
      <c r="C8" s="5">
        <v>1956</v>
      </c>
      <c r="D8" s="10">
        <v>1800</v>
      </c>
      <c r="E8" s="5">
        <f>(341*3)+(583*4)+(341*3)+154+116.58</f>
        <v>4648.58</v>
      </c>
      <c r="F8" t="s">
        <v>134</v>
      </c>
      <c r="G8" s="30"/>
      <c r="H8" s="30"/>
    </row>
    <row r="9" spans="1:8" ht="15.75" thickBot="1">
      <c r="A9" s="6" t="s">
        <v>8</v>
      </c>
      <c r="C9" s="40">
        <v>0</v>
      </c>
      <c r="D9" s="22">
        <v>800</v>
      </c>
      <c r="E9" s="22">
        <f>(1842.72*2)+2001.1</f>
        <v>5686.54</v>
      </c>
      <c r="F9" t="s">
        <v>134</v>
      </c>
    </row>
    <row r="10" spans="1:8" ht="15.75" thickBot="1">
      <c r="A10" s="8" t="s">
        <v>3</v>
      </c>
      <c r="C10" s="10">
        <v>0</v>
      </c>
      <c r="D10" s="10">
        <v>6000</v>
      </c>
      <c r="E10" s="10">
        <f>6950+107.12+700</f>
        <v>7757.12</v>
      </c>
      <c r="F10" s="49" t="s">
        <v>162</v>
      </c>
      <c r="G10" s="30"/>
      <c r="H10" s="30"/>
    </row>
    <row r="11" spans="1:8" ht="30.75" thickBot="1">
      <c r="A11" s="6" t="s">
        <v>4</v>
      </c>
      <c r="C11" s="40" t="s">
        <v>69</v>
      </c>
      <c r="D11" s="32" t="s">
        <v>10</v>
      </c>
      <c r="E11" s="54" t="s">
        <v>123</v>
      </c>
      <c r="F11" s="16" t="s">
        <v>132</v>
      </c>
    </row>
    <row r="12" spans="1:8" ht="15.75" thickBot="1">
      <c r="A12" s="11" t="s">
        <v>5</v>
      </c>
      <c r="C12" s="12">
        <f>SUM(C5:C10)</f>
        <v>13956</v>
      </c>
      <c r="D12" s="12">
        <f>SUM(D5:D10)</f>
        <v>19600</v>
      </c>
      <c r="E12" s="12">
        <f>SUM(E5:E10)</f>
        <v>29679.299899999998</v>
      </c>
      <c r="F12" s="25"/>
      <c r="G12" s="26"/>
    </row>
    <row r="14" spans="1:8">
      <c r="A14" s="13" t="s">
        <v>46</v>
      </c>
      <c r="D14" s="1"/>
    </row>
    <row r="15" spans="1:8">
      <c r="A15" t="s">
        <v>25</v>
      </c>
      <c r="D15" s="2"/>
    </row>
    <row r="16" spans="1:8">
      <c r="A16" t="s">
        <v>47</v>
      </c>
    </row>
    <row r="17" spans="1:12" ht="15.75" thickBot="1">
      <c r="C17" s="9" t="s">
        <v>74</v>
      </c>
      <c r="D17" s="9" t="s">
        <v>75</v>
      </c>
      <c r="E17" s="9" t="s">
        <v>76</v>
      </c>
      <c r="F17" s="16"/>
    </row>
    <row r="18" spans="1:12" ht="15.75" thickBot="1">
      <c r="A18" s="4" t="s">
        <v>0</v>
      </c>
      <c r="C18" s="5">
        <v>9300</v>
      </c>
      <c r="D18" s="5">
        <v>9000</v>
      </c>
      <c r="E18" s="5">
        <v>2000</v>
      </c>
      <c r="F18" s="16"/>
      <c r="G18" s="16"/>
    </row>
    <row r="19" spans="1:12" ht="15" customHeight="1">
      <c r="A19" s="6" t="s">
        <v>1</v>
      </c>
      <c r="C19" s="67">
        <v>950</v>
      </c>
      <c r="D19" s="67">
        <v>1000</v>
      </c>
      <c r="E19" s="67">
        <f>463+96</f>
        <v>559</v>
      </c>
      <c r="F19" s="49" t="s">
        <v>137</v>
      </c>
    </row>
    <row r="20" spans="1:12" ht="15.75" customHeight="1" thickBot="1">
      <c r="A20" s="7" t="s">
        <v>2</v>
      </c>
      <c r="C20" s="68"/>
      <c r="D20" s="68"/>
      <c r="E20" s="68"/>
      <c r="F20" s="16" t="s">
        <v>163</v>
      </c>
    </row>
    <row r="21" spans="1:12" ht="15.75" customHeight="1" thickBot="1">
      <c r="A21" s="8" t="s">
        <v>9</v>
      </c>
      <c r="C21" s="5">
        <v>2660</v>
      </c>
      <c r="D21" s="10">
        <f>170*4*3</f>
        <v>2040</v>
      </c>
      <c r="E21" s="5">
        <v>964</v>
      </c>
      <c r="F21" s="49"/>
      <c r="G21" s="49"/>
      <c r="H21" s="49"/>
      <c r="I21" s="49"/>
    </row>
    <row r="22" spans="1:12" ht="15.75" customHeight="1" thickBot="1">
      <c r="A22" s="6" t="s">
        <v>8</v>
      </c>
      <c r="C22" s="40">
        <v>5325</v>
      </c>
      <c r="D22" s="22">
        <f>1100+1400+500</f>
        <v>3000</v>
      </c>
      <c r="E22" s="22">
        <f>1203.12+333.89+1257.33+3.99</f>
        <v>2798.3299999999995</v>
      </c>
      <c r="F22" s="49" t="s">
        <v>159</v>
      </c>
      <c r="G22" s="49"/>
      <c r="H22" s="49"/>
      <c r="I22" s="30"/>
    </row>
    <row r="23" spans="1:12" ht="15" customHeight="1" thickBot="1">
      <c r="A23" s="8" t="s">
        <v>3</v>
      </c>
      <c r="C23" s="10">
        <v>6150</v>
      </c>
      <c r="D23" s="10">
        <v>4000</v>
      </c>
      <c r="E23" s="5">
        <v>480</v>
      </c>
      <c r="F23" s="16" t="s">
        <v>161</v>
      </c>
      <c r="G23" s="16"/>
    </row>
    <row r="24" spans="1:12" ht="15.75" thickBot="1">
      <c r="A24" s="6" t="s">
        <v>4</v>
      </c>
      <c r="C24" s="40" t="s">
        <v>68</v>
      </c>
      <c r="D24" s="46" t="s">
        <v>10</v>
      </c>
      <c r="E24" s="57" t="s">
        <v>139</v>
      </c>
      <c r="F24" s="16" t="s">
        <v>140</v>
      </c>
    </row>
    <row r="25" spans="1:12" ht="15.75" thickBot="1">
      <c r="A25" s="11" t="s">
        <v>5</v>
      </c>
      <c r="C25" s="12">
        <f>SUM(C18:C23)</f>
        <v>24385</v>
      </c>
      <c r="D25" s="12">
        <f>SUM(D18:D23)</f>
        <v>19040</v>
      </c>
      <c r="E25" s="12">
        <f>SUM(E18:E23)</f>
        <v>6801.33</v>
      </c>
      <c r="F25" s="25"/>
      <c r="G25" s="26"/>
    </row>
    <row r="26" spans="1:12">
      <c r="A26" s="29"/>
      <c r="B26" s="30"/>
      <c r="C26" s="31"/>
      <c r="D26" s="31"/>
      <c r="E26" s="31"/>
      <c r="F26" s="25"/>
      <c r="G26" s="26"/>
    </row>
    <row r="27" spans="1:12">
      <c r="A27" s="13" t="s">
        <v>151</v>
      </c>
      <c r="D27" s="1"/>
    </row>
    <row r="28" spans="1:12">
      <c r="A28" t="s">
        <v>152</v>
      </c>
      <c r="D28" s="2"/>
    </row>
    <row r="29" spans="1:12">
      <c r="A29" t="s">
        <v>153</v>
      </c>
    </row>
    <row r="30" spans="1:12" ht="15.75" thickBot="1">
      <c r="C30" s="9" t="s">
        <v>74</v>
      </c>
      <c r="D30" s="9" t="s">
        <v>75</v>
      </c>
      <c r="E30" s="9" t="s">
        <v>76</v>
      </c>
      <c r="F30" s="16"/>
    </row>
    <row r="31" spans="1:12" ht="15.75" thickBot="1">
      <c r="A31" s="4" t="s">
        <v>0</v>
      </c>
      <c r="C31" s="5"/>
      <c r="D31" s="5"/>
      <c r="E31" s="5">
        <v>3486</v>
      </c>
      <c r="F31" s="16" t="s">
        <v>155</v>
      </c>
      <c r="G31" s="16"/>
    </row>
    <row r="32" spans="1:12" ht="60.75" customHeight="1">
      <c r="A32" s="6" t="s">
        <v>1</v>
      </c>
      <c r="C32" s="67"/>
      <c r="D32" s="67"/>
      <c r="E32" s="67">
        <v>950</v>
      </c>
      <c r="F32" s="63" t="s">
        <v>160</v>
      </c>
      <c r="G32" s="64"/>
      <c r="H32" s="64"/>
      <c r="I32" s="65"/>
      <c r="J32" s="65"/>
      <c r="K32" s="65"/>
      <c r="L32" s="65"/>
    </row>
    <row r="33" spans="1:9" ht="15.75" customHeight="1" thickBot="1">
      <c r="A33" s="7" t="s">
        <v>2</v>
      </c>
      <c r="C33" s="68"/>
      <c r="D33" s="68"/>
      <c r="E33" s="68"/>
      <c r="F33" s="16"/>
      <c r="G33" s="16"/>
      <c r="H33" s="16"/>
    </row>
    <row r="34" spans="1:9" ht="15.75" customHeight="1" thickBot="1">
      <c r="A34" s="8" t="s">
        <v>9</v>
      </c>
      <c r="C34" s="5"/>
      <c r="D34" s="10"/>
      <c r="E34" s="5">
        <f>203*8</f>
        <v>1624</v>
      </c>
      <c r="F34" s="49" t="s">
        <v>165</v>
      </c>
      <c r="G34" s="49"/>
      <c r="H34" s="49"/>
      <c r="I34" s="49"/>
    </row>
    <row r="35" spans="1:9" ht="15.75" customHeight="1" thickBot="1">
      <c r="A35" s="6" t="s">
        <v>8</v>
      </c>
      <c r="C35" s="61"/>
      <c r="D35" s="61"/>
      <c r="E35" s="61">
        <f>5400+908+1486</f>
        <v>7794</v>
      </c>
      <c r="F35" s="49" t="s">
        <v>164</v>
      </c>
      <c r="G35" s="49"/>
      <c r="H35" s="49"/>
      <c r="I35" s="30"/>
    </row>
    <row r="36" spans="1:9" ht="15" customHeight="1" thickBot="1">
      <c r="A36" s="8" t="s">
        <v>3</v>
      </c>
      <c r="C36" s="10"/>
      <c r="D36" s="10"/>
      <c r="E36" s="5"/>
      <c r="F36" s="16" t="s">
        <v>145</v>
      </c>
      <c r="G36" s="16"/>
    </row>
    <row r="37" spans="1:9" ht="15.75" thickBot="1">
      <c r="A37" s="6" t="s">
        <v>4</v>
      </c>
      <c r="C37" s="61"/>
      <c r="D37" s="61"/>
      <c r="E37" s="62" t="s">
        <v>156</v>
      </c>
      <c r="F37" s="16"/>
    </row>
    <row r="38" spans="1:9" ht="15.75" thickBot="1">
      <c r="A38" s="11" t="s">
        <v>5</v>
      </c>
      <c r="C38" s="12">
        <f>SUM(C31:C36)</f>
        <v>0</v>
      </c>
      <c r="D38" s="12">
        <f>SUM(D31:D36)</f>
        <v>0</v>
      </c>
      <c r="E38" s="12">
        <f>SUM(E31:E36)</f>
        <v>13854</v>
      </c>
      <c r="F38" s="25"/>
      <c r="G38" s="26"/>
    </row>
    <row r="40" spans="1:9">
      <c r="A40" s="13" t="s">
        <v>49</v>
      </c>
      <c r="D40" s="13"/>
      <c r="E40" s="13"/>
    </row>
    <row r="41" spans="1:9">
      <c r="A41" s="30" t="s">
        <v>157</v>
      </c>
    </row>
    <row r="42" spans="1:9">
      <c r="A42" t="s">
        <v>94</v>
      </c>
    </row>
    <row r="43" spans="1:9" ht="15.75" thickBot="1">
      <c r="C43" s="9" t="s">
        <v>81</v>
      </c>
      <c r="D43" s="9" t="s">
        <v>75</v>
      </c>
      <c r="E43" s="9" t="s">
        <v>76</v>
      </c>
    </row>
    <row r="44" spans="1:9" ht="15.75" thickBot="1">
      <c r="A44" s="4" t="s">
        <v>0</v>
      </c>
      <c r="C44" s="5">
        <v>9500</v>
      </c>
      <c r="D44" s="5">
        <v>9000</v>
      </c>
      <c r="E44" s="5">
        <v>12077</v>
      </c>
      <c r="F44" s="16" t="s">
        <v>141</v>
      </c>
    </row>
    <row r="45" spans="1:9" ht="15" customHeight="1">
      <c r="A45" s="6" t="s">
        <v>1</v>
      </c>
      <c r="C45" s="67">
        <f>233+45</f>
        <v>278</v>
      </c>
      <c r="D45" s="67">
        <v>1200</v>
      </c>
      <c r="E45" s="67">
        <f>315+277</f>
        <v>592</v>
      </c>
    </row>
    <row r="46" spans="1:9" ht="15.75" customHeight="1" thickBot="1">
      <c r="A46" s="7" t="s">
        <v>2</v>
      </c>
      <c r="C46" s="68"/>
      <c r="D46" s="68"/>
      <c r="E46" s="68"/>
      <c r="F46" s="16" t="s">
        <v>181</v>
      </c>
    </row>
    <row r="47" spans="1:9" ht="15.75" customHeight="1" thickBot="1">
      <c r="A47" s="8" t="s">
        <v>9</v>
      </c>
      <c r="C47" s="5">
        <v>1600</v>
      </c>
      <c r="D47" s="10">
        <f>150*4*2</f>
        <v>1200</v>
      </c>
      <c r="E47" s="5">
        <f>(142*4)*2+ (137*3)</f>
        <v>1547</v>
      </c>
      <c r="F47" s="16" t="s">
        <v>183</v>
      </c>
      <c r="G47" s="16"/>
    </row>
    <row r="48" spans="1:9" ht="15.75" customHeight="1" thickBot="1">
      <c r="A48" s="6" t="s">
        <v>8</v>
      </c>
      <c r="C48" s="40">
        <f>2118+232+23</f>
        <v>2373</v>
      </c>
      <c r="D48" s="32">
        <v>700</v>
      </c>
      <c r="E48" s="32">
        <f>593.98+1897.51+225.99</f>
        <v>2717.4799999999996</v>
      </c>
      <c r="F48" s="16" t="s">
        <v>184</v>
      </c>
    </row>
    <row r="49" spans="1:7" ht="15.75" thickBot="1">
      <c r="A49" s="8" t="s">
        <v>3</v>
      </c>
      <c r="C49" s="10">
        <v>5895</v>
      </c>
      <c r="D49" s="10">
        <v>4000</v>
      </c>
      <c r="E49" s="10">
        <v>446</v>
      </c>
      <c r="F49" s="16" t="s">
        <v>169</v>
      </c>
    </row>
    <row r="50" spans="1:7" ht="16.5" customHeight="1" thickBot="1">
      <c r="A50" s="6" t="s">
        <v>4</v>
      </c>
      <c r="C50" s="40" t="s">
        <v>70</v>
      </c>
      <c r="D50" s="46" t="s">
        <v>69</v>
      </c>
      <c r="E50" s="32"/>
      <c r="F50" s="16" t="s">
        <v>182</v>
      </c>
    </row>
    <row r="51" spans="1:7" ht="15.75" thickBot="1">
      <c r="A51" s="11" t="s">
        <v>6</v>
      </c>
      <c r="C51" s="12">
        <f>SUM(C44:C49)</f>
        <v>19646</v>
      </c>
      <c r="D51" s="12">
        <f>SUM(D44:D49)</f>
        <v>16100</v>
      </c>
      <c r="E51" s="12">
        <f>SUM(E44:E49)</f>
        <v>17379.48</v>
      </c>
      <c r="F51" s="16"/>
    </row>
    <row r="52" spans="1:7">
      <c r="A52" s="43"/>
    </row>
    <row r="53" spans="1:7">
      <c r="A53" s="13" t="s">
        <v>48</v>
      </c>
      <c r="D53" s="13"/>
      <c r="E53" s="13"/>
    </row>
    <row r="54" spans="1:7">
      <c r="A54" t="s">
        <v>93</v>
      </c>
    </row>
    <row r="55" spans="1:7">
      <c r="A55" t="s">
        <v>33</v>
      </c>
    </row>
    <row r="56" spans="1:7" ht="15.75" thickBot="1">
      <c r="C56" s="9" t="s">
        <v>74</v>
      </c>
      <c r="D56" s="9" t="s">
        <v>75</v>
      </c>
      <c r="E56" s="9" t="s">
        <v>76</v>
      </c>
    </row>
    <row r="57" spans="1:7" ht="15.75" thickBot="1">
      <c r="A57" s="4" t="s">
        <v>0</v>
      </c>
      <c r="C57" s="23">
        <v>10475</v>
      </c>
      <c r="D57" s="5">
        <v>10000</v>
      </c>
      <c r="E57" s="5">
        <v>10221.717000000001</v>
      </c>
      <c r="F57" s="16" t="s">
        <v>97</v>
      </c>
    </row>
    <row r="58" spans="1:7" ht="15" customHeight="1">
      <c r="A58" s="6" t="s">
        <v>1</v>
      </c>
      <c r="C58" s="69">
        <f>70+100+130</f>
        <v>300</v>
      </c>
      <c r="D58" s="67">
        <v>1000</v>
      </c>
      <c r="E58" s="67">
        <f>100+76+330</f>
        <v>506</v>
      </c>
      <c r="F58" s="16" t="s">
        <v>179</v>
      </c>
    </row>
    <row r="59" spans="1:7" ht="15.75" customHeight="1" thickBot="1">
      <c r="A59" s="7" t="s">
        <v>2</v>
      </c>
      <c r="C59" s="70"/>
      <c r="D59" s="68"/>
      <c r="E59" s="68"/>
    </row>
    <row r="60" spans="1:7" ht="15.75" customHeight="1" thickBot="1">
      <c r="A60" s="8" t="s">
        <v>9</v>
      </c>
      <c r="C60" s="23">
        <f>2625+150</f>
        <v>2775</v>
      </c>
      <c r="D60" s="10">
        <f>(140*2*7)+(200*2)</f>
        <v>2360</v>
      </c>
      <c r="E60" s="5">
        <f>(119*3)*8+1818+(119)</f>
        <v>4793</v>
      </c>
      <c r="F60" s="16" t="s">
        <v>167</v>
      </c>
    </row>
    <row r="61" spans="1:7" ht="15.75" customHeight="1" thickBot="1">
      <c r="A61" s="6" t="s">
        <v>8</v>
      </c>
      <c r="C61" s="41">
        <v>1070</v>
      </c>
      <c r="D61" s="22">
        <f>(400*6)+(800)+(1000)</f>
        <v>4200</v>
      </c>
      <c r="E61" s="22">
        <f>(147.83*6)+807.61+ (2516.15/2)+239.4+210</f>
        <v>3402.0650000000001</v>
      </c>
      <c r="F61" s="58" t="s">
        <v>185</v>
      </c>
    </row>
    <row r="62" spans="1:7" ht="15.75" thickBot="1">
      <c r="A62" s="8" t="s">
        <v>3</v>
      </c>
      <c r="C62" s="24">
        <v>2498</v>
      </c>
      <c r="D62" s="10">
        <v>4000</v>
      </c>
      <c r="E62" s="10">
        <v>4300</v>
      </c>
      <c r="F62" s="16" t="s">
        <v>66</v>
      </c>
      <c r="G62" s="16"/>
    </row>
    <row r="63" spans="1:7" ht="16.5" customHeight="1" thickBot="1">
      <c r="A63" s="6" t="s">
        <v>4</v>
      </c>
      <c r="C63" s="41" t="s">
        <v>63</v>
      </c>
      <c r="D63" s="47" t="s">
        <v>63</v>
      </c>
      <c r="E63" s="54" t="s">
        <v>124</v>
      </c>
      <c r="F63" s="16" t="s">
        <v>168</v>
      </c>
    </row>
    <row r="64" spans="1:7" ht="15.75" thickBot="1">
      <c r="A64" s="11" t="s">
        <v>6</v>
      </c>
      <c r="C64" s="12">
        <f>SUM(C57:C62)</f>
        <v>17118</v>
      </c>
      <c r="D64" s="12">
        <f>SUM(D57:D62)</f>
        <v>21560</v>
      </c>
      <c r="E64" s="12">
        <f>SUM(E57:E62)</f>
        <v>23222.781999999999</v>
      </c>
      <c r="G64" s="26"/>
    </row>
    <row r="66" spans="1:3" ht="15.75" thickBot="1"/>
    <row r="67" spans="1:3" ht="15.75" thickBot="1">
      <c r="A67" s="14" t="s">
        <v>19</v>
      </c>
      <c r="B67" s="15">
        <f>SUM(D12,D25,D38,D64+D51)</f>
        <v>76300</v>
      </c>
    </row>
    <row r="68" spans="1:3" ht="15.75" thickBot="1">
      <c r="A68" s="14" t="s">
        <v>20</v>
      </c>
      <c r="B68" s="15">
        <f>SUM(E12,E25,E38,E64,E51)</f>
        <v>90936.891900000002</v>
      </c>
    </row>
    <row r="69" spans="1:3">
      <c r="A69" s="27" t="s">
        <v>17</v>
      </c>
      <c r="B69" s="28">
        <f>B67-B68</f>
        <v>-14636.891900000002</v>
      </c>
      <c r="C69" s="28"/>
    </row>
  </sheetData>
  <mergeCells count="15">
    <mergeCell ref="D58:D59"/>
    <mergeCell ref="E58:E59"/>
    <mergeCell ref="C19:C20"/>
    <mergeCell ref="C58:C59"/>
    <mergeCell ref="C6:C7"/>
    <mergeCell ref="C45:C46"/>
    <mergeCell ref="D6:D7"/>
    <mergeCell ref="E6:E7"/>
    <mergeCell ref="D19:D20"/>
    <mergeCell ref="E19:E20"/>
    <mergeCell ref="D45:D46"/>
    <mergeCell ref="E45:E46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E14" sqref="E14"/>
    </sheetView>
  </sheetViews>
  <sheetFormatPr defaultRowHeight="15"/>
  <cols>
    <col min="1" max="1" width="37.7109375" customWidth="1"/>
    <col min="2" max="2" width="13.85546875" customWidth="1"/>
    <col min="3" max="3" width="39.42578125" customWidth="1"/>
    <col min="4" max="4" width="50.28515625" customWidth="1"/>
    <col min="5" max="5" width="32.85546875" customWidth="1"/>
    <col min="6" max="6" width="12.140625" customWidth="1"/>
  </cols>
  <sheetData>
    <row r="1" spans="1:7">
      <c r="A1" s="13" t="s">
        <v>18</v>
      </c>
      <c r="B1" s="2"/>
      <c r="C1" s="2"/>
      <c r="D1" s="2"/>
    </row>
    <row r="2" spans="1:7">
      <c r="A2" s="3" t="s">
        <v>119</v>
      </c>
      <c r="B2" s="2"/>
      <c r="C2" s="2"/>
      <c r="D2" s="2"/>
    </row>
    <row r="3" spans="1:7">
      <c r="A3" t="s">
        <v>120</v>
      </c>
      <c r="D3" s="2"/>
    </row>
    <row r="4" spans="1:7" ht="16.5" customHeight="1" thickBot="1">
      <c r="A4" s="2"/>
      <c r="C4" s="9" t="s">
        <v>74</v>
      </c>
      <c r="D4" s="9" t="s">
        <v>75</v>
      </c>
      <c r="E4" s="9" t="s">
        <v>76</v>
      </c>
      <c r="F4" s="16"/>
    </row>
    <row r="5" spans="1:7" ht="15.75" thickBot="1">
      <c r="A5" s="4" t="s">
        <v>0</v>
      </c>
      <c r="B5" t="s">
        <v>16</v>
      </c>
      <c r="C5" s="5">
        <v>3200</v>
      </c>
      <c r="D5" s="5">
        <v>3500</v>
      </c>
      <c r="E5" s="5">
        <v>1695</v>
      </c>
      <c r="F5" s="21" t="s">
        <v>180</v>
      </c>
      <c r="G5" s="20"/>
    </row>
    <row r="6" spans="1:7">
      <c r="A6" s="6" t="s">
        <v>1</v>
      </c>
      <c r="C6" s="67">
        <f>915+100+111+166.52+196.35</f>
        <v>1488.87</v>
      </c>
      <c r="D6" s="67">
        <v>1000</v>
      </c>
      <c r="E6" s="67"/>
      <c r="F6" s="20"/>
    </row>
    <row r="7" spans="1:7" ht="15.75" thickBot="1">
      <c r="A7" s="7" t="s">
        <v>2</v>
      </c>
      <c r="C7" s="68"/>
      <c r="D7" s="68"/>
      <c r="E7" s="68"/>
    </row>
    <row r="8" spans="1:7" ht="15.75" thickBot="1">
      <c r="A8" s="8" t="s">
        <v>9</v>
      </c>
      <c r="C8" s="5">
        <v>1825</v>
      </c>
      <c r="D8" s="10">
        <f>160*3*2</f>
        <v>960</v>
      </c>
      <c r="E8" s="5">
        <v>2933</v>
      </c>
      <c r="F8" s="71">
        <f>(281.77*3)*2+(257.44*2)+(269*4)</f>
        <v>3281.5</v>
      </c>
      <c r="G8" s="16" t="s">
        <v>186</v>
      </c>
    </row>
    <row r="9" spans="1:7" ht="15.75" thickBot="1">
      <c r="A9" s="6" t="s">
        <v>8</v>
      </c>
      <c r="C9" s="40">
        <v>5820</v>
      </c>
      <c r="D9" s="33">
        <f>400+600</f>
        <v>1000</v>
      </c>
      <c r="E9" s="22">
        <f>(244.28*2)+680.37+650.63</f>
        <v>1819.56</v>
      </c>
    </row>
    <row r="10" spans="1:7" ht="15.75" thickBot="1">
      <c r="A10" s="8" t="s">
        <v>3</v>
      </c>
      <c r="C10" s="10">
        <v>180.44</v>
      </c>
      <c r="D10" s="10">
        <v>0</v>
      </c>
      <c r="E10" s="10"/>
      <c r="F10" s="16" t="s">
        <v>65</v>
      </c>
    </row>
    <row r="11" spans="1:7" ht="15.75" thickBot="1">
      <c r="A11" s="6" t="s">
        <v>4</v>
      </c>
      <c r="C11" s="40" t="s">
        <v>73</v>
      </c>
      <c r="D11" s="40" t="s">
        <v>69</v>
      </c>
      <c r="E11" s="22"/>
      <c r="F11" s="16" t="s">
        <v>96</v>
      </c>
    </row>
    <row r="12" spans="1:7" ht="15.75" thickBot="1">
      <c r="A12" s="11" t="s">
        <v>5</v>
      </c>
      <c r="C12" s="12">
        <f>SUM(C5:C10)</f>
        <v>12514.31</v>
      </c>
      <c r="D12" s="12">
        <f>SUM(D5:D10)</f>
        <v>6460</v>
      </c>
      <c r="E12" s="12">
        <f>SUM(E5:E10)</f>
        <v>6447.5599999999995</v>
      </c>
    </row>
    <row r="13" spans="1:7" s="30" customFormat="1">
      <c r="A13" s="29"/>
      <c r="C13" s="31"/>
      <c r="D13" s="31"/>
      <c r="E13" s="31"/>
    </row>
    <row r="14" spans="1:7">
      <c r="A14" s="13" t="s">
        <v>26</v>
      </c>
      <c r="B14" s="2"/>
      <c r="C14" s="2"/>
      <c r="D14" s="2"/>
    </row>
    <row r="15" spans="1:7">
      <c r="A15" s="3" t="s">
        <v>95</v>
      </c>
      <c r="B15" s="2"/>
      <c r="C15" s="2"/>
      <c r="D15" s="2"/>
    </row>
    <row r="16" spans="1:7">
      <c r="A16" t="s">
        <v>27</v>
      </c>
      <c r="D16" s="2"/>
    </row>
    <row r="17" spans="1:7" ht="15.75" thickBot="1">
      <c r="A17" s="2"/>
      <c r="C17" s="9" t="s">
        <v>74</v>
      </c>
      <c r="D17" s="9" t="s">
        <v>75</v>
      </c>
      <c r="E17" s="9" t="s">
        <v>76</v>
      </c>
    </row>
    <row r="18" spans="1:7" ht="15.75" thickBot="1">
      <c r="A18" s="4" t="s">
        <v>0</v>
      </c>
      <c r="B18" t="s">
        <v>16</v>
      </c>
      <c r="C18" s="10">
        <v>10477</v>
      </c>
      <c r="D18" s="5">
        <v>10000</v>
      </c>
      <c r="E18" s="5">
        <v>9816</v>
      </c>
      <c r="F18" t="s">
        <v>178</v>
      </c>
    </row>
    <row r="19" spans="1:7">
      <c r="A19" s="6" t="s">
        <v>1</v>
      </c>
      <c r="C19" s="67">
        <f>413+60+300+641.28</f>
        <v>1414.28</v>
      </c>
      <c r="D19" s="67">
        <v>1500</v>
      </c>
      <c r="E19" s="67">
        <v>184</v>
      </c>
      <c r="G19" s="16"/>
    </row>
    <row r="20" spans="1:7" ht="15.75" thickBot="1">
      <c r="A20" s="7" t="s">
        <v>2</v>
      </c>
      <c r="C20" s="68"/>
      <c r="D20" s="68"/>
      <c r="E20" s="68"/>
      <c r="F20" t="s">
        <v>176</v>
      </c>
    </row>
    <row r="21" spans="1:7" ht="15.75" thickBot="1">
      <c r="A21" s="8" t="s">
        <v>9</v>
      </c>
      <c r="C21" s="10">
        <f>4464.9+45+59</f>
        <v>4568.8999999999996</v>
      </c>
      <c r="D21" s="10">
        <f>(150*2*7)+(190*2)</f>
        <v>2480</v>
      </c>
      <c r="E21" s="5">
        <f>(197*2)*6</f>
        <v>2364</v>
      </c>
      <c r="F21" t="s">
        <v>171</v>
      </c>
    </row>
    <row r="22" spans="1:7" ht="15.75" thickBot="1">
      <c r="A22" s="6" t="s">
        <v>8</v>
      </c>
      <c r="C22" s="42">
        <f>9103.65-1305</f>
        <v>7798.65</v>
      </c>
      <c r="D22" s="22">
        <f>(900*7)+(1900)</f>
        <v>8200</v>
      </c>
      <c r="E22" s="22">
        <f>(1163*4)+(1331.06*2)</f>
        <v>7314.12</v>
      </c>
    </row>
    <row r="23" spans="1:7" ht="15.75" thickBot="1">
      <c r="A23" s="8" t="s">
        <v>3</v>
      </c>
      <c r="C23" s="10">
        <v>5720</v>
      </c>
      <c r="D23" s="10">
        <v>4000</v>
      </c>
      <c r="E23" s="10">
        <v>6800</v>
      </c>
      <c r="F23" s="16" t="s">
        <v>172</v>
      </c>
    </row>
    <row r="24" spans="1:7" ht="15.75" thickBot="1">
      <c r="A24" s="6" t="s">
        <v>4</v>
      </c>
      <c r="C24" s="40" t="s">
        <v>64</v>
      </c>
      <c r="D24" s="47" t="s">
        <v>92</v>
      </c>
      <c r="E24" s="66" t="s">
        <v>174</v>
      </c>
      <c r="F24" s="16" t="s">
        <v>177</v>
      </c>
    </row>
    <row r="25" spans="1:7" ht="15.75" thickBot="1">
      <c r="A25" s="11" t="s">
        <v>5</v>
      </c>
      <c r="C25" s="12">
        <f>SUM(C18:C23)</f>
        <v>29978.83</v>
      </c>
      <c r="D25" s="12">
        <f>SUM(D18:D23)</f>
        <v>26180</v>
      </c>
      <c r="E25" s="12">
        <f>SUM(E18:E23)</f>
        <v>26478.12</v>
      </c>
    </row>
    <row r="27" spans="1:7">
      <c r="A27" s="13" t="s">
        <v>52</v>
      </c>
      <c r="B27" s="2"/>
      <c r="C27" s="2"/>
      <c r="D27" s="2"/>
    </row>
    <row r="28" spans="1:7">
      <c r="A28" s="3" t="s">
        <v>54</v>
      </c>
      <c r="B28" s="2"/>
      <c r="C28" s="2"/>
      <c r="D28" s="2"/>
    </row>
    <row r="29" spans="1:7">
      <c r="A29" t="s">
        <v>53</v>
      </c>
      <c r="D29" s="2"/>
    </row>
    <row r="30" spans="1:7" ht="16.5" customHeight="1" thickBot="1">
      <c r="A30" s="2"/>
      <c r="C30" s="9" t="s">
        <v>7</v>
      </c>
      <c r="D30" s="9" t="s">
        <v>75</v>
      </c>
      <c r="E30" s="9" t="s">
        <v>76</v>
      </c>
      <c r="F30" s="16"/>
    </row>
    <row r="31" spans="1:7" ht="15.75" thickBot="1">
      <c r="A31" s="4" t="s">
        <v>0</v>
      </c>
      <c r="B31" t="s">
        <v>16</v>
      </c>
      <c r="C31" s="5"/>
      <c r="D31" s="5">
        <v>6000</v>
      </c>
      <c r="E31" s="5">
        <v>10212</v>
      </c>
      <c r="F31" s="21" t="s">
        <v>173</v>
      </c>
      <c r="G31" s="20"/>
    </row>
    <row r="32" spans="1:7">
      <c r="A32" s="6" t="s">
        <v>1</v>
      </c>
      <c r="C32" s="67"/>
      <c r="D32" s="67">
        <v>1200</v>
      </c>
      <c r="E32" s="67"/>
      <c r="F32" s="20"/>
    </row>
    <row r="33" spans="1:7" ht="15.75" thickBot="1">
      <c r="A33" s="7" t="s">
        <v>2</v>
      </c>
      <c r="C33" s="68"/>
      <c r="D33" s="68"/>
      <c r="E33" s="68"/>
    </row>
    <row r="34" spans="1:7" ht="15.75" thickBot="1">
      <c r="A34" s="8" t="s">
        <v>9</v>
      </c>
      <c r="C34" s="5"/>
      <c r="D34" s="10">
        <f>150*4*3</f>
        <v>1800</v>
      </c>
      <c r="E34" s="5"/>
      <c r="F34" s="16"/>
      <c r="G34" s="16"/>
    </row>
    <row r="35" spans="1:7" ht="15.75" thickBot="1">
      <c r="A35" s="6" t="s">
        <v>8</v>
      </c>
      <c r="C35" s="40"/>
      <c r="D35" s="33">
        <f>450*3</f>
        <v>1350</v>
      </c>
      <c r="E35" s="32"/>
    </row>
    <row r="36" spans="1:7" ht="15.75" thickBot="1">
      <c r="A36" s="8" t="s">
        <v>3</v>
      </c>
      <c r="C36" s="10"/>
      <c r="D36" s="10">
        <v>450</v>
      </c>
      <c r="E36" s="10">
        <v>10000</v>
      </c>
      <c r="F36" s="16" t="s">
        <v>166</v>
      </c>
    </row>
    <row r="37" spans="1:7" ht="15.75" thickBot="1">
      <c r="A37" s="6" t="s">
        <v>4</v>
      </c>
      <c r="C37" s="40"/>
      <c r="D37" s="33" t="s">
        <v>10</v>
      </c>
      <c r="E37" s="32"/>
      <c r="F37" s="16" t="s">
        <v>60</v>
      </c>
    </row>
    <row r="38" spans="1:7" ht="15.75" thickBot="1">
      <c r="A38" s="11" t="s">
        <v>5</v>
      </c>
      <c r="C38" s="12">
        <f>SUM(C31:C36)</f>
        <v>0</v>
      </c>
      <c r="D38" s="12">
        <f>SUM(D31:D36)</f>
        <v>10800</v>
      </c>
      <c r="E38" s="12">
        <f>SUM(E31:E36)</f>
        <v>20212</v>
      </c>
    </row>
    <row r="40" spans="1:7">
      <c r="A40" s="13" t="s">
        <v>50</v>
      </c>
      <c r="B40" s="2"/>
      <c r="C40" s="2"/>
      <c r="D40" s="2"/>
    </row>
    <row r="41" spans="1:7">
      <c r="A41" s="3" t="s">
        <v>51</v>
      </c>
      <c r="B41" s="2"/>
      <c r="C41" s="2"/>
      <c r="D41" s="2"/>
    </row>
    <row r="42" spans="1:7">
      <c r="A42" t="s">
        <v>28</v>
      </c>
      <c r="D42" s="2"/>
    </row>
    <row r="43" spans="1:7" ht="16.5" customHeight="1" thickBot="1">
      <c r="A43" s="2"/>
      <c r="C43" s="9" t="s">
        <v>74</v>
      </c>
      <c r="D43" s="9" t="s">
        <v>75</v>
      </c>
      <c r="E43" s="9" t="s">
        <v>76</v>
      </c>
      <c r="F43" s="16"/>
    </row>
    <row r="44" spans="1:7" ht="15.75" thickBot="1">
      <c r="A44" s="4" t="s">
        <v>0</v>
      </c>
      <c r="B44" t="s">
        <v>16</v>
      </c>
      <c r="C44" s="10">
        <v>10781</v>
      </c>
      <c r="D44" s="5">
        <v>10000</v>
      </c>
      <c r="E44" s="5" t="s">
        <v>97</v>
      </c>
      <c r="F44" s="21"/>
      <c r="G44" s="20"/>
    </row>
    <row r="45" spans="1:7">
      <c r="A45" s="6" t="s">
        <v>1</v>
      </c>
      <c r="C45" s="67">
        <f>80+930+1170+1500</f>
        <v>3680</v>
      </c>
      <c r="D45" s="67">
        <v>1500</v>
      </c>
      <c r="E45" s="67"/>
      <c r="F45" s="20"/>
    </row>
    <row r="46" spans="1:7" ht="15.75" thickBot="1">
      <c r="A46" s="7" t="s">
        <v>2</v>
      </c>
      <c r="C46" s="68"/>
      <c r="D46" s="68"/>
      <c r="E46" s="68"/>
    </row>
    <row r="47" spans="1:7" ht="15.75" thickBot="1">
      <c r="A47" s="8" t="s">
        <v>9</v>
      </c>
      <c r="C47" s="10">
        <f>5598+684-300</f>
        <v>5982</v>
      </c>
      <c r="D47" s="10">
        <f>(150*2*7)+(200*2)</f>
        <v>2500</v>
      </c>
      <c r="E47" s="5"/>
      <c r="F47" s="16"/>
      <c r="G47" s="16"/>
    </row>
    <row r="48" spans="1:7" ht="15.75" thickBot="1">
      <c r="A48" s="6" t="s">
        <v>8</v>
      </c>
      <c r="C48" s="40">
        <f>(836*4)+(2500*2)+642+450</f>
        <v>9436</v>
      </c>
      <c r="D48" s="33">
        <f>(1200*4)+(1900)+(600)</f>
        <v>7300</v>
      </c>
      <c r="E48" s="32"/>
    </row>
    <row r="49" spans="1:6" ht="15.75" thickBot="1">
      <c r="A49" s="8" t="s">
        <v>3</v>
      </c>
      <c r="C49" s="10">
        <v>0</v>
      </c>
      <c r="D49" s="10">
        <v>4500</v>
      </c>
      <c r="E49" s="10"/>
      <c r="F49" s="16" t="s">
        <v>66</v>
      </c>
    </row>
    <row r="50" spans="1:6" ht="15.75" thickBot="1">
      <c r="A50" s="6" t="s">
        <v>4</v>
      </c>
      <c r="C50" s="40" t="s">
        <v>71</v>
      </c>
      <c r="D50" s="48" t="s">
        <v>92</v>
      </c>
      <c r="E50" s="54" t="s">
        <v>124</v>
      </c>
      <c r="F50" s="16" t="s">
        <v>102</v>
      </c>
    </row>
    <row r="51" spans="1:6" ht="15.75" thickBot="1">
      <c r="A51" s="11" t="s">
        <v>5</v>
      </c>
      <c r="C51" s="12">
        <f>SUM(C44:C49)</f>
        <v>29879</v>
      </c>
      <c r="D51" s="12">
        <f>SUM(D44:D49)</f>
        <v>25800</v>
      </c>
      <c r="E51" s="12">
        <f>SUM(E44:E49)</f>
        <v>0</v>
      </c>
    </row>
    <row r="52" spans="1:6" s="30" customFormat="1">
      <c r="A52" s="29"/>
      <c r="C52" s="31"/>
      <c r="D52" s="31"/>
      <c r="E52" s="31"/>
    </row>
    <row r="53" spans="1:6" ht="15.75" thickBot="1"/>
    <row r="54" spans="1:6" ht="15.75" thickBot="1">
      <c r="A54" s="14" t="s">
        <v>21</v>
      </c>
      <c r="B54" s="15">
        <f>SUM(D25,D12,D38,D51)</f>
        <v>69240</v>
      </c>
    </row>
    <row r="55" spans="1:6" ht="15.75" thickBot="1">
      <c r="A55" s="14" t="s">
        <v>22</v>
      </c>
      <c r="B55" s="15">
        <f>SUM(E25,E12,E38,E51)</f>
        <v>53137.68</v>
      </c>
    </row>
    <row r="56" spans="1:6">
      <c r="A56" s="27" t="s">
        <v>17</v>
      </c>
      <c r="B56" s="28">
        <f>B54-B55</f>
        <v>16102.32</v>
      </c>
      <c r="C56" s="28"/>
    </row>
  </sheetData>
  <mergeCells count="12">
    <mergeCell ref="D6:D7"/>
    <mergeCell ref="E6:E7"/>
    <mergeCell ref="C19:C20"/>
    <mergeCell ref="C6:C7"/>
    <mergeCell ref="C45:C46"/>
    <mergeCell ref="C32:C33"/>
    <mergeCell ref="D45:D46"/>
    <mergeCell ref="E45:E46"/>
    <mergeCell ref="D32:D33"/>
    <mergeCell ref="E32:E33"/>
    <mergeCell ref="D19:D20"/>
    <mergeCell ref="E19:E2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opLeftCell="A61" workbookViewId="0">
      <selection activeCell="C73" sqref="C73"/>
    </sheetView>
  </sheetViews>
  <sheetFormatPr defaultRowHeight="15"/>
  <cols>
    <col min="1" max="1" width="40" customWidth="1"/>
    <col min="2" max="2" width="13.85546875" customWidth="1"/>
    <col min="3" max="3" width="35.7109375" customWidth="1"/>
    <col min="4" max="4" width="50.28515625" customWidth="1"/>
    <col min="5" max="5" width="32.85546875" customWidth="1"/>
    <col min="6" max="6" width="15.28515625" customWidth="1"/>
    <col min="7" max="7" width="13" customWidth="1"/>
  </cols>
  <sheetData>
    <row r="1" spans="1:6">
      <c r="A1" s="13" t="s">
        <v>29</v>
      </c>
      <c r="B1" s="2"/>
      <c r="C1" s="2"/>
      <c r="D1" s="2"/>
    </row>
    <row r="2" spans="1:6">
      <c r="A2" s="3" t="s">
        <v>170</v>
      </c>
      <c r="B2" s="2"/>
      <c r="C2" s="2"/>
      <c r="D2" s="2"/>
    </row>
    <row r="3" spans="1:6">
      <c r="A3" t="s">
        <v>30</v>
      </c>
      <c r="D3" s="2"/>
    </row>
    <row r="4" spans="1:6" ht="16.5" customHeight="1" thickBot="1">
      <c r="A4" s="2"/>
      <c r="C4" s="9" t="s">
        <v>74</v>
      </c>
      <c r="D4" s="9" t="s">
        <v>75</v>
      </c>
      <c r="E4" s="9" t="s">
        <v>76</v>
      </c>
      <c r="F4" s="16"/>
    </row>
    <row r="5" spans="1:6" ht="15.75" thickBot="1">
      <c r="A5" s="4" t="s">
        <v>0</v>
      </c>
      <c r="B5" t="s">
        <v>16</v>
      </c>
      <c r="C5" s="5">
        <v>3400</v>
      </c>
      <c r="D5" s="5">
        <v>3500</v>
      </c>
      <c r="E5" s="5">
        <v>3500</v>
      </c>
      <c r="F5" s="16"/>
    </row>
    <row r="6" spans="1:6">
      <c r="A6" s="6" t="s">
        <v>1</v>
      </c>
      <c r="C6" s="67">
        <f>590+450+235+165+17+150</f>
        <v>1607</v>
      </c>
      <c r="D6" s="67">
        <v>1200</v>
      </c>
      <c r="E6" s="67"/>
    </row>
    <row r="7" spans="1:6" ht="15.75" thickBot="1">
      <c r="A7" s="7" t="s">
        <v>2</v>
      </c>
      <c r="C7" s="68"/>
      <c r="D7" s="68"/>
      <c r="E7" s="68"/>
    </row>
    <row r="8" spans="1:6" ht="14.25" customHeight="1" thickBot="1">
      <c r="A8" s="8" t="s">
        <v>9</v>
      </c>
      <c r="C8" s="10">
        <v>2645.27</v>
      </c>
      <c r="D8" s="10">
        <f>170*4*2</f>
        <v>1360</v>
      </c>
      <c r="E8" s="10"/>
      <c r="F8" s="16"/>
    </row>
    <row r="9" spans="1:6" ht="16.5" customHeight="1" thickBot="1">
      <c r="A9" s="6" t="s">
        <v>8</v>
      </c>
      <c r="C9" s="40">
        <f>1693+1237</f>
        <v>2930</v>
      </c>
      <c r="D9" s="22">
        <f>1000*2</f>
        <v>2000</v>
      </c>
      <c r="E9" s="22"/>
    </row>
    <row r="10" spans="1:6" ht="15.75" thickBot="1">
      <c r="A10" s="8" t="s">
        <v>3</v>
      </c>
      <c r="C10" s="10">
        <v>0</v>
      </c>
      <c r="D10" s="10">
        <v>300</v>
      </c>
      <c r="E10" s="10"/>
      <c r="F10" s="16" t="s">
        <v>100</v>
      </c>
    </row>
    <row r="11" spans="1:6" ht="15.75" thickBot="1">
      <c r="A11" s="6" t="s">
        <v>4</v>
      </c>
      <c r="C11" s="40" t="s">
        <v>10</v>
      </c>
      <c r="D11" s="50" t="s">
        <v>69</v>
      </c>
      <c r="E11" s="22"/>
      <c r="F11" s="16" t="s">
        <v>105</v>
      </c>
    </row>
    <row r="12" spans="1:6" ht="15.75" thickBot="1">
      <c r="A12" s="11" t="s">
        <v>5</v>
      </c>
      <c r="C12" s="12">
        <f>SUM(C5:C10)</f>
        <v>10582.27</v>
      </c>
      <c r="D12" s="12">
        <f>SUM(D5:D10)</f>
        <v>8360</v>
      </c>
      <c r="E12" s="12">
        <f>SUM(E5:E10)</f>
        <v>3500</v>
      </c>
    </row>
    <row r="14" spans="1:6" s="30" customFormat="1">
      <c r="A14" s="13" t="s">
        <v>78</v>
      </c>
      <c r="B14" s="2"/>
      <c r="C14" s="2"/>
      <c r="D14" s="2"/>
      <c r="E14"/>
    </row>
    <row r="15" spans="1:6" s="30" customFormat="1">
      <c r="A15" s="3" t="s">
        <v>149</v>
      </c>
      <c r="B15" s="2"/>
      <c r="C15" s="2"/>
      <c r="D15" s="2"/>
      <c r="E15"/>
    </row>
    <row r="16" spans="1:6" s="30" customFormat="1">
      <c r="A16" t="s">
        <v>87</v>
      </c>
      <c r="B16"/>
      <c r="C16"/>
      <c r="D16" s="2"/>
      <c r="E16"/>
    </row>
    <row r="17" spans="1:6" s="30" customFormat="1" ht="15.75" thickBot="1">
      <c r="A17" s="2"/>
      <c r="B17"/>
      <c r="C17" s="9" t="s">
        <v>88</v>
      </c>
      <c r="D17" s="9" t="s">
        <v>75</v>
      </c>
      <c r="E17" s="9" t="s">
        <v>76</v>
      </c>
    </row>
    <row r="18" spans="1:6" s="30" customFormat="1" ht="15.75" thickBot="1">
      <c r="A18" s="4" t="s">
        <v>0</v>
      </c>
      <c r="B18" t="s">
        <v>16</v>
      </c>
      <c r="C18" s="10">
        <v>10781</v>
      </c>
      <c r="D18" s="5">
        <v>10000</v>
      </c>
      <c r="E18" s="5" t="s">
        <v>97</v>
      </c>
    </row>
    <row r="19" spans="1:6" s="30" customFormat="1">
      <c r="A19" s="6" t="s">
        <v>1</v>
      </c>
      <c r="B19"/>
      <c r="C19" s="67">
        <f>80+930+1170+1500</f>
        <v>3680</v>
      </c>
      <c r="D19" s="67">
        <v>1000</v>
      </c>
      <c r="E19" s="67"/>
    </row>
    <row r="20" spans="1:6" s="30" customFormat="1" ht="15.75" thickBot="1">
      <c r="A20" s="7" t="s">
        <v>2</v>
      </c>
      <c r="B20"/>
      <c r="C20" s="68"/>
      <c r="D20" s="68"/>
      <c r="E20" s="68"/>
    </row>
    <row r="21" spans="1:6" s="30" customFormat="1" ht="15.75" thickBot="1">
      <c r="A21" s="8" t="s">
        <v>9</v>
      </c>
      <c r="B21"/>
      <c r="C21" s="10">
        <f>5598+684-300</f>
        <v>5982</v>
      </c>
      <c r="D21" s="10">
        <f>(160*3*6)+(200*3)+(150)</f>
        <v>3630</v>
      </c>
      <c r="E21" s="10"/>
    </row>
    <row r="22" spans="1:6" s="30" customFormat="1" ht="15.75" thickBot="1">
      <c r="A22" s="6" t="s">
        <v>8</v>
      </c>
      <c r="B22"/>
      <c r="C22" s="40">
        <f>(836*4)+(2500*2)+642+450</f>
        <v>9436</v>
      </c>
      <c r="D22" s="40">
        <f>(1400*4)+(2500)+(600)+(400)</f>
        <v>9100</v>
      </c>
      <c r="E22" s="40"/>
    </row>
    <row r="23" spans="1:6" s="30" customFormat="1" ht="15.75" thickBot="1">
      <c r="A23" s="8" t="s">
        <v>3</v>
      </c>
      <c r="B23"/>
      <c r="C23" s="10">
        <v>0</v>
      </c>
      <c r="D23" s="10">
        <v>4500</v>
      </c>
      <c r="E23" s="10"/>
      <c r="F23" s="16" t="s">
        <v>89</v>
      </c>
    </row>
    <row r="24" spans="1:6" s="30" customFormat="1" ht="15.75" thickBot="1">
      <c r="A24" s="6" t="s">
        <v>4</v>
      </c>
      <c r="B24"/>
      <c r="C24" s="40" t="s">
        <v>71</v>
      </c>
      <c r="D24" s="50" t="s">
        <v>92</v>
      </c>
      <c r="E24" s="40"/>
      <c r="F24" s="16" t="s">
        <v>103</v>
      </c>
    </row>
    <row r="25" spans="1:6" s="30" customFormat="1" ht="15.75" thickBot="1">
      <c r="A25" s="11" t="s">
        <v>5</v>
      </c>
      <c r="B25"/>
      <c r="C25" s="12">
        <f>SUM(C18:C23)</f>
        <v>29879</v>
      </c>
      <c r="D25" s="12">
        <f>SUM(D18:D23)</f>
        <v>28230</v>
      </c>
      <c r="E25" s="12">
        <f>SUM(E18:E23)</f>
        <v>0</v>
      </c>
    </row>
    <row r="26" spans="1:6" s="30" customFormat="1">
      <c r="A26" s="29"/>
      <c r="C26" s="31"/>
      <c r="D26" s="31"/>
      <c r="E26" s="31"/>
    </row>
    <row r="27" spans="1:6" s="30" customFormat="1">
      <c r="A27" s="43" t="s">
        <v>72</v>
      </c>
    </row>
    <row r="28" spans="1:6" s="30" customFormat="1">
      <c r="A28" s="44" t="s">
        <v>84</v>
      </c>
    </row>
    <row r="29" spans="1:6" s="30" customFormat="1">
      <c r="A29" s="30" t="s">
        <v>85</v>
      </c>
    </row>
    <row r="30" spans="1:6" s="30" customFormat="1" ht="15.75" thickBot="1">
      <c r="C30" s="9" t="s">
        <v>86</v>
      </c>
      <c r="D30" s="9" t="s">
        <v>75</v>
      </c>
      <c r="E30" s="9" t="s">
        <v>76</v>
      </c>
    </row>
    <row r="31" spans="1:6" s="30" customFormat="1" ht="15.75" thickBot="1">
      <c r="A31" s="4" t="s">
        <v>0</v>
      </c>
      <c r="C31" s="5">
        <v>3200</v>
      </c>
      <c r="D31" s="5">
        <v>3500</v>
      </c>
      <c r="E31" s="5"/>
    </row>
    <row r="32" spans="1:6" s="30" customFormat="1">
      <c r="A32" s="6" t="s">
        <v>1</v>
      </c>
      <c r="C32" s="67">
        <f>106+890+2500</f>
        <v>3496</v>
      </c>
      <c r="D32" s="67">
        <v>1800</v>
      </c>
      <c r="E32" s="67"/>
    </row>
    <row r="33" spans="1:6" s="30" customFormat="1" ht="15.75" thickBot="1">
      <c r="A33" s="7" t="s">
        <v>2</v>
      </c>
      <c r="C33" s="68"/>
      <c r="D33" s="68"/>
      <c r="E33" s="68"/>
    </row>
    <row r="34" spans="1:6" s="30" customFormat="1" ht="15.75" thickBot="1">
      <c r="A34" s="8" t="s">
        <v>9</v>
      </c>
      <c r="C34" s="10">
        <f>683+50</f>
        <v>733</v>
      </c>
      <c r="D34" s="10">
        <f>(170*4*2)</f>
        <v>1360</v>
      </c>
      <c r="E34" s="10"/>
    </row>
    <row r="35" spans="1:6" s="30" customFormat="1" ht="15.75" thickBot="1">
      <c r="A35" s="6" t="s">
        <v>8</v>
      </c>
      <c r="C35" s="40">
        <f>733+216+100</f>
        <v>1049</v>
      </c>
      <c r="D35" s="40">
        <f>(250+600)</f>
        <v>850</v>
      </c>
      <c r="E35" s="40"/>
    </row>
    <row r="36" spans="1:6" s="30" customFormat="1" ht="15.75" thickBot="1">
      <c r="A36" s="8" t="s">
        <v>3</v>
      </c>
      <c r="C36" s="10">
        <v>0</v>
      </c>
      <c r="D36" s="10">
        <v>400</v>
      </c>
      <c r="E36" s="10"/>
      <c r="F36" s="16" t="s">
        <v>104</v>
      </c>
    </row>
    <row r="37" spans="1:6" s="30" customFormat="1" ht="15.75" thickBot="1">
      <c r="A37" s="6" t="s">
        <v>4</v>
      </c>
      <c r="C37" s="40" t="s">
        <v>73</v>
      </c>
      <c r="D37" s="50" t="s">
        <v>69</v>
      </c>
      <c r="E37" s="40"/>
      <c r="F37" s="16" t="s">
        <v>96</v>
      </c>
    </row>
    <row r="38" spans="1:6" s="30" customFormat="1" ht="15.75" thickBot="1">
      <c r="A38" s="11" t="s">
        <v>5</v>
      </c>
      <c r="C38" s="12">
        <f>SUM(C31:C36)</f>
        <v>8478</v>
      </c>
      <c r="D38" s="12">
        <f>SUM(D31:D36)</f>
        <v>7910</v>
      </c>
      <c r="E38" s="12">
        <f>SUM(E31:E36)</f>
        <v>0</v>
      </c>
    </row>
    <row r="39" spans="1:6" s="30" customFormat="1"/>
    <row r="40" spans="1:6" s="30" customFormat="1">
      <c r="A40" s="43" t="s">
        <v>79</v>
      </c>
    </row>
    <row r="41" spans="1:6" s="30" customFormat="1">
      <c r="A41" s="3" t="s">
        <v>56</v>
      </c>
    </row>
    <row r="42" spans="1:6" s="30" customFormat="1">
      <c r="A42" t="s">
        <v>91</v>
      </c>
    </row>
    <row r="43" spans="1:6" s="30" customFormat="1" ht="15.75" thickBot="1">
      <c r="C43" s="9" t="s">
        <v>83</v>
      </c>
      <c r="D43" s="52" t="s">
        <v>75</v>
      </c>
      <c r="E43" s="9" t="s">
        <v>76</v>
      </c>
    </row>
    <row r="44" spans="1:6" s="30" customFormat="1" ht="15.75" thickBot="1">
      <c r="A44" s="4" t="s">
        <v>0</v>
      </c>
      <c r="C44" s="5">
        <v>3400</v>
      </c>
      <c r="D44" s="5">
        <v>3500</v>
      </c>
      <c r="E44" s="5"/>
    </row>
    <row r="45" spans="1:6" s="30" customFormat="1">
      <c r="A45" s="6" t="s">
        <v>1</v>
      </c>
      <c r="C45" s="67">
        <f>590+450+235+165+17+150</f>
        <v>1607</v>
      </c>
      <c r="D45" s="67">
        <v>1200</v>
      </c>
      <c r="E45" s="67"/>
    </row>
    <row r="46" spans="1:6" s="30" customFormat="1" ht="15.75" thickBot="1">
      <c r="A46" s="7" t="s">
        <v>2</v>
      </c>
      <c r="C46" s="68"/>
      <c r="D46" s="68"/>
      <c r="E46" s="68"/>
    </row>
    <row r="47" spans="1:6" s="30" customFormat="1" ht="15.75" thickBot="1">
      <c r="A47" s="8" t="s">
        <v>9</v>
      </c>
      <c r="C47" s="10">
        <v>2645.27</v>
      </c>
      <c r="D47" s="10">
        <f>150*5*3</f>
        <v>2250</v>
      </c>
      <c r="E47" s="10"/>
    </row>
    <row r="48" spans="1:6" s="30" customFormat="1" ht="15.75" thickBot="1">
      <c r="A48" s="6" t="s">
        <v>8</v>
      </c>
      <c r="C48" s="40">
        <f>1693+1237</f>
        <v>2930</v>
      </c>
      <c r="D48" s="40">
        <f>1000*3</f>
        <v>3000</v>
      </c>
      <c r="E48" s="40"/>
    </row>
    <row r="49" spans="1:7" s="30" customFormat="1" ht="15.75" thickBot="1">
      <c r="A49" s="8" t="s">
        <v>3</v>
      </c>
      <c r="C49" s="10">
        <v>0</v>
      </c>
      <c r="D49" s="10">
        <v>500</v>
      </c>
      <c r="E49" s="10"/>
      <c r="F49" s="16" t="s">
        <v>100</v>
      </c>
      <c r="G49"/>
    </row>
    <row r="50" spans="1:7" s="30" customFormat="1" ht="15.75" thickBot="1">
      <c r="A50" s="6" t="s">
        <v>4</v>
      </c>
      <c r="C50" s="40" t="s">
        <v>10</v>
      </c>
      <c r="D50" s="40" t="s">
        <v>10</v>
      </c>
      <c r="E50" s="40"/>
      <c r="F50" s="16" t="s">
        <v>59</v>
      </c>
      <c r="G50"/>
    </row>
    <row r="51" spans="1:7" s="30" customFormat="1" ht="15.75" thickBot="1">
      <c r="A51" s="11" t="s">
        <v>5</v>
      </c>
      <c r="C51" s="12">
        <f>SUM(C44:C49)</f>
        <v>10582.27</v>
      </c>
      <c r="D51" s="12">
        <f>SUM(D44:D49)</f>
        <v>10450</v>
      </c>
      <c r="E51" s="12">
        <f>SUM(E44:E49)</f>
        <v>0</v>
      </c>
    </row>
    <row r="52" spans="1:7" s="30" customFormat="1">
      <c r="A52" s="29"/>
      <c r="C52" s="31"/>
      <c r="D52" s="31"/>
      <c r="E52" s="31"/>
    </row>
    <row r="53" spans="1:7" s="30" customFormat="1">
      <c r="A53" s="43" t="s">
        <v>111</v>
      </c>
    </row>
    <row r="54" spans="1:7" s="30" customFormat="1">
      <c r="A54" s="44" t="s">
        <v>107</v>
      </c>
    </row>
    <row r="55" spans="1:7" s="30" customFormat="1">
      <c r="A55" s="30" t="s">
        <v>108</v>
      </c>
    </row>
    <row r="56" spans="1:7" s="30" customFormat="1" ht="15.75" thickBot="1">
      <c r="C56" s="9" t="s">
        <v>80</v>
      </c>
      <c r="D56" s="52" t="s">
        <v>75</v>
      </c>
      <c r="E56" s="9" t="s">
        <v>76</v>
      </c>
    </row>
    <row r="57" spans="1:7" s="30" customFormat="1" ht="15.75" thickBot="1">
      <c r="A57" s="4" t="s">
        <v>0</v>
      </c>
      <c r="C57" s="5">
        <v>12000</v>
      </c>
      <c r="D57" s="5">
        <v>10000</v>
      </c>
      <c r="E57" s="5"/>
    </row>
    <row r="58" spans="1:7" s="30" customFormat="1">
      <c r="A58" s="6" t="s">
        <v>1</v>
      </c>
      <c r="C58" s="67">
        <v>0</v>
      </c>
      <c r="D58" s="67">
        <v>1000</v>
      </c>
      <c r="E58" s="67"/>
    </row>
    <row r="59" spans="1:7" s="30" customFormat="1" ht="15.75" thickBot="1">
      <c r="A59" s="7" t="s">
        <v>2</v>
      </c>
      <c r="C59" s="68"/>
      <c r="D59" s="68"/>
      <c r="E59" s="68"/>
    </row>
    <row r="60" spans="1:7" s="30" customFormat="1" ht="15.75" thickBot="1">
      <c r="A60" s="8" t="s">
        <v>9</v>
      </c>
      <c r="C60" s="5">
        <v>1956</v>
      </c>
      <c r="D60" s="5">
        <f>(140*5*2)</f>
        <v>1400</v>
      </c>
      <c r="E60" s="10"/>
    </row>
    <row r="61" spans="1:7" s="30" customFormat="1" ht="15.75" thickBot="1">
      <c r="A61" s="6" t="s">
        <v>8</v>
      </c>
      <c r="C61" s="51">
        <v>0</v>
      </c>
      <c r="D61" s="51">
        <f>(800*2)</f>
        <v>1600</v>
      </c>
      <c r="E61" s="51"/>
    </row>
    <row r="62" spans="1:7" s="30" customFormat="1" ht="15.75" thickBot="1">
      <c r="A62" s="8" t="s">
        <v>3</v>
      </c>
      <c r="C62" s="10">
        <v>0</v>
      </c>
      <c r="D62" s="10">
        <v>4500</v>
      </c>
      <c r="E62" s="10"/>
      <c r="F62" s="16" t="s">
        <v>66</v>
      </c>
      <c r="G62"/>
    </row>
    <row r="63" spans="1:7" s="30" customFormat="1" ht="15.75" thickBot="1">
      <c r="A63" s="6" t="s">
        <v>4</v>
      </c>
      <c r="C63" s="51" t="s">
        <v>69</v>
      </c>
      <c r="D63" s="51" t="s">
        <v>69</v>
      </c>
      <c r="E63" s="51"/>
      <c r="F63" s="16" t="s">
        <v>115</v>
      </c>
      <c r="G63"/>
    </row>
    <row r="64" spans="1:7" s="30" customFormat="1" ht="15.75" thickBot="1">
      <c r="A64" s="11" t="s">
        <v>5</v>
      </c>
      <c r="C64" s="12">
        <f>SUM(C57:C62)</f>
        <v>13956</v>
      </c>
      <c r="D64" s="12">
        <f>SUM(D57:D62)</f>
        <v>18500</v>
      </c>
      <c r="E64" s="12">
        <f>SUM(E57:E62)</f>
        <v>0</v>
      </c>
    </row>
    <row r="65" spans="1:7" s="30" customFormat="1"/>
    <row r="66" spans="1:7" s="30" customFormat="1">
      <c r="A66" s="43" t="s">
        <v>109</v>
      </c>
    </row>
    <row r="67" spans="1:7" s="30" customFormat="1">
      <c r="A67" s="44" t="s">
        <v>133</v>
      </c>
    </row>
    <row r="68" spans="1:7" s="30" customFormat="1">
      <c r="A68" s="30" t="s">
        <v>110</v>
      </c>
    </row>
    <row r="69" spans="1:7" s="30" customFormat="1" ht="15.75" thickBot="1">
      <c r="C69" s="9" t="s">
        <v>86</v>
      </c>
      <c r="D69" s="52" t="s">
        <v>75</v>
      </c>
      <c r="E69" s="9" t="s">
        <v>76</v>
      </c>
    </row>
    <row r="70" spans="1:7" s="30" customFormat="1" ht="15.75" thickBot="1">
      <c r="A70" s="4" t="s">
        <v>0</v>
      </c>
      <c r="C70" s="5"/>
      <c r="D70" s="5">
        <v>7500</v>
      </c>
      <c r="E70" s="5"/>
    </row>
    <row r="71" spans="1:7" s="30" customFormat="1">
      <c r="A71" s="6" t="s">
        <v>1</v>
      </c>
      <c r="C71" s="67"/>
      <c r="D71" s="67">
        <v>1800</v>
      </c>
      <c r="E71" s="67"/>
    </row>
    <row r="72" spans="1:7" s="30" customFormat="1" ht="15.75" thickBot="1">
      <c r="A72" s="7" t="s">
        <v>2</v>
      </c>
      <c r="C72" s="68"/>
      <c r="D72" s="68"/>
      <c r="E72" s="68"/>
    </row>
    <row r="73" spans="1:7" s="30" customFormat="1" ht="15.75" thickBot="1">
      <c r="A73" s="8" t="s">
        <v>9</v>
      </c>
      <c r="C73" s="10"/>
      <c r="D73" s="10">
        <f>(150*5*4)</f>
        <v>3000</v>
      </c>
      <c r="E73" s="10"/>
    </row>
    <row r="74" spans="1:7" s="30" customFormat="1" ht="15.75" thickBot="1">
      <c r="A74" s="6" t="s">
        <v>8</v>
      </c>
      <c r="C74" s="51"/>
      <c r="D74" s="51">
        <f>800*4</f>
        <v>3200</v>
      </c>
      <c r="E74" s="51"/>
    </row>
    <row r="75" spans="1:7" s="30" customFormat="1" ht="15.75" thickBot="1">
      <c r="A75" s="8" t="s">
        <v>3</v>
      </c>
      <c r="C75" s="10"/>
      <c r="D75" s="10">
        <v>600</v>
      </c>
      <c r="E75" s="10"/>
      <c r="F75" s="49" t="s">
        <v>114</v>
      </c>
      <c r="G75" s="49"/>
    </row>
    <row r="76" spans="1:7" s="30" customFormat="1" ht="15.75" thickBot="1">
      <c r="A76" s="6" t="s">
        <v>4</v>
      </c>
      <c r="C76" s="51"/>
      <c r="D76" s="51" t="s">
        <v>112</v>
      </c>
      <c r="E76" s="51"/>
      <c r="F76" s="49" t="s">
        <v>113</v>
      </c>
    </row>
    <row r="77" spans="1:7" s="30" customFormat="1" ht="15.75" thickBot="1">
      <c r="A77" s="11" t="s">
        <v>5</v>
      </c>
      <c r="C77" s="12">
        <f>SUM(C70:C75)</f>
        <v>0</v>
      </c>
      <c r="D77" s="12">
        <f>SUM(D70:D75)</f>
        <v>16100</v>
      </c>
      <c r="E77" s="12">
        <f>SUM(E70:E75)</f>
        <v>0</v>
      </c>
    </row>
    <row r="78" spans="1:7" s="30" customFormat="1">
      <c r="A78" s="29"/>
      <c r="C78" s="31"/>
      <c r="D78" s="31"/>
      <c r="E78" s="31"/>
    </row>
    <row r="79" spans="1:7">
      <c r="A79" s="13" t="s">
        <v>23</v>
      </c>
      <c r="B79" s="2"/>
      <c r="C79" s="2"/>
      <c r="D79" s="2"/>
    </row>
    <row r="80" spans="1:7">
      <c r="A80" s="3" t="s">
        <v>129</v>
      </c>
      <c r="B80" s="2"/>
      <c r="C80" s="2"/>
      <c r="D80" s="2"/>
    </row>
    <row r="81" spans="1:6">
      <c r="A81" t="s">
        <v>55</v>
      </c>
      <c r="D81" s="2"/>
    </row>
    <row r="82" spans="1:6" ht="15.75" thickBot="1">
      <c r="A82" s="2"/>
      <c r="C82" s="9" t="s">
        <v>82</v>
      </c>
      <c r="D82" s="9" t="s">
        <v>75</v>
      </c>
      <c r="E82" s="9" t="s">
        <v>76</v>
      </c>
    </row>
    <row r="83" spans="1:6" ht="15.75" thickBot="1">
      <c r="A83" s="4" t="s">
        <v>0</v>
      </c>
      <c r="B83" t="s">
        <v>16</v>
      </c>
      <c r="C83" s="5">
        <v>8763</v>
      </c>
      <c r="D83" s="5">
        <v>8000</v>
      </c>
      <c r="E83" s="5">
        <v>6212</v>
      </c>
    </row>
    <row r="84" spans="1:6">
      <c r="A84" s="6" t="s">
        <v>1</v>
      </c>
      <c r="C84" s="67"/>
      <c r="D84" s="67">
        <v>1000</v>
      </c>
      <c r="E84" s="67"/>
    </row>
    <row r="85" spans="1:6" ht="15.75" thickBot="1">
      <c r="A85" s="7" t="s">
        <v>2</v>
      </c>
      <c r="C85" s="68"/>
      <c r="D85" s="68"/>
      <c r="E85" s="68"/>
    </row>
    <row r="86" spans="1:6" ht="15.75" thickBot="1">
      <c r="A86" s="8" t="s">
        <v>9</v>
      </c>
      <c r="C86" s="5">
        <v>4000</v>
      </c>
      <c r="D86" s="10">
        <f>(170*4*7)</f>
        <v>4760</v>
      </c>
      <c r="E86" s="10">
        <f>(215*5)*11</f>
        <v>11825</v>
      </c>
    </row>
    <row r="87" spans="1:6" ht="15.75" thickBot="1">
      <c r="A87" s="6" t="s">
        <v>8</v>
      </c>
      <c r="C87" s="40">
        <v>580</v>
      </c>
      <c r="D87" s="22">
        <f>(500*4)+(1000*2)+(1400)</f>
        <v>5400</v>
      </c>
      <c r="E87" s="22"/>
    </row>
    <row r="88" spans="1:6" ht="15.75" thickBot="1">
      <c r="A88" s="8" t="s">
        <v>3</v>
      </c>
      <c r="C88" s="10">
        <v>8850</v>
      </c>
      <c r="D88" s="10">
        <v>6000</v>
      </c>
      <c r="E88" s="10"/>
      <c r="F88" s="16" t="s">
        <v>66</v>
      </c>
    </row>
    <row r="89" spans="1:6" ht="15.75" thickBot="1">
      <c r="A89" s="6" t="s">
        <v>4</v>
      </c>
      <c r="C89" s="40" t="s">
        <v>24</v>
      </c>
      <c r="D89" s="50" t="s">
        <v>90</v>
      </c>
      <c r="E89" s="66" t="s">
        <v>175</v>
      </c>
      <c r="F89" s="16" t="s">
        <v>106</v>
      </c>
    </row>
    <row r="90" spans="1:6" ht="15.75" thickBot="1">
      <c r="A90" s="11" t="s">
        <v>5</v>
      </c>
      <c r="C90" s="12">
        <f>SUM(C83:C88)</f>
        <v>22193</v>
      </c>
      <c r="D90" s="12">
        <f>SUM(D83:D88)</f>
        <v>25160</v>
      </c>
      <c r="E90" s="12">
        <f>SUM(E83:E88)</f>
        <v>18037</v>
      </c>
    </row>
    <row r="91" spans="1:6" ht="16.5" customHeight="1">
      <c r="A91" s="29"/>
      <c r="B91" s="30"/>
      <c r="C91" s="30"/>
      <c r="D91" s="31"/>
      <c r="E91" s="31"/>
    </row>
    <row r="92" spans="1:6">
      <c r="A92" s="13" t="s">
        <v>31</v>
      </c>
      <c r="B92" s="2"/>
      <c r="C92" s="2"/>
      <c r="D92" s="2"/>
    </row>
    <row r="93" spans="1:6">
      <c r="A93" s="3" t="s">
        <v>101</v>
      </c>
      <c r="B93" s="2"/>
      <c r="C93" s="2"/>
      <c r="D93" s="2"/>
    </row>
    <row r="94" spans="1:6">
      <c r="A94" t="s">
        <v>15</v>
      </c>
      <c r="D94" s="2"/>
    </row>
    <row r="95" spans="1:6" ht="15.75" thickBot="1">
      <c r="A95" s="2"/>
      <c r="C95" s="9" t="s">
        <v>7</v>
      </c>
      <c r="D95" s="9" t="s">
        <v>75</v>
      </c>
      <c r="E95" s="9" t="s">
        <v>76</v>
      </c>
    </row>
    <row r="96" spans="1:6" ht="15.75" thickBot="1">
      <c r="A96" s="4" t="s">
        <v>0</v>
      </c>
      <c r="B96" t="s">
        <v>16</v>
      </c>
      <c r="C96" s="5">
        <v>11235</v>
      </c>
      <c r="D96" s="5">
        <v>10000</v>
      </c>
      <c r="E96" s="5" t="s">
        <v>97</v>
      </c>
    </row>
    <row r="97" spans="1:6">
      <c r="A97" s="6" t="s">
        <v>1</v>
      </c>
      <c r="C97" s="67"/>
      <c r="D97" s="67">
        <v>1000</v>
      </c>
      <c r="E97" s="67"/>
    </row>
    <row r="98" spans="1:6" ht="15.75" thickBot="1">
      <c r="A98" s="7" t="s">
        <v>2</v>
      </c>
      <c r="C98" s="68"/>
      <c r="D98" s="68"/>
      <c r="E98" s="68"/>
    </row>
    <row r="99" spans="1:6" ht="15.75" thickBot="1">
      <c r="A99" s="8" t="s">
        <v>9</v>
      </c>
      <c r="C99" s="10">
        <f>904+678+626</f>
        <v>2208</v>
      </c>
      <c r="D99" s="10">
        <f>(180*2*7)+(240*2)</f>
        <v>3000</v>
      </c>
      <c r="E99" s="10"/>
    </row>
    <row r="100" spans="1:6" ht="15.75" thickBot="1">
      <c r="A100" s="6" t="s">
        <v>8</v>
      </c>
      <c r="C100" s="40">
        <f>(412*2)+ (685*3)+ (658*2)</f>
        <v>4195</v>
      </c>
      <c r="D100" s="22">
        <f>(1000*5)+(400*2)+(1900)</f>
        <v>7700</v>
      </c>
      <c r="E100" s="22"/>
    </row>
    <row r="101" spans="1:6" ht="15.75" thickBot="1">
      <c r="A101" s="8" t="s">
        <v>3</v>
      </c>
      <c r="C101" s="10"/>
      <c r="D101" s="10">
        <v>4000</v>
      </c>
      <c r="E101" s="10"/>
      <c r="F101" s="16" t="s">
        <v>66</v>
      </c>
    </row>
    <row r="102" spans="1:6" ht="15.75" thickBot="1">
      <c r="A102" s="6" t="s">
        <v>4</v>
      </c>
      <c r="C102" s="40"/>
      <c r="D102" s="50" t="s">
        <v>92</v>
      </c>
      <c r="E102" s="22"/>
      <c r="F102" s="16" t="s">
        <v>67</v>
      </c>
    </row>
    <row r="103" spans="1:6" ht="15.75" thickBot="1">
      <c r="A103" s="11" t="s">
        <v>5</v>
      </c>
      <c r="C103" s="12">
        <f>SUM(C96:C101)</f>
        <v>17638</v>
      </c>
      <c r="D103" s="12">
        <f>SUM(D96:D101)</f>
        <v>25700</v>
      </c>
      <c r="E103" s="12">
        <f>SUM(E96:E101)</f>
        <v>0</v>
      </c>
    </row>
    <row r="105" spans="1:6" ht="15.75" thickBot="1"/>
    <row r="106" spans="1:6" ht="15.75" thickBot="1">
      <c r="A106" s="14" t="s">
        <v>57</v>
      </c>
      <c r="B106" s="15">
        <f>SUM(D90,D12,D38,D25,D51,D64,D77,D103)</f>
        <v>140410</v>
      </c>
    </row>
    <row r="107" spans="1:6" ht="15.75" thickBot="1">
      <c r="A107" s="14" t="s">
        <v>58</v>
      </c>
      <c r="B107" s="15">
        <f>SUM(E90,E12,E38,E25,E51,E103)</f>
        <v>21537</v>
      </c>
    </row>
    <row r="108" spans="1:6">
      <c r="A108" s="17" t="s">
        <v>17</v>
      </c>
      <c r="B108" s="28">
        <f>B106-B107</f>
        <v>118873</v>
      </c>
      <c r="C108" s="18"/>
    </row>
    <row r="109" spans="1:6">
      <c r="E109" s="19"/>
    </row>
    <row r="113" spans="1:5">
      <c r="A113" s="29"/>
      <c r="B113" s="30"/>
      <c r="C113" s="30"/>
      <c r="D113" s="31"/>
      <c r="E113" s="31"/>
    </row>
    <row r="114" spans="1:5">
      <c r="A114" s="29"/>
      <c r="B114" s="30"/>
      <c r="C114" s="30"/>
      <c r="D114" s="31"/>
      <c r="E114" s="31"/>
    </row>
    <row r="115" spans="1:5">
      <c r="A115" s="29"/>
      <c r="B115" s="30"/>
      <c r="C115" s="30"/>
      <c r="D115" s="31"/>
      <c r="E115" s="31"/>
    </row>
  </sheetData>
  <mergeCells count="24">
    <mergeCell ref="E84:E85"/>
    <mergeCell ref="D97:D98"/>
    <mergeCell ref="E97:E98"/>
    <mergeCell ref="C6:C7"/>
    <mergeCell ref="C84:C85"/>
    <mergeCell ref="C32:C33"/>
    <mergeCell ref="D32:D33"/>
    <mergeCell ref="D84:D85"/>
    <mergeCell ref="D6:D7"/>
    <mergeCell ref="E6:E7"/>
    <mergeCell ref="E32:E33"/>
    <mergeCell ref="D19:D20"/>
    <mergeCell ref="E19:E20"/>
    <mergeCell ref="C97:C98"/>
    <mergeCell ref="C19:C20"/>
    <mergeCell ref="C45:C46"/>
    <mergeCell ref="E45:E46"/>
    <mergeCell ref="C58:C59"/>
    <mergeCell ref="D58:D59"/>
    <mergeCell ref="E58:E59"/>
    <mergeCell ref="C71:C72"/>
    <mergeCell ref="D71:D72"/>
    <mergeCell ref="E71:E72"/>
    <mergeCell ref="D45:D4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6" sqref="B6"/>
    </sheetView>
  </sheetViews>
  <sheetFormatPr defaultRowHeight="15"/>
  <cols>
    <col min="1" max="1" width="33.7109375" customWidth="1"/>
    <col min="2" max="2" width="29.7109375" customWidth="1"/>
  </cols>
  <sheetData>
    <row r="1" spans="1:2" ht="27.75" customHeight="1" thickBot="1">
      <c r="A1" s="34" t="s">
        <v>61</v>
      </c>
      <c r="B1" s="35">
        <f>SUM('1Q'!B54+'2Q'!B67+'3Q'!B54+'4Q'!B106)</f>
        <v>353320</v>
      </c>
    </row>
    <row r="2" spans="1:2" ht="28.5" customHeight="1" thickBot="1">
      <c r="A2" s="36" t="s">
        <v>62</v>
      </c>
      <c r="B2" s="37">
        <f>SUM('1Q'!B55+'2Q'!B68+'3Q'!B55+'4Q'!B107)</f>
        <v>251188.9019</v>
      </c>
    </row>
    <row r="3" spans="1:2" ht="25.5" customHeight="1" thickBot="1">
      <c r="A3" s="38" t="s">
        <v>17</v>
      </c>
      <c r="B3" s="39">
        <f>B1-B2</f>
        <v>102131.0981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1Q</vt:lpstr>
      <vt:lpstr>2Q</vt:lpstr>
      <vt:lpstr>3Q</vt:lpstr>
      <vt:lpstr>4Q</vt:lpstr>
      <vt:lpstr>FINAL</vt:lpstr>
      <vt:lpstr>'1Q'!Area_stampa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2015-07-01T11:02:24Z</dcterms:modified>
</cp:coreProperties>
</file>