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3"/>
  </bookViews>
  <sheets>
    <sheet name="1Q" sheetId="1" r:id="rId1"/>
    <sheet name="2Q" sheetId="2" r:id="rId2"/>
    <sheet name="3Q" sheetId="5" r:id="rId3"/>
    <sheet name="4Q" sheetId="6" r:id="rId4"/>
    <sheet name="FINAL" sheetId="8" r:id="rId5"/>
  </sheets>
  <calcPr calcId="125725"/>
</workbook>
</file>

<file path=xl/calcChain.xml><?xml version="1.0" encoding="utf-8"?>
<calcChain xmlns="http://schemas.openxmlformats.org/spreadsheetml/2006/main">
  <c r="D137" i="6"/>
  <c r="D75"/>
  <c r="D8"/>
  <c r="D49"/>
  <c r="D19" i="5"/>
  <c r="D71" i="6"/>
  <c r="D19"/>
  <c r="D125"/>
  <c r="D12"/>
  <c r="B82" i="2"/>
  <c r="D77"/>
  <c r="D64"/>
  <c r="D51"/>
  <c r="D38"/>
  <c r="D25"/>
  <c r="D12"/>
  <c r="D140" i="6"/>
  <c r="D143" l="1"/>
  <c r="D51"/>
  <c r="C19" i="8" s="1"/>
  <c r="D87" i="6"/>
  <c r="D9"/>
  <c r="D126"/>
  <c r="D22"/>
  <c r="D77"/>
  <c r="F77" s="1"/>
  <c r="D74"/>
  <c r="D64"/>
  <c r="F64" s="1"/>
  <c r="D61"/>
  <c r="D45"/>
  <c r="D73"/>
  <c r="D60"/>
  <c r="D6"/>
  <c r="D74" i="2"/>
  <c r="F38" i="6"/>
  <c r="D9" i="5"/>
  <c r="F64" i="2"/>
  <c r="D6" i="5"/>
  <c r="D8"/>
  <c r="C23" i="8"/>
  <c r="B23"/>
  <c r="D103" i="6"/>
  <c r="F103" s="1"/>
  <c r="C103"/>
  <c r="D8" i="1"/>
  <c r="D12"/>
  <c r="C2" i="8"/>
  <c r="D12" i="5"/>
  <c r="F12"/>
  <c r="C64" i="6"/>
  <c r="B20" i="8"/>
  <c r="B14"/>
  <c r="B15"/>
  <c r="C3"/>
  <c r="C4"/>
  <c r="C5"/>
  <c r="C6"/>
  <c r="C7"/>
  <c r="C8"/>
  <c r="C9"/>
  <c r="C11"/>
  <c r="B2"/>
  <c r="B3"/>
  <c r="B4"/>
  <c r="B5"/>
  <c r="B6"/>
  <c r="B7"/>
  <c r="B8"/>
  <c r="B9"/>
  <c r="B10"/>
  <c r="B11"/>
  <c r="B12"/>
  <c r="D90" i="6"/>
  <c r="F90" s="1"/>
  <c r="D116"/>
  <c r="F116" s="1"/>
  <c r="C90"/>
  <c r="B22" i="8"/>
  <c r="C116" i="6"/>
  <c r="B24" i="8"/>
  <c r="D71" i="2"/>
  <c r="D47"/>
  <c r="D45"/>
  <c r="C64"/>
  <c r="D19"/>
  <c r="F51"/>
  <c r="B67" i="1"/>
  <c r="C12" i="6"/>
  <c r="B16" i="8"/>
  <c r="C25" i="6"/>
  <c r="B17" i="8"/>
  <c r="C38" i="6"/>
  <c r="C77"/>
  <c r="B21" i="8"/>
  <c r="C129" i="6"/>
  <c r="B25" i="8"/>
  <c r="C51" i="6"/>
  <c r="B19" i="8"/>
  <c r="C143" i="6"/>
  <c r="B26" i="8"/>
  <c r="B68" i="1"/>
  <c r="D62"/>
  <c r="C51" i="2"/>
  <c r="C38"/>
  <c r="B81"/>
  <c r="D9" i="1"/>
  <c r="D45"/>
  <c r="D61"/>
  <c r="D34"/>
  <c r="D35"/>
  <c r="B29" i="5"/>
  <c r="D38" i="6"/>
  <c r="C18" i="8"/>
  <c r="D25" i="6"/>
  <c r="F25" s="1"/>
  <c r="C25" i="5"/>
  <c r="C77" i="2"/>
  <c r="C12" i="8"/>
  <c r="C12" i="5"/>
  <c r="D51" i="1"/>
  <c r="D25"/>
  <c r="F12" i="2"/>
  <c r="C25"/>
  <c r="C12"/>
  <c r="D64" i="1"/>
  <c r="C51"/>
  <c r="F51"/>
  <c r="C64"/>
  <c r="C25"/>
  <c r="D38"/>
  <c r="C38"/>
  <c r="C12"/>
  <c r="F12"/>
  <c r="F38"/>
  <c r="F64"/>
  <c r="F25"/>
  <c r="D25" i="5"/>
  <c r="B30" s="1"/>
  <c r="B31" s="1"/>
  <c r="B69" i="1"/>
  <c r="F38" i="2"/>
  <c r="F25"/>
  <c r="C21" i="8"/>
  <c r="C10"/>
  <c r="C14"/>
  <c r="B146" i="6"/>
  <c r="B18" i="8"/>
  <c r="F77" i="2"/>
  <c r="C24" i="8" l="1"/>
  <c r="F25" i="5"/>
  <c r="C15" i="8"/>
  <c r="C17"/>
  <c r="C20"/>
  <c r="B27"/>
  <c r="B28"/>
  <c r="B13"/>
  <c r="C13"/>
  <c r="B83" i="2"/>
  <c r="D129" i="6"/>
  <c r="F143"/>
  <c r="C26" i="8"/>
  <c r="C22"/>
  <c r="F51" i="6"/>
  <c r="F129" l="1"/>
  <c r="B147"/>
  <c r="C25" i="8"/>
  <c r="C16"/>
  <c r="F12" i="6"/>
  <c r="C27" i="8" l="1"/>
  <c r="C28"/>
  <c r="B29" s="1"/>
  <c r="B148" i="6"/>
</calcChain>
</file>

<file path=xl/sharedStrings.xml><?xml version="1.0" encoding="utf-8"?>
<sst xmlns="http://schemas.openxmlformats.org/spreadsheetml/2006/main" count="500" uniqueCount="180">
  <si>
    <t xml:space="preserve">Exposition Fee </t>
  </si>
  <si>
    <t xml:space="preserve">Exposition costs </t>
  </si>
  <si>
    <t xml:space="preserve">(Meeting room, Speech, Furniture etc.) </t>
  </si>
  <si>
    <t xml:space="preserve">Stand shipping/construction </t>
  </si>
  <si>
    <t xml:space="preserve">HT Team </t>
  </si>
  <si>
    <t>TOTAL COST</t>
  </si>
  <si>
    <t xml:space="preserve">TOTAL COST </t>
  </si>
  <si>
    <t>BUDGET</t>
  </si>
  <si>
    <t>ACTUALS</t>
  </si>
  <si>
    <t>Flights</t>
  </si>
  <si>
    <t>Hotel</t>
  </si>
  <si>
    <t>2 Sales + 1 Field</t>
  </si>
  <si>
    <t>3 Sales + 3 Tech</t>
  </si>
  <si>
    <t>1Q BUDGET</t>
  </si>
  <si>
    <t>1Q ACTUALS</t>
  </si>
  <si>
    <t>HOSDB - Security&amp;Policing</t>
  </si>
  <si>
    <t>Farnborough - UK</t>
  </si>
  <si>
    <t>Kuala Lumpur - Malaysia</t>
  </si>
  <si>
    <t xml:space="preserve">                                                                                          </t>
  </si>
  <si>
    <t>Prague - Czech Republic</t>
  </si>
  <si>
    <t>June 17 - 19</t>
  </si>
  <si>
    <t>2 Sales + 1 Tech</t>
  </si>
  <si>
    <t xml:space="preserve">ACTUALS </t>
  </si>
  <si>
    <t>Delta</t>
  </si>
  <si>
    <t>NATIA</t>
  </si>
  <si>
    <t>2 Sales</t>
  </si>
  <si>
    <t>2Q BUDGET</t>
  </si>
  <si>
    <t>2Q ACTUALS</t>
  </si>
  <si>
    <t>3Q BUDGET</t>
  </si>
  <si>
    <t>3Q ACTUALS</t>
  </si>
  <si>
    <t>MILIPOL</t>
  </si>
  <si>
    <t>3 Sales + 1 Field</t>
  </si>
  <si>
    <t>1 Sales</t>
  </si>
  <si>
    <t>DEFEXPO INDIA - Land, Naval and Internal Homeland Security System Exhibition</t>
  </si>
  <si>
    <t>February 06 - 09</t>
  </si>
  <si>
    <t>New Delhi - India</t>
  </si>
  <si>
    <t>USD 10.516,89</t>
  </si>
  <si>
    <t>AFRICA SECURITY AND COUNTER TERRORISM SUMMIT</t>
  </si>
  <si>
    <t>February 27-28</t>
  </si>
  <si>
    <t xml:space="preserve">London - UK </t>
  </si>
  <si>
    <t>GBP 4.950,000</t>
  </si>
  <si>
    <t>ARMY SPONSORED</t>
  </si>
  <si>
    <t>February 27</t>
  </si>
  <si>
    <t>Ft. Belvoir - USA</t>
  </si>
  <si>
    <t>NS Velasco</t>
  </si>
  <si>
    <t>March 11 - 13</t>
  </si>
  <si>
    <t>ISS DUBAI</t>
  </si>
  <si>
    <t>March 03 - 05</t>
  </si>
  <si>
    <t>Dubai - UAE</t>
  </si>
  <si>
    <t>USD 14.200,00</t>
  </si>
  <si>
    <t>GBP 5.316,00</t>
  </si>
  <si>
    <t xml:space="preserve">LAAD SECURITY </t>
  </si>
  <si>
    <t xml:space="preserve">April 08 - 10                                         </t>
  </si>
  <si>
    <t>DSA - Defense Services Asia</t>
  </si>
  <si>
    <t>April 14 -17</t>
  </si>
  <si>
    <t>Rio de Janeiro - Brasil</t>
  </si>
  <si>
    <t>IDEC XXXI</t>
  </si>
  <si>
    <t>Rome - Italy</t>
  </si>
  <si>
    <t>2 Sales  + 1 Field + 1 Mgmt</t>
  </si>
  <si>
    <t xml:space="preserve">ISS Johannesburg </t>
  </si>
  <si>
    <t>July 17 - 20</t>
  </si>
  <si>
    <t>Johannesburg - South Africa</t>
  </si>
  <si>
    <t>August 05 - 07</t>
  </si>
  <si>
    <t>San Diego - USA</t>
  </si>
  <si>
    <t>ISS WASHINGTON</t>
  </si>
  <si>
    <t>October 06 - 08</t>
  </si>
  <si>
    <t>Washington - USA</t>
  </si>
  <si>
    <t>2 Sales + 3 Tech + 2 Mgmt</t>
  </si>
  <si>
    <t xml:space="preserve">SEECAT </t>
  </si>
  <si>
    <t>October 15 - 17</t>
  </si>
  <si>
    <t>Tokyo - Japan</t>
  </si>
  <si>
    <t>FUTURE FORCES</t>
  </si>
  <si>
    <t>IACP</t>
  </si>
  <si>
    <t>October 26 - 28</t>
  </si>
  <si>
    <t>Orlando - USA</t>
  </si>
  <si>
    <t>INDODEFENCE</t>
  </si>
  <si>
    <t>Jakarta - Indonesia</t>
  </si>
  <si>
    <t>2 Sales + 2 Field</t>
  </si>
  <si>
    <t>Doha - Qatar</t>
  </si>
  <si>
    <t>ISS KUALA LUMPUR</t>
  </si>
  <si>
    <t>December 02 - 04</t>
  </si>
  <si>
    <t>3 Sales + 1 Field + 2 Tech + 2 Mgmt</t>
  </si>
  <si>
    <t>USD 11.114,20</t>
  </si>
  <si>
    <t>Spedizione Nomadic</t>
  </si>
  <si>
    <t>3 roll-up come bagaglio extra</t>
  </si>
  <si>
    <t>4 Sales + 3 Tech + 1 Field</t>
  </si>
  <si>
    <t>USD 6.500,00</t>
  </si>
  <si>
    <t>GBP 207,00</t>
  </si>
  <si>
    <t>USD 1.998 (Internet, LCD 42'' con stand, sedie, brochure rack, presa)</t>
  </si>
  <si>
    <t>GBP 989,00 Verificare su EC ISP</t>
  </si>
  <si>
    <t>USD 96,34 (tovaglia con logo)</t>
  </si>
  <si>
    <t>Rientro anticipato di 1 gg.</t>
  </si>
  <si>
    <t>Flyers</t>
  </si>
  <si>
    <t>National Security Australia Conference</t>
  </si>
  <si>
    <t>May 26 -27</t>
  </si>
  <si>
    <t>Sydney - Australia</t>
  </si>
  <si>
    <t>1 Sales + 1 Field</t>
  </si>
  <si>
    <t>AUD 6.820,00</t>
  </si>
  <si>
    <t>TV 32''</t>
  </si>
  <si>
    <t>Basic Booth YEN 475,200</t>
  </si>
  <si>
    <t>ISS PRAGA</t>
  </si>
  <si>
    <t>BUDGET 2014</t>
  </si>
  <si>
    <t>June 04 - 05</t>
  </si>
  <si>
    <t>Prague - CZ Republic</t>
  </si>
  <si>
    <t>Costruzione Pon</t>
  </si>
  <si>
    <t>2 Sales + 1 Field + 1 Mgmt</t>
  </si>
  <si>
    <t>3 Sales + 1 Field + 3 Tech + 1 Mgmt</t>
  </si>
  <si>
    <t>USD 8.494,00</t>
  </si>
  <si>
    <t>USD 1.315,00</t>
  </si>
  <si>
    <t>USD 12.830,00</t>
  </si>
  <si>
    <t>3 Sales + 1 Field (+ Hostess)</t>
  </si>
  <si>
    <t>Spedizione Roll-up</t>
  </si>
  <si>
    <t>October 20 - 22</t>
  </si>
  <si>
    <t>INTERPOL</t>
  </si>
  <si>
    <t>November 04 - 07</t>
  </si>
  <si>
    <t>November 05 - 08</t>
  </si>
  <si>
    <t>Monaco - Principato di Monaco</t>
  </si>
  <si>
    <t>4Q BUDGET</t>
  </si>
  <si>
    <t>4Q ACTUALS</t>
  </si>
  <si>
    <t>4 Sales + 3 Tech + 1 Mgmt</t>
  </si>
  <si>
    <t>USD 4350,00</t>
  </si>
  <si>
    <t xml:space="preserve">     -</t>
  </si>
  <si>
    <t xml:space="preserve">      -</t>
  </si>
  <si>
    <t>LATIN AMERICA&amp;CARIBBEAN SECURITY SUMMIT</t>
  </si>
  <si>
    <t>October 23 - 24</t>
  </si>
  <si>
    <t>Miami - USA</t>
  </si>
  <si>
    <t>USD 8.495</t>
  </si>
  <si>
    <t>June 11</t>
  </si>
  <si>
    <t>CyberWarfare - Italian Parliament</t>
  </si>
  <si>
    <t>-</t>
  </si>
  <si>
    <t>Treno</t>
  </si>
  <si>
    <t>1 Sales + 2 Tech</t>
  </si>
  <si>
    <t>Borse HT + Spedizione materiale</t>
  </si>
  <si>
    <t>Stampa flyers+Internet+Spedizione materiale</t>
  </si>
  <si>
    <t>ACTUAL</t>
  </si>
  <si>
    <t>DEFEXPO INDIA</t>
  </si>
  <si>
    <t>Internet line Private Room+Tracks</t>
  </si>
  <si>
    <t>Seminario Cyber</t>
  </si>
  <si>
    <t>October 29 - 31</t>
  </si>
  <si>
    <t>USD 2517 (3 rooms)</t>
  </si>
  <si>
    <t>ISS JOHANNESBURG</t>
  </si>
  <si>
    <t>BUDGET VS ACTUAL - 1°/2° Q</t>
  </si>
  <si>
    <t>BUDGET VS ACTUAL - 3°/4° Q</t>
  </si>
  <si>
    <t>BUDGET VS ACTUAL - FINAL</t>
  </si>
  <si>
    <t>SEMINARIO CYBER</t>
  </si>
  <si>
    <t>CYBERWARFARE - ITALIAN PARLIAMENT</t>
  </si>
  <si>
    <t>NATIONAL SECURITY AUSTRALIA CONFERENCE</t>
  </si>
  <si>
    <t>DSA - DEFENSE SERVICE ASIA</t>
  </si>
  <si>
    <t>HOSDB - SECURITY&amp;POLICING</t>
  </si>
  <si>
    <t>2nd Intelligence Service Conference</t>
  </si>
  <si>
    <t>October 31</t>
  </si>
  <si>
    <t>Berlin - Germany</t>
  </si>
  <si>
    <t>2nd INTELLIGENCE SERVICE CONFERENCE</t>
  </si>
  <si>
    <t>1 Sales + 2 Fae</t>
  </si>
  <si>
    <t>2 Sales + 1 FAE</t>
  </si>
  <si>
    <t>N. 3 i-Pad + electricity + flyers+spedizioni materiale</t>
  </si>
  <si>
    <t>Pon USA (spedizione ritorno)</t>
  </si>
  <si>
    <t>Flyers+Furniture</t>
  </si>
  <si>
    <t>2 Sales + 3 Tech + 1 field + 2 Mgmt</t>
  </si>
  <si>
    <t>Electricity+Internet</t>
  </si>
  <si>
    <t>Furniture&amp;TV</t>
  </si>
  <si>
    <t xml:space="preserve">TV </t>
  </si>
  <si>
    <t>Hotel+Auto</t>
  </si>
  <si>
    <t>1 Sales + 2 Field</t>
  </si>
  <si>
    <t xml:space="preserve">Meeting room + Internet&amp;TV + Internet tracks </t>
  </si>
  <si>
    <t>Electricity+ Internet</t>
  </si>
  <si>
    <t xml:space="preserve">9 Stanze + 2 Transfers </t>
  </si>
  <si>
    <t>Costo spedizione materiale</t>
  </si>
  <si>
    <t>DELTA</t>
  </si>
  <si>
    <t>IDR 1500000/notte + Transfer</t>
  </si>
  <si>
    <t>TV+Furniture+Internet+Parapet+Electricity</t>
  </si>
  <si>
    <t>Lighting connections+2 Sockets</t>
  </si>
  <si>
    <t xml:space="preserve">2 Stanze 02-08/11/14 </t>
  </si>
  <si>
    <t xml:space="preserve">Meeting room </t>
  </si>
  <si>
    <t>Costruzione+spedizone materiale</t>
  </si>
  <si>
    <t xml:space="preserve">Spedizione materiale </t>
  </si>
  <si>
    <t>Spedizione materiale+Spedizone Pon Orlando/Annapolis</t>
  </si>
  <si>
    <t xml:space="preserve">MYR 551/notte + MYR 1317/notte + Late check out </t>
  </si>
  <si>
    <t>Flyers+Admin Fee+Internet track</t>
  </si>
  <si>
    <t>Spedizione materiale rimborsata</t>
  </si>
</sst>
</file>

<file path=xl/styles.xml><?xml version="1.0" encoding="utf-8"?>
<styleSheet xmlns="http://schemas.openxmlformats.org/spreadsheetml/2006/main">
  <numFmts count="4">
    <numFmt numFmtId="6" formatCode="&quot;€&quot;\ #,##0;[Red]\-&quot;€&quot;\ #,##0"/>
    <numFmt numFmtId="8" formatCode="&quot;€&quot;\ #,##0.00;[Red]\-&quot;€&quot;\ #,##0.00"/>
    <numFmt numFmtId="164" formatCode="[$$-C09]#,##0"/>
    <numFmt numFmtId="165" formatCode="&quot;€&quot;\ 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</font>
    <font>
      <sz val="8"/>
      <color theme="1"/>
      <name val="Verdana"/>
      <family val="2"/>
    </font>
    <font>
      <sz val="11"/>
      <color rgb="FF1F497D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left" vertical="center" wrapText="1" indent="1" readingOrder="1"/>
    </xf>
    <xf numFmtId="8" fontId="4" fillId="3" borderId="1" xfId="0" applyNumberFormat="1" applyFont="1" applyFill="1" applyBorder="1" applyAlignment="1">
      <alignment horizontal="left" vertical="center" wrapText="1" indent="1" readingOrder="1"/>
    </xf>
    <xf numFmtId="0" fontId="4" fillId="2" borderId="2" xfId="0" applyFont="1" applyFill="1" applyBorder="1" applyAlignment="1">
      <alignment horizontal="left" vertical="center" wrapText="1" indent="1" readingOrder="1"/>
    </xf>
    <xf numFmtId="0" fontId="4" fillId="2" borderId="3" xfId="0" applyFont="1" applyFill="1" applyBorder="1" applyAlignment="1">
      <alignment horizontal="left" vertical="center" wrapText="1" indent="1" readingOrder="1"/>
    </xf>
    <xf numFmtId="0" fontId="4" fillId="3" borderId="2" xfId="0" applyFont="1" applyFill="1" applyBorder="1" applyAlignment="1">
      <alignment horizontal="left" vertical="center" wrapText="1" indent="1" readingOrder="1"/>
    </xf>
    <xf numFmtId="0" fontId="1" fillId="0" borderId="0" xfId="0" applyFont="1" applyAlignment="1">
      <alignment horizontal="center"/>
    </xf>
    <xf numFmtId="8" fontId="4" fillId="3" borderId="2" xfId="0" applyNumberFormat="1" applyFont="1" applyFill="1" applyBorder="1" applyAlignment="1">
      <alignment horizontal="left" vertical="center" wrapText="1" indent="1" readingOrder="1"/>
    </xf>
    <xf numFmtId="0" fontId="5" fillId="4" borderId="1" xfId="0" applyFont="1" applyFill="1" applyBorder="1" applyAlignment="1">
      <alignment horizontal="left" vertical="center" wrapText="1" indent="1" readingOrder="1"/>
    </xf>
    <xf numFmtId="8" fontId="5" fillId="4" borderId="1" xfId="0" applyNumberFormat="1" applyFont="1" applyFill="1" applyBorder="1" applyAlignment="1">
      <alignment horizontal="left" vertical="center" wrapText="1" indent="1" readingOrder="1"/>
    </xf>
    <xf numFmtId="0" fontId="6" fillId="0" borderId="0" xfId="0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 readingOrder="1"/>
    </xf>
    <xf numFmtId="8" fontId="5" fillId="5" borderId="1" xfId="0" applyNumberFormat="1" applyFont="1" applyFill="1" applyBorder="1" applyAlignment="1">
      <alignment horizontal="left" vertical="center" wrapText="1" indent="1" readingOrder="1"/>
    </xf>
    <xf numFmtId="0" fontId="7" fillId="0" borderId="0" xfId="0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8" fillId="0" borderId="0" xfId="0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6" fillId="0" borderId="0" xfId="0" applyFont="1" applyAlignment="1">
      <alignment horizontal="right"/>
    </xf>
    <xf numFmtId="8" fontId="0" fillId="0" borderId="0" xfId="0" applyNumberFormat="1"/>
    <xf numFmtId="6" fontId="0" fillId="0" borderId="0" xfId="0" applyNumberFormat="1" applyAlignment="1">
      <alignment horizontal="left"/>
    </xf>
    <xf numFmtId="164" fontId="7" fillId="0" borderId="0" xfId="0" applyNumberFormat="1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3" borderId="4" xfId="0" applyNumberFormat="1" applyFont="1" applyFill="1" applyBorder="1" applyAlignment="1">
      <alignment horizontal="left" vertical="center" wrapText="1" indent="1" readingOrder="1"/>
    </xf>
    <xf numFmtId="8" fontId="4" fillId="2" borderId="5" xfId="0" applyNumberFormat="1" applyFont="1" applyFill="1" applyBorder="1" applyAlignment="1">
      <alignment horizontal="left" vertical="center" wrapText="1" indent="1" readingOrder="1"/>
    </xf>
    <xf numFmtId="8" fontId="4" fillId="3" borderId="5" xfId="0" applyNumberFormat="1" applyFont="1" applyFill="1" applyBorder="1" applyAlignment="1">
      <alignment horizontal="left" vertical="center" wrapText="1" indent="1" readingOrder="1"/>
    </xf>
    <xf numFmtId="0" fontId="1" fillId="0" borderId="0" xfId="0" applyFont="1" applyBorder="1" applyAlignment="1">
      <alignment horizontal="center"/>
    </xf>
    <xf numFmtId="8" fontId="4" fillId="3" borderId="7" xfId="0" applyNumberFormat="1" applyFont="1" applyFill="1" applyBorder="1" applyAlignment="1">
      <alignment horizontal="left" vertical="center" wrapText="1" indent="1" readingOrder="1"/>
    </xf>
    <xf numFmtId="8" fontId="4" fillId="3" borderId="8" xfId="0" applyNumberFormat="1" applyFont="1" applyFill="1" applyBorder="1" applyAlignment="1">
      <alignment horizontal="left" vertical="center" wrapText="1" indent="1" readingOrder="1"/>
    </xf>
    <xf numFmtId="8" fontId="4" fillId="2" borderId="8" xfId="0" applyNumberFormat="1" applyFont="1" applyFill="1" applyBorder="1" applyAlignment="1">
      <alignment horizontal="left" vertical="center" wrapText="1" indent="1" readingOrder="1"/>
    </xf>
    <xf numFmtId="8" fontId="5" fillId="4" borderId="8" xfId="0" applyNumberFormat="1" applyFont="1" applyFill="1" applyBorder="1" applyAlignment="1">
      <alignment horizontal="left" vertical="center" wrapText="1" indent="1" readingOrder="1"/>
    </xf>
    <xf numFmtId="8" fontId="10" fillId="0" borderId="0" xfId="0" applyNumberFormat="1" applyFont="1"/>
    <xf numFmtId="8" fontId="9" fillId="0" borderId="0" xfId="0" applyNumberFormat="1" applyFont="1"/>
    <xf numFmtId="8" fontId="10" fillId="0" borderId="0" xfId="0" applyNumberFormat="1" applyFont="1" applyAlignment="1">
      <alignment horizontal="right"/>
    </xf>
    <xf numFmtId="8" fontId="9" fillId="0" borderId="0" xfId="0" applyNumberFormat="1" applyFont="1" applyAlignment="1">
      <alignment horizontal="center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14" fontId="0" fillId="0" borderId="0" xfId="0" applyNumberFormat="1"/>
    <xf numFmtId="0" fontId="5" fillId="0" borderId="0" xfId="0" applyFont="1" applyFill="1" applyBorder="1" applyAlignment="1">
      <alignment horizontal="left" vertical="center" wrapText="1" indent="1" readingOrder="1"/>
    </xf>
    <xf numFmtId="0" fontId="0" fillId="0" borderId="0" xfId="0" applyFill="1"/>
    <xf numFmtId="8" fontId="5" fillId="0" borderId="0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3" xfId="0" applyNumberFormat="1" applyFont="1" applyFill="1" applyBorder="1" applyAlignment="1">
      <alignment horizontal="left" vertical="center" wrapText="1" indent="1" readingOrder="1"/>
    </xf>
    <xf numFmtId="164" fontId="7" fillId="0" borderId="0" xfId="0" applyNumberFormat="1" applyFont="1" applyAlignment="1">
      <alignment horizontal="left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5" xfId="0" applyNumberFormat="1" applyFont="1" applyFill="1" applyBorder="1" applyAlignment="1">
      <alignment horizontal="left" vertical="center" wrapText="1" indent="1" readingOrder="1"/>
    </xf>
    <xf numFmtId="0" fontId="7" fillId="0" borderId="0" xfId="0" applyFont="1" applyFill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8" xfId="0" applyNumberFormat="1" applyFont="1" applyFill="1" applyBorder="1" applyAlignment="1">
      <alignment horizontal="left" vertical="center" wrapText="1" indent="1" readingOrder="1"/>
    </xf>
    <xf numFmtId="8" fontId="4" fillId="2" borderId="5" xfId="0" applyNumberFormat="1" applyFont="1" applyFill="1" applyBorder="1" applyAlignment="1">
      <alignment horizontal="left" vertical="center" wrapText="1" indent="1" readingOrder="1"/>
    </xf>
    <xf numFmtId="8" fontId="4" fillId="2" borderId="5" xfId="0" applyNumberFormat="1" applyFont="1" applyFill="1" applyBorder="1" applyAlignment="1">
      <alignment horizontal="left" vertical="center" wrapText="1" indent="1" readingOrder="1"/>
    </xf>
    <xf numFmtId="165" fontId="0" fillId="0" borderId="0" xfId="0" applyNumberFormat="1"/>
    <xf numFmtId="0" fontId="6" fillId="0" borderId="0" xfId="0" applyFont="1" applyAlignment="1">
      <alignment horizontal="center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11" fillId="0" borderId="0" xfId="0" applyFont="1"/>
    <xf numFmtId="165" fontId="10" fillId="0" borderId="0" xfId="0" applyNumberFormat="1" applyFont="1"/>
    <xf numFmtId="165" fontId="1" fillId="0" borderId="0" xfId="0" applyNumberFormat="1" applyFont="1"/>
    <xf numFmtId="0" fontId="9" fillId="0" borderId="0" xfId="0" applyFont="1" applyAlignment="1">
      <alignment horizontal="left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7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6" fontId="7" fillId="0" borderId="0" xfId="0" applyNumberFormat="1" applyFont="1" applyFill="1" applyAlignment="1">
      <alignment horizontal="left"/>
    </xf>
    <xf numFmtId="0" fontId="12" fillId="0" borderId="0" xfId="0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4" fontId="13" fillId="0" borderId="0" xfId="0" applyNumberFormat="1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7" fillId="0" borderId="0" xfId="0" applyFont="1" applyFill="1" applyBorder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165" fontId="14" fillId="6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3" xfId="0" applyNumberFormat="1" applyFont="1" applyFill="1" applyBorder="1" applyAlignment="1">
      <alignment horizontal="left" vertical="center" wrapText="1" indent="1" readingOrder="1"/>
    </xf>
    <xf numFmtId="8" fontId="4" fillId="2" borderId="8" xfId="0" applyNumberFormat="1" applyFont="1" applyFill="1" applyBorder="1" applyAlignment="1">
      <alignment horizontal="left" vertical="center" wrapText="1" indent="1" readingOrder="1"/>
    </xf>
    <xf numFmtId="8" fontId="4" fillId="2" borderId="9" xfId="0" applyNumberFormat="1" applyFont="1" applyFill="1" applyBorder="1" applyAlignment="1">
      <alignment horizontal="left" vertical="center" wrapText="1" indent="1" readingOrder="1"/>
    </xf>
    <xf numFmtId="8" fontId="4" fillId="2" borderId="5" xfId="0" applyNumberFormat="1" applyFont="1" applyFill="1" applyBorder="1" applyAlignment="1">
      <alignment horizontal="left" vertical="center" wrapText="1" indent="1" readingOrder="1"/>
    </xf>
    <xf numFmtId="8" fontId="4" fillId="2" borderId="6" xfId="0" applyNumberFormat="1" applyFont="1" applyFill="1" applyBorder="1" applyAlignment="1">
      <alignment horizontal="left" vertical="center" wrapText="1" indent="1" readingOrder="1"/>
    </xf>
    <xf numFmtId="8" fontId="15" fillId="6" borderId="0" xfId="0" applyNumberFormat="1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6682264566577429E-2"/>
          <c:y val="9.0423625787870568E-2"/>
          <c:w val="0.93331773543342267"/>
          <c:h val="0.62550520258603826"/>
        </c:manualLayout>
      </c:layout>
      <c:barChart>
        <c:barDir val="col"/>
        <c:grouping val="clustered"/>
        <c:ser>
          <c:idx val="0"/>
          <c:order val="0"/>
          <c:tx>
            <c:strRef>
              <c:f>FINAL!$B$1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9.6501809408926567E-3"/>
                  <c:y val="0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7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€ 19.000,00</a:t>
                    </a:r>
                  </a:p>
                </c:rich>
              </c:tx>
              <c:numFmt formatCode="&quot;€&quot;\ #,##0" sourceLinked="0"/>
              <c:spPr/>
              <c:showVal val="1"/>
            </c:dLbl>
            <c:dLbl>
              <c:idx val="1"/>
              <c:layout>
                <c:manualLayout>
                  <c:x val="-4.3551686848424124E-3"/>
                  <c:y val="4.8312666379885533E-3"/>
                </c:manualLayout>
              </c:layout>
              <c:showVal val="1"/>
            </c:dLbl>
            <c:dLbl>
              <c:idx val="3"/>
              <c:layout>
                <c:manualLayout>
                  <c:x val="-1.1834317688686325E-2"/>
                  <c:y val="3.1670625494854616E-2"/>
                </c:manualLayout>
              </c:layout>
              <c:showVal val="1"/>
            </c:dLbl>
            <c:dLbl>
              <c:idx val="8"/>
              <c:layout>
                <c:manualLayout>
                  <c:x val="-3.2167269802975892E-3"/>
                  <c:y val="2.1604938271605412E-2"/>
                </c:manualLayout>
              </c:layout>
              <c:showVal val="1"/>
            </c:dLbl>
            <c:dLbl>
              <c:idx val="10"/>
              <c:layout>
                <c:manualLayout>
                  <c:x val="-1.9300361881785865E-2"/>
                  <c:y val="3.0864197530864296E-2"/>
                </c:manualLayout>
              </c:layout>
              <c:showVal val="1"/>
            </c:dLbl>
            <c:numFmt formatCode="&quot;€&quot;\ #,##0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(FINAL!$A$2:$A$12,FINAL!$A$14:$A$26)</c:f>
              <c:strCache>
                <c:ptCount val="24"/>
                <c:pt idx="0">
                  <c:v>DEFEXPO INDIA</c:v>
                </c:pt>
                <c:pt idx="1">
                  <c:v>ARMY SPONSORED</c:v>
                </c:pt>
                <c:pt idx="2">
                  <c:v>AFRICA SECURITY AND COUNTER TERRORISM SUMMIT</c:v>
                </c:pt>
                <c:pt idx="3">
                  <c:v>ISS DUBAI</c:v>
                </c:pt>
                <c:pt idx="4">
                  <c:v>HOSDB - SECURITY&amp;POLICING</c:v>
                </c:pt>
                <c:pt idx="5">
                  <c:v>LAAD SECURITY </c:v>
                </c:pt>
                <c:pt idx="6">
                  <c:v>DSA - DEFENSE SERVICE ASIA</c:v>
                </c:pt>
                <c:pt idx="7">
                  <c:v>NATIONAL SECURITY AUSTRALIA CONFERENCE</c:v>
                </c:pt>
                <c:pt idx="8">
                  <c:v>ISS PRAGA</c:v>
                </c:pt>
                <c:pt idx="9">
                  <c:v>CYBERWARFARE - ITALIAN PARLIAMENT</c:v>
                </c:pt>
                <c:pt idx="10">
                  <c:v>IDEC XXXI</c:v>
                </c:pt>
                <c:pt idx="11">
                  <c:v>ISS JOHANNESBURG</c:v>
                </c:pt>
                <c:pt idx="12">
                  <c:v>NATIA</c:v>
                </c:pt>
                <c:pt idx="13">
                  <c:v>ISS WASHINGTON</c:v>
                </c:pt>
                <c:pt idx="14">
                  <c:v>SEECAT </c:v>
                </c:pt>
                <c:pt idx="15">
                  <c:v>FUTURE FORCES</c:v>
                </c:pt>
                <c:pt idx="16">
                  <c:v>MILIPOL</c:v>
                </c:pt>
                <c:pt idx="17">
                  <c:v>LATIN AMERICA&amp;CARIBBEAN SECURITY SUMMIT</c:v>
                </c:pt>
                <c:pt idx="18">
                  <c:v>IACP</c:v>
                </c:pt>
                <c:pt idx="19">
                  <c:v>SEMINARIO CYBER</c:v>
                </c:pt>
                <c:pt idx="20">
                  <c:v>2nd INTELLIGENCE SERVICE CONFERENCE</c:v>
                </c:pt>
                <c:pt idx="21">
                  <c:v>INTERPOL</c:v>
                </c:pt>
                <c:pt idx="22">
                  <c:v>INDODEFENCE</c:v>
                </c:pt>
                <c:pt idx="23">
                  <c:v>ISS KUALA LUMPUR</c:v>
                </c:pt>
              </c:strCache>
            </c:strRef>
          </c:cat>
          <c:val>
            <c:numRef>
              <c:f>(FINAL!$B$2:$B$12,FINAL!$B$14:$B$26)</c:f>
              <c:numCache>
                <c:formatCode>"€"\ #,##0.00</c:formatCode>
                <c:ptCount val="24"/>
                <c:pt idx="0">
                  <c:v>19000</c:v>
                </c:pt>
                <c:pt idx="1">
                  <c:v>463</c:v>
                </c:pt>
                <c:pt idx="2">
                  <c:v>8500</c:v>
                </c:pt>
                <c:pt idx="3">
                  <c:v>25200</c:v>
                </c:pt>
                <c:pt idx="4">
                  <c:v>12200</c:v>
                </c:pt>
                <c:pt idx="5">
                  <c:v>22600</c:v>
                </c:pt>
                <c:pt idx="6">
                  <c:v>16000</c:v>
                </c:pt>
                <c:pt idx="7">
                  <c:v>0</c:v>
                </c:pt>
                <c:pt idx="8">
                  <c:v>18700</c:v>
                </c:pt>
                <c:pt idx="9">
                  <c:v>0</c:v>
                </c:pt>
                <c:pt idx="10">
                  <c:v>18500</c:v>
                </c:pt>
                <c:pt idx="11">
                  <c:v>30900</c:v>
                </c:pt>
                <c:pt idx="12">
                  <c:v>9600</c:v>
                </c:pt>
                <c:pt idx="13">
                  <c:v>30900</c:v>
                </c:pt>
                <c:pt idx="14">
                  <c:v>15000</c:v>
                </c:pt>
                <c:pt idx="15">
                  <c:v>8000</c:v>
                </c:pt>
                <c:pt idx="16">
                  <c:v>15500</c:v>
                </c:pt>
                <c:pt idx="17">
                  <c:v>0</c:v>
                </c:pt>
                <c:pt idx="18">
                  <c:v>16000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18400</c:v>
                </c:pt>
                <c:pt idx="23">
                  <c:v>26200</c:v>
                </c:pt>
              </c:numCache>
            </c:numRef>
          </c:val>
        </c:ser>
        <c:ser>
          <c:idx val="1"/>
          <c:order val="1"/>
          <c:tx>
            <c:strRef>
              <c:f>FINAL!$C$1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92D050"/>
            </a:solidFill>
          </c:spPr>
          <c:dLbls>
            <c:numFmt formatCode="&quot;€&quot;\ #,##0" sourceLinked="0"/>
            <c:txPr>
              <a:bodyPr/>
              <a:lstStyle/>
              <a:p>
                <a:pPr>
                  <a:defRPr sz="700" b="1"/>
                </a:pPr>
                <a:endParaRPr lang="it-IT"/>
              </a:p>
            </c:txPr>
            <c:showVal val="1"/>
          </c:dLbls>
          <c:cat>
            <c:strRef>
              <c:f>(FINAL!$A$2:$A$12,FINAL!$A$14:$A$26)</c:f>
              <c:strCache>
                <c:ptCount val="24"/>
                <c:pt idx="0">
                  <c:v>DEFEXPO INDIA</c:v>
                </c:pt>
                <c:pt idx="1">
                  <c:v>ARMY SPONSORED</c:v>
                </c:pt>
                <c:pt idx="2">
                  <c:v>AFRICA SECURITY AND COUNTER TERRORISM SUMMIT</c:v>
                </c:pt>
                <c:pt idx="3">
                  <c:v>ISS DUBAI</c:v>
                </c:pt>
                <c:pt idx="4">
                  <c:v>HOSDB - SECURITY&amp;POLICING</c:v>
                </c:pt>
                <c:pt idx="5">
                  <c:v>LAAD SECURITY </c:v>
                </c:pt>
                <c:pt idx="6">
                  <c:v>DSA - DEFENSE SERVICE ASIA</c:v>
                </c:pt>
                <c:pt idx="7">
                  <c:v>NATIONAL SECURITY AUSTRALIA CONFERENCE</c:v>
                </c:pt>
                <c:pt idx="8">
                  <c:v>ISS PRAGA</c:v>
                </c:pt>
                <c:pt idx="9">
                  <c:v>CYBERWARFARE - ITALIAN PARLIAMENT</c:v>
                </c:pt>
                <c:pt idx="10">
                  <c:v>IDEC XXXI</c:v>
                </c:pt>
                <c:pt idx="11">
                  <c:v>ISS JOHANNESBURG</c:v>
                </c:pt>
                <c:pt idx="12">
                  <c:v>NATIA</c:v>
                </c:pt>
                <c:pt idx="13">
                  <c:v>ISS WASHINGTON</c:v>
                </c:pt>
                <c:pt idx="14">
                  <c:v>SEECAT </c:v>
                </c:pt>
                <c:pt idx="15">
                  <c:v>FUTURE FORCES</c:v>
                </c:pt>
                <c:pt idx="16">
                  <c:v>MILIPOL</c:v>
                </c:pt>
                <c:pt idx="17">
                  <c:v>LATIN AMERICA&amp;CARIBBEAN SECURITY SUMMIT</c:v>
                </c:pt>
                <c:pt idx="18">
                  <c:v>IACP</c:v>
                </c:pt>
                <c:pt idx="19">
                  <c:v>SEMINARIO CYBER</c:v>
                </c:pt>
                <c:pt idx="20">
                  <c:v>2nd INTELLIGENCE SERVICE CONFERENCE</c:v>
                </c:pt>
                <c:pt idx="21">
                  <c:v>INTERPOL</c:v>
                </c:pt>
                <c:pt idx="22">
                  <c:v>INDODEFENCE</c:v>
                </c:pt>
                <c:pt idx="23">
                  <c:v>ISS KUALA LUMPUR</c:v>
                </c:pt>
              </c:strCache>
            </c:strRef>
          </c:cat>
          <c:val>
            <c:numRef>
              <c:f>(FINAL!$C$2:$C$12,FINAL!$C$14:$C$26)</c:f>
              <c:numCache>
                <c:formatCode>"€"\ #,##0.00</c:formatCode>
                <c:ptCount val="24"/>
                <c:pt idx="0">
                  <c:v>16592.82</c:v>
                </c:pt>
                <c:pt idx="1">
                  <c:v>532</c:v>
                </c:pt>
                <c:pt idx="2">
                  <c:v>7382.32</c:v>
                </c:pt>
                <c:pt idx="3">
                  <c:v>25393.79</c:v>
                </c:pt>
                <c:pt idx="4">
                  <c:v>10855.21</c:v>
                </c:pt>
                <c:pt idx="5">
                  <c:v>24385</c:v>
                </c:pt>
                <c:pt idx="6">
                  <c:v>13494.17</c:v>
                </c:pt>
                <c:pt idx="7">
                  <c:v>7924.42</c:v>
                </c:pt>
                <c:pt idx="8">
                  <c:v>17118</c:v>
                </c:pt>
                <c:pt idx="9">
                  <c:v>994</c:v>
                </c:pt>
                <c:pt idx="10">
                  <c:v>19646</c:v>
                </c:pt>
                <c:pt idx="11">
                  <c:v>29978.83</c:v>
                </c:pt>
                <c:pt idx="12">
                  <c:v>13114.31</c:v>
                </c:pt>
                <c:pt idx="13">
                  <c:v>29879</c:v>
                </c:pt>
                <c:pt idx="14">
                  <c:v>10952.27</c:v>
                </c:pt>
                <c:pt idx="15">
                  <c:v>0</c:v>
                </c:pt>
                <c:pt idx="16">
                  <c:v>27296</c:v>
                </c:pt>
                <c:pt idx="17">
                  <c:v>7712</c:v>
                </c:pt>
                <c:pt idx="18">
                  <c:v>8906</c:v>
                </c:pt>
                <c:pt idx="19">
                  <c:v>3610</c:v>
                </c:pt>
                <c:pt idx="20">
                  <c:v>5933</c:v>
                </c:pt>
                <c:pt idx="21">
                  <c:v>13956</c:v>
                </c:pt>
                <c:pt idx="22">
                  <c:v>8856</c:v>
                </c:pt>
                <c:pt idx="23">
                  <c:v>22561</c:v>
                </c:pt>
              </c:numCache>
            </c:numRef>
          </c:val>
        </c:ser>
        <c:axId val="115048448"/>
        <c:axId val="115049984"/>
      </c:barChart>
      <c:catAx>
        <c:axId val="115048448"/>
        <c:scaling>
          <c:orientation val="minMax"/>
        </c:scaling>
        <c:axPos val="b"/>
        <c:numFmt formatCode="#,##0" sourceLinked="0"/>
        <c:tickLblPos val="nextTo"/>
        <c:txPr>
          <a:bodyPr/>
          <a:lstStyle/>
          <a:p>
            <a:pPr>
              <a:defRPr sz="1000" baseline="0"/>
            </a:pPr>
            <a:endParaRPr lang="it-IT"/>
          </a:p>
        </c:txPr>
        <c:crossAx val="115049984"/>
        <c:crosses val="autoZero"/>
        <c:auto val="1"/>
        <c:lblAlgn val="ctr"/>
        <c:lblOffset val="100"/>
      </c:catAx>
      <c:valAx>
        <c:axId val="115049984"/>
        <c:scaling>
          <c:orientation val="minMax"/>
        </c:scaling>
        <c:axPos val="l"/>
        <c:majorGridlines/>
        <c:numFmt formatCode="&quot;€&quot;\ #,##0" sourceLinked="0"/>
        <c:tickLblPos val="nextTo"/>
        <c:crossAx val="11504844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B0F0"/>
            </a:solidFill>
          </c:spPr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Lbl>
              <c:idx val="5"/>
              <c:showVal val="1"/>
            </c:dLbl>
            <c:dLbl>
              <c:idx val="6"/>
              <c:showVal val="1"/>
            </c:dLbl>
            <c:dLbl>
              <c:idx val="7"/>
              <c:showVal val="1"/>
            </c:dLbl>
            <c:dLbl>
              <c:idx val="8"/>
              <c:showVal val="1"/>
            </c:dLbl>
            <c:dLbl>
              <c:idx val="9"/>
              <c:showVal val="1"/>
            </c:dLbl>
            <c:dLbl>
              <c:idx val="10"/>
              <c:showVal val="1"/>
            </c:dLbl>
            <c:dLbl>
              <c:idx val="11"/>
              <c:showVal val="1"/>
            </c:dLbl>
            <c:dLbl>
              <c:idx val="12"/>
              <c:showVal val="1"/>
            </c:dLbl>
            <c:delete val="1"/>
            <c:numFmt formatCode="&quot;€&quot;\ #,##0" sourceLinked="0"/>
            <c:txPr>
              <a:bodyPr/>
              <a:lstStyle/>
              <a:p>
                <a:pPr algn="ctr" rtl="0">
                  <a:defRPr lang="it-IT"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</c:dLbls>
          <c:cat>
            <c:strRef>
              <c:f>FINAL!$A$14:$A$26</c:f>
              <c:strCache>
                <c:ptCount val="13"/>
                <c:pt idx="0">
                  <c:v>ISS JOHANNESBURG</c:v>
                </c:pt>
                <c:pt idx="1">
                  <c:v>NATIA</c:v>
                </c:pt>
                <c:pt idx="2">
                  <c:v>ISS WASHINGTON</c:v>
                </c:pt>
                <c:pt idx="3">
                  <c:v>SEECAT </c:v>
                </c:pt>
                <c:pt idx="4">
                  <c:v>FUTURE FORCES</c:v>
                </c:pt>
                <c:pt idx="5">
                  <c:v>MILIPOL</c:v>
                </c:pt>
                <c:pt idx="6">
                  <c:v>LATIN AMERICA&amp;CARIBBEAN SECURITY SUMMIT</c:v>
                </c:pt>
                <c:pt idx="7">
                  <c:v>IACP</c:v>
                </c:pt>
                <c:pt idx="8">
                  <c:v>SEMINARIO CYBER</c:v>
                </c:pt>
                <c:pt idx="9">
                  <c:v>2nd INTELLIGENCE SERVICE CONFERENCE</c:v>
                </c:pt>
                <c:pt idx="10">
                  <c:v>INTERPOL</c:v>
                </c:pt>
                <c:pt idx="11">
                  <c:v>INDODEFENCE</c:v>
                </c:pt>
                <c:pt idx="12">
                  <c:v>ISS KUALA LUMPUR</c:v>
                </c:pt>
              </c:strCache>
            </c:strRef>
          </c:cat>
          <c:val>
            <c:numRef>
              <c:f>FINAL!$B$14:$B$26</c:f>
              <c:numCache>
                <c:formatCode>"€"\ #,##0.00</c:formatCode>
                <c:ptCount val="13"/>
                <c:pt idx="0">
                  <c:v>30900</c:v>
                </c:pt>
                <c:pt idx="1">
                  <c:v>9600</c:v>
                </c:pt>
                <c:pt idx="2">
                  <c:v>30900</c:v>
                </c:pt>
                <c:pt idx="3">
                  <c:v>15000</c:v>
                </c:pt>
                <c:pt idx="4">
                  <c:v>8000</c:v>
                </c:pt>
                <c:pt idx="5">
                  <c:v>15500</c:v>
                </c:pt>
                <c:pt idx="6">
                  <c:v>0</c:v>
                </c:pt>
                <c:pt idx="7">
                  <c:v>16000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18400</c:v>
                </c:pt>
                <c:pt idx="12">
                  <c:v>26200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</c:spPr>
          <c:dLbls>
            <c:dLbl>
              <c:idx val="0"/>
              <c:layout>
                <c:manualLayout>
                  <c:x val="1.8820123054651229E-2"/>
                  <c:y val="2.5974025974026042E-2"/>
                </c:manualLayout>
              </c:layout>
              <c:showVal val="1"/>
            </c:dLbl>
            <c:dLbl>
              <c:idx val="1"/>
              <c:layout>
                <c:manualLayout>
                  <c:x val="1.7372421281216566E-2"/>
                  <c:y val="4.0404040404040414E-2"/>
                </c:manualLayout>
              </c:layout>
              <c:showVal val="1"/>
            </c:dLbl>
            <c:dLbl>
              <c:idx val="3"/>
              <c:layout>
                <c:manualLayout>
                  <c:x val="1.0133912414042698E-2"/>
                  <c:y val="3.7518037518037582E-2"/>
                </c:manualLayout>
              </c:layout>
              <c:showVal val="1"/>
            </c:dLbl>
            <c:numFmt formatCode="&quot;€&quot;\ #,##0" sourceLinked="0"/>
            <c:txPr>
              <a:bodyPr/>
              <a:lstStyle/>
              <a:p>
                <a:pPr algn="ctr" rtl="0">
                  <a:defRPr lang="it-IT"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</c:dLbls>
          <c:cat>
            <c:strRef>
              <c:f>FINAL!$A$14:$A$26</c:f>
              <c:strCache>
                <c:ptCount val="13"/>
                <c:pt idx="0">
                  <c:v>ISS JOHANNESBURG</c:v>
                </c:pt>
                <c:pt idx="1">
                  <c:v>NATIA</c:v>
                </c:pt>
                <c:pt idx="2">
                  <c:v>ISS WASHINGTON</c:v>
                </c:pt>
                <c:pt idx="3">
                  <c:v>SEECAT </c:v>
                </c:pt>
                <c:pt idx="4">
                  <c:v>FUTURE FORCES</c:v>
                </c:pt>
                <c:pt idx="5">
                  <c:v>MILIPOL</c:v>
                </c:pt>
                <c:pt idx="6">
                  <c:v>LATIN AMERICA&amp;CARIBBEAN SECURITY SUMMIT</c:v>
                </c:pt>
                <c:pt idx="7">
                  <c:v>IACP</c:v>
                </c:pt>
                <c:pt idx="8">
                  <c:v>SEMINARIO CYBER</c:v>
                </c:pt>
                <c:pt idx="9">
                  <c:v>2nd INTELLIGENCE SERVICE CONFERENCE</c:v>
                </c:pt>
                <c:pt idx="10">
                  <c:v>INTERPOL</c:v>
                </c:pt>
                <c:pt idx="11">
                  <c:v>INDODEFENCE</c:v>
                </c:pt>
                <c:pt idx="12">
                  <c:v>ISS KUALA LUMPUR</c:v>
                </c:pt>
              </c:strCache>
            </c:strRef>
          </c:cat>
          <c:val>
            <c:numRef>
              <c:f>FINAL!$C$14:$C$26</c:f>
              <c:numCache>
                <c:formatCode>"€"\ #,##0.00</c:formatCode>
                <c:ptCount val="13"/>
                <c:pt idx="0">
                  <c:v>29978.83</c:v>
                </c:pt>
                <c:pt idx="1">
                  <c:v>13114.31</c:v>
                </c:pt>
                <c:pt idx="2">
                  <c:v>29879</c:v>
                </c:pt>
                <c:pt idx="3">
                  <c:v>10952.27</c:v>
                </c:pt>
                <c:pt idx="4">
                  <c:v>0</c:v>
                </c:pt>
                <c:pt idx="5">
                  <c:v>27296</c:v>
                </c:pt>
                <c:pt idx="6">
                  <c:v>7712</c:v>
                </c:pt>
                <c:pt idx="7">
                  <c:v>8906</c:v>
                </c:pt>
                <c:pt idx="8">
                  <c:v>3610</c:v>
                </c:pt>
                <c:pt idx="9">
                  <c:v>5933</c:v>
                </c:pt>
                <c:pt idx="10">
                  <c:v>13956</c:v>
                </c:pt>
                <c:pt idx="11">
                  <c:v>8856</c:v>
                </c:pt>
                <c:pt idx="12">
                  <c:v>22561</c:v>
                </c:pt>
              </c:numCache>
            </c:numRef>
          </c:val>
        </c:ser>
        <c:axId val="113927296"/>
        <c:axId val="113928832"/>
      </c:barChart>
      <c:catAx>
        <c:axId val="113927296"/>
        <c:scaling>
          <c:orientation val="minMax"/>
        </c:scaling>
        <c:axPos val="b"/>
        <c:tickLblPos val="nextTo"/>
        <c:crossAx val="113928832"/>
        <c:crosses val="autoZero"/>
        <c:auto val="1"/>
        <c:lblAlgn val="ctr"/>
        <c:lblOffset val="100"/>
      </c:catAx>
      <c:valAx>
        <c:axId val="113928832"/>
        <c:scaling>
          <c:orientation val="minMax"/>
        </c:scaling>
        <c:axPos val="l"/>
        <c:majorGridlines/>
        <c:numFmt formatCode="&quot;€&quot;\ #,##0" sourceLinked="0"/>
        <c:tickLblPos val="nextTo"/>
        <c:crossAx val="113927296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B0F0"/>
            </a:solidFill>
          </c:spPr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Lbl>
              <c:idx val="5"/>
              <c:showVal val="1"/>
            </c:dLbl>
            <c:dLbl>
              <c:idx val="6"/>
              <c:showVal val="1"/>
            </c:dLbl>
            <c:dLbl>
              <c:idx val="7"/>
              <c:showVal val="1"/>
            </c:dLbl>
            <c:dLbl>
              <c:idx val="8"/>
              <c:showVal val="1"/>
            </c:dLbl>
            <c:dLbl>
              <c:idx val="9"/>
              <c:showVal val="1"/>
            </c:dLbl>
            <c:dLbl>
              <c:idx val="10"/>
              <c:showVal val="1"/>
            </c:dLbl>
            <c:dLbl>
              <c:idx val="11"/>
              <c:showVal val="1"/>
            </c:dLbl>
            <c:delete val="1"/>
            <c:numFmt formatCode="&quot;€&quot;\ #,##0" sourceLinked="0"/>
            <c:txPr>
              <a:bodyPr/>
              <a:lstStyle/>
              <a:p>
                <a:pPr algn="ctr" rtl="0">
                  <a:defRPr lang="it-IT"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</c:dLbls>
          <c:cat>
            <c:strRef>
              <c:f>FINAL!$A$2:$A$12</c:f>
              <c:strCache>
                <c:ptCount val="11"/>
                <c:pt idx="0">
                  <c:v>DEFEXPO INDIA</c:v>
                </c:pt>
                <c:pt idx="1">
                  <c:v>ARMY SPONSORED</c:v>
                </c:pt>
                <c:pt idx="2">
                  <c:v>AFRICA SECURITY AND COUNTER TERRORISM SUMMIT</c:v>
                </c:pt>
                <c:pt idx="3">
                  <c:v>ISS DUBAI</c:v>
                </c:pt>
                <c:pt idx="4">
                  <c:v>HOSDB - SECURITY&amp;POLICING</c:v>
                </c:pt>
                <c:pt idx="5">
                  <c:v>LAAD SECURITY </c:v>
                </c:pt>
                <c:pt idx="6">
                  <c:v>DSA - DEFENSE SERVICE ASIA</c:v>
                </c:pt>
                <c:pt idx="7">
                  <c:v>NATIONAL SECURITY AUSTRALIA CONFERENCE</c:v>
                </c:pt>
                <c:pt idx="8">
                  <c:v>ISS PRAGA</c:v>
                </c:pt>
                <c:pt idx="9">
                  <c:v>CYBERWARFARE - ITALIAN PARLIAMENT</c:v>
                </c:pt>
                <c:pt idx="10">
                  <c:v>IDEC XXXI</c:v>
                </c:pt>
              </c:strCache>
            </c:strRef>
          </c:cat>
          <c:val>
            <c:numRef>
              <c:f>FINAL!$B$2:$B$12</c:f>
              <c:numCache>
                <c:formatCode>"€"\ #,##0.00</c:formatCode>
                <c:ptCount val="11"/>
                <c:pt idx="0">
                  <c:v>19000</c:v>
                </c:pt>
                <c:pt idx="1">
                  <c:v>463</c:v>
                </c:pt>
                <c:pt idx="2">
                  <c:v>8500</c:v>
                </c:pt>
                <c:pt idx="3">
                  <c:v>25200</c:v>
                </c:pt>
                <c:pt idx="4">
                  <c:v>12200</c:v>
                </c:pt>
                <c:pt idx="5">
                  <c:v>22600</c:v>
                </c:pt>
                <c:pt idx="6">
                  <c:v>16000</c:v>
                </c:pt>
                <c:pt idx="7">
                  <c:v>0</c:v>
                </c:pt>
                <c:pt idx="8">
                  <c:v>18700</c:v>
                </c:pt>
                <c:pt idx="9">
                  <c:v>0</c:v>
                </c:pt>
                <c:pt idx="10">
                  <c:v>18500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</c:spPr>
          <c:dLbls>
            <c:dLbl>
              <c:idx val="0"/>
              <c:layout>
                <c:manualLayout>
                  <c:x val="1.8820123054651236E-2"/>
                  <c:y val="2.5974025974026042E-2"/>
                </c:manualLayout>
              </c:layout>
              <c:showVal val="1"/>
            </c:dLbl>
            <c:dLbl>
              <c:idx val="1"/>
              <c:layout>
                <c:manualLayout>
                  <c:x val="1.7372421281216573E-2"/>
                  <c:y val="4.0404040404040414E-2"/>
                </c:manualLayout>
              </c:layout>
              <c:showVal val="1"/>
            </c:dLbl>
            <c:dLbl>
              <c:idx val="3"/>
              <c:layout>
                <c:manualLayout>
                  <c:x val="1.0133912414042698E-2"/>
                  <c:y val="3.7518037518037582E-2"/>
                </c:manualLayout>
              </c:layout>
              <c:showVal val="1"/>
            </c:dLbl>
            <c:numFmt formatCode="&quot;€&quot;\ #,##0" sourceLinked="0"/>
            <c:txPr>
              <a:bodyPr/>
              <a:lstStyle/>
              <a:p>
                <a:pPr algn="ctr" rtl="0">
                  <a:defRPr lang="it-IT"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</c:dLbls>
          <c:cat>
            <c:strRef>
              <c:f>FINAL!$A$2:$A$12</c:f>
              <c:strCache>
                <c:ptCount val="11"/>
                <c:pt idx="0">
                  <c:v>DEFEXPO INDIA</c:v>
                </c:pt>
                <c:pt idx="1">
                  <c:v>ARMY SPONSORED</c:v>
                </c:pt>
                <c:pt idx="2">
                  <c:v>AFRICA SECURITY AND COUNTER TERRORISM SUMMIT</c:v>
                </c:pt>
                <c:pt idx="3">
                  <c:v>ISS DUBAI</c:v>
                </c:pt>
                <c:pt idx="4">
                  <c:v>HOSDB - SECURITY&amp;POLICING</c:v>
                </c:pt>
                <c:pt idx="5">
                  <c:v>LAAD SECURITY </c:v>
                </c:pt>
                <c:pt idx="6">
                  <c:v>DSA - DEFENSE SERVICE ASIA</c:v>
                </c:pt>
                <c:pt idx="7">
                  <c:v>NATIONAL SECURITY AUSTRALIA CONFERENCE</c:v>
                </c:pt>
                <c:pt idx="8">
                  <c:v>ISS PRAGA</c:v>
                </c:pt>
                <c:pt idx="9">
                  <c:v>CYBERWARFARE - ITALIAN PARLIAMENT</c:v>
                </c:pt>
                <c:pt idx="10">
                  <c:v>IDEC XXXI</c:v>
                </c:pt>
              </c:strCache>
            </c:strRef>
          </c:cat>
          <c:val>
            <c:numRef>
              <c:f>FINAL!$C$2:$C$12</c:f>
              <c:numCache>
                <c:formatCode>"€"\ #,##0.00</c:formatCode>
                <c:ptCount val="11"/>
                <c:pt idx="0">
                  <c:v>16592.82</c:v>
                </c:pt>
                <c:pt idx="1">
                  <c:v>532</c:v>
                </c:pt>
                <c:pt idx="2">
                  <c:v>7382.32</c:v>
                </c:pt>
                <c:pt idx="3">
                  <c:v>25393.79</c:v>
                </c:pt>
                <c:pt idx="4">
                  <c:v>10855.21</c:v>
                </c:pt>
                <c:pt idx="5">
                  <c:v>24385</c:v>
                </c:pt>
                <c:pt idx="6">
                  <c:v>13494.17</c:v>
                </c:pt>
                <c:pt idx="7">
                  <c:v>7924.42</c:v>
                </c:pt>
                <c:pt idx="8">
                  <c:v>17118</c:v>
                </c:pt>
                <c:pt idx="9">
                  <c:v>994</c:v>
                </c:pt>
                <c:pt idx="10">
                  <c:v>19646</c:v>
                </c:pt>
              </c:numCache>
            </c:numRef>
          </c:val>
        </c:ser>
        <c:axId val="115354624"/>
        <c:axId val="115360512"/>
      </c:barChart>
      <c:catAx>
        <c:axId val="115354624"/>
        <c:scaling>
          <c:orientation val="minMax"/>
        </c:scaling>
        <c:axPos val="b"/>
        <c:tickLblPos val="nextTo"/>
        <c:crossAx val="115360512"/>
        <c:crosses val="autoZero"/>
        <c:auto val="1"/>
        <c:lblAlgn val="ctr"/>
        <c:lblOffset val="100"/>
      </c:catAx>
      <c:valAx>
        <c:axId val="115360512"/>
        <c:scaling>
          <c:orientation val="minMax"/>
        </c:scaling>
        <c:axPos val="l"/>
        <c:majorGridlines/>
        <c:numFmt formatCode="&quot;€&quot;\ #,##0" sourceLinked="0"/>
        <c:tickLblPos val="nextTo"/>
        <c:crossAx val="115354624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FINAL!$A$28</c:f>
              <c:strCache>
                <c:ptCount val="1"/>
                <c:pt idx="0">
                  <c:v>BUDGET VS ACTUAL - FINAL</c:v>
                </c:pt>
              </c:strCache>
            </c:strRef>
          </c:tx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numFmt formatCode="&quot;€&quot;\ #,##0" sourceLinked="0"/>
            <c:txPr>
              <a:bodyPr/>
              <a:lstStyle/>
              <a:p>
                <a:pPr>
                  <a:defRPr sz="700" b="1"/>
                </a:pPr>
                <a:endParaRPr lang="it-IT"/>
              </a:p>
            </c:txPr>
            <c:showVal val="1"/>
          </c:dLbls>
          <c:cat>
            <c:strRef>
              <c:f>FINAL!$B$1:$C$1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FINAL!$B$28:$C$28</c:f>
              <c:numCache>
                <c:formatCode>"€"\ #,##0.00</c:formatCode>
                <c:ptCount val="2"/>
                <c:pt idx="0">
                  <c:v>311663</c:v>
                </c:pt>
                <c:pt idx="1">
                  <c:v>327072.14</c:v>
                </c:pt>
              </c:numCache>
            </c:numRef>
          </c:val>
        </c:ser>
        <c:axId val="121185024"/>
        <c:axId val="121186560"/>
      </c:barChart>
      <c:catAx>
        <c:axId val="121185024"/>
        <c:scaling>
          <c:orientation val="minMax"/>
        </c:scaling>
        <c:axPos val="b"/>
        <c:tickLblPos val="nextTo"/>
        <c:crossAx val="121186560"/>
        <c:crosses val="autoZero"/>
        <c:auto val="1"/>
        <c:lblAlgn val="ctr"/>
        <c:lblOffset val="100"/>
      </c:catAx>
      <c:valAx>
        <c:axId val="121186560"/>
        <c:scaling>
          <c:orientation val="minMax"/>
        </c:scaling>
        <c:axPos val="l"/>
        <c:majorGridlines/>
        <c:numFmt formatCode="&quot;€&quot;\ #,##0" sourceLinked="0"/>
        <c:tickLblPos val="nextTo"/>
        <c:crossAx val="121185024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FINAL!$B$1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B0F0"/>
            </a:solidFill>
          </c:spPr>
          <c:dPt>
            <c:idx val="1"/>
            <c:spPr>
              <a:solidFill>
                <a:srgbClr val="92D050"/>
              </a:solidFill>
            </c:spPr>
          </c:dPt>
          <c:cat>
            <c:strRef>
              <c:f>FINAL!$B$1:$C$1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FINAL!$C$1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FINAL!$A$13</c:f>
              <c:strCache>
                <c:ptCount val="1"/>
                <c:pt idx="0">
                  <c:v>BUDGET VS ACTUAL - 1°/2° Q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1" baseline="0"/>
                    </a:pPr>
                    <a:r>
                      <a:rPr lang="en-US" sz="800" b="1" baseline="0"/>
                      <a:t>€ </a:t>
                    </a:r>
                    <a:r>
                      <a:rPr lang="en-US" sz="700" b="1" baseline="0"/>
                      <a:t>141.163</a:t>
                    </a:r>
                  </a:p>
                </c:rich>
              </c:tx>
              <c:numFmt formatCode="&quot;€&quot;\ #,##0" sourceLinked="0"/>
              <c:spPr/>
              <c:showVal val="1"/>
            </c:dLbl>
            <c:dLbl>
              <c:idx val="1"/>
              <c:showVal val="1"/>
            </c:dLbl>
            <c:delete val="1"/>
            <c:numFmt formatCode="&quot;€&quot;\ #,##0" sourceLinked="0"/>
            <c:txPr>
              <a:bodyPr/>
              <a:lstStyle/>
              <a:p>
                <a:pPr>
                  <a:defRPr sz="700" b="1" baseline="0"/>
                </a:pPr>
                <a:endParaRPr lang="it-IT"/>
              </a:p>
            </c:txPr>
          </c:dLbls>
          <c:cat>
            <c:strRef>
              <c:f>FINAL!$B$1:$C$1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FINAL!$B$13:$C$13</c:f>
              <c:numCache>
                <c:formatCode>"€"\ #,##0.00</c:formatCode>
                <c:ptCount val="2"/>
                <c:pt idx="0">
                  <c:v>141163</c:v>
                </c:pt>
                <c:pt idx="1">
                  <c:v>144317.72999999998</c:v>
                </c:pt>
              </c:numCache>
            </c:numRef>
          </c:val>
        </c:ser>
        <c:axId val="121204096"/>
        <c:axId val="121218176"/>
      </c:barChart>
      <c:catAx>
        <c:axId val="121204096"/>
        <c:scaling>
          <c:orientation val="minMax"/>
        </c:scaling>
        <c:axPos val="b"/>
        <c:tickLblPos val="nextTo"/>
        <c:crossAx val="121218176"/>
        <c:crosses val="autoZero"/>
        <c:auto val="1"/>
        <c:lblAlgn val="ctr"/>
        <c:lblOffset val="100"/>
      </c:catAx>
      <c:valAx>
        <c:axId val="121218176"/>
        <c:scaling>
          <c:orientation val="minMax"/>
        </c:scaling>
        <c:axPos val="l"/>
        <c:majorGridlines/>
        <c:numFmt formatCode="&quot;€&quot;\ #,##0" sourceLinked="0"/>
        <c:tickLblPos val="nextTo"/>
        <c:crossAx val="121204096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"/>
                  <c:y val="2.3148148148148147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2.3148148148148147E-2"/>
                </c:manualLayout>
              </c:layout>
              <c:showVal val="1"/>
            </c:dLbl>
            <c:numFmt formatCode="&quot;€&quot;\ #,##0" sourceLinked="0"/>
            <c:txPr>
              <a:bodyPr/>
              <a:lstStyle/>
              <a:p>
                <a:pPr>
                  <a:defRPr sz="700" b="1"/>
                </a:pPr>
                <a:endParaRPr lang="it-IT"/>
              </a:p>
            </c:txPr>
            <c:showVal val="1"/>
          </c:dLbls>
          <c:cat>
            <c:strRef>
              <c:f>FINAL!$B$1:$C$1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FINAL!$B$27:$C$27</c:f>
              <c:numCache>
                <c:formatCode>"€"\ #,##0.00</c:formatCode>
                <c:ptCount val="2"/>
                <c:pt idx="0">
                  <c:v>170500</c:v>
                </c:pt>
                <c:pt idx="1">
                  <c:v>182754.41</c:v>
                </c:pt>
              </c:numCache>
            </c:numRef>
          </c:val>
        </c:ser>
        <c:axId val="121242752"/>
        <c:axId val="121244288"/>
      </c:barChart>
      <c:catAx>
        <c:axId val="121242752"/>
        <c:scaling>
          <c:orientation val="minMax"/>
        </c:scaling>
        <c:axPos val="b"/>
        <c:tickLblPos val="nextTo"/>
        <c:crossAx val="121244288"/>
        <c:crosses val="autoZero"/>
        <c:auto val="1"/>
        <c:lblAlgn val="ctr"/>
        <c:lblOffset val="100"/>
      </c:catAx>
      <c:valAx>
        <c:axId val="121244288"/>
        <c:scaling>
          <c:orientation val="minMax"/>
        </c:scaling>
        <c:axPos val="l"/>
        <c:majorGridlines/>
        <c:numFmt formatCode="&quot;€&quot;\ #,##0" sourceLinked="0"/>
        <c:tickLblPos val="nextTo"/>
        <c:crossAx val="12124275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116</xdr:row>
      <xdr:rowOff>190499</xdr:rowOff>
    </xdr:from>
    <xdr:to>
      <xdr:col>3</xdr:col>
      <xdr:colOff>1914525</xdr:colOff>
      <xdr:row>144</xdr:row>
      <xdr:rowOff>180974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1133474</xdr:colOff>
      <xdr:row>74</xdr:row>
      <xdr:rowOff>57150</xdr:rowOff>
    </xdr:from>
    <xdr:to>
      <xdr:col>3</xdr:col>
      <xdr:colOff>1943099</xdr:colOff>
      <xdr:row>97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990600</xdr:colOff>
      <xdr:row>34</xdr:row>
      <xdr:rowOff>85725</xdr:rowOff>
    </xdr:from>
    <xdr:to>
      <xdr:col>3</xdr:col>
      <xdr:colOff>1800225</xdr:colOff>
      <xdr:row>57</xdr:row>
      <xdr:rowOff>104775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3200400</xdr:colOff>
      <xdr:row>147</xdr:row>
      <xdr:rowOff>19050</xdr:rowOff>
    </xdr:from>
    <xdr:to>
      <xdr:col>2</xdr:col>
      <xdr:colOff>2943225</xdr:colOff>
      <xdr:row>161</xdr:row>
      <xdr:rowOff>95250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3114675</xdr:colOff>
      <xdr:row>58</xdr:row>
      <xdr:rowOff>0</xdr:rowOff>
    </xdr:from>
    <xdr:to>
      <xdr:col>2</xdr:col>
      <xdr:colOff>2857500</xdr:colOff>
      <xdr:row>72</xdr:row>
      <xdr:rowOff>76200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99</xdr:row>
      <xdr:rowOff>28575</xdr:rowOff>
    </xdr:from>
    <xdr:to>
      <xdr:col>2</xdr:col>
      <xdr:colOff>2971800</xdr:colOff>
      <xdr:row>113</xdr:row>
      <xdr:rowOff>104775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opLeftCell="A46" workbookViewId="0">
      <selection activeCell="A5" sqref="A5"/>
    </sheetView>
  </sheetViews>
  <sheetFormatPr defaultRowHeight="15"/>
  <cols>
    <col min="1" max="1" width="41.5703125" customWidth="1"/>
    <col min="2" max="2" width="13.85546875" customWidth="1"/>
    <col min="3" max="3" width="50.28515625" customWidth="1"/>
    <col min="4" max="4" width="32.85546875" customWidth="1"/>
    <col min="5" max="6" width="9.5703125" bestFit="1" customWidth="1"/>
  </cols>
  <sheetData>
    <row r="1" spans="1:6">
      <c r="A1" s="13" t="s">
        <v>33</v>
      </c>
      <c r="B1" s="2"/>
      <c r="C1" s="2"/>
    </row>
    <row r="2" spans="1:6">
      <c r="A2" s="3" t="s">
        <v>34</v>
      </c>
      <c r="B2" s="2"/>
      <c r="C2" s="2"/>
    </row>
    <row r="3" spans="1:6">
      <c r="A3" t="s">
        <v>35</v>
      </c>
      <c r="C3" s="2"/>
    </row>
    <row r="4" spans="1:6" ht="15.75" thickBot="1">
      <c r="A4" s="2"/>
      <c r="C4" s="9" t="s">
        <v>7</v>
      </c>
      <c r="D4" s="9" t="s">
        <v>8</v>
      </c>
    </row>
    <row r="5" spans="1:6" ht="15.75" thickBot="1">
      <c r="A5" s="4" t="s">
        <v>0</v>
      </c>
      <c r="C5" s="5">
        <v>9000</v>
      </c>
      <c r="D5" s="5">
        <v>7730.73</v>
      </c>
      <c r="E5" s="17" t="s">
        <v>36</v>
      </c>
    </row>
    <row r="6" spans="1:6">
      <c r="A6" s="6" t="s">
        <v>1</v>
      </c>
      <c r="C6" s="83">
        <v>1000</v>
      </c>
      <c r="D6" s="83">
        <v>1468</v>
      </c>
      <c r="E6" s="17" t="s">
        <v>88</v>
      </c>
    </row>
    <row r="7" spans="1:6" ht="15.75" thickBot="1">
      <c r="A7" s="7" t="s">
        <v>2</v>
      </c>
      <c r="C7" s="84"/>
      <c r="D7" s="84"/>
    </row>
    <row r="8" spans="1:6" ht="15.75" thickBot="1">
      <c r="A8" s="8" t="s">
        <v>10</v>
      </c>
      <c r="C8" s="10">
        <v>2500</v>
      </c>
      <c r="D8" s="10">
        <f>3183</f>
        <v>3183</v>
      </c>
    </row>
    <row r="9" spans="1:6" ht="15.75" thickBot="1">
      <c r="A9" s="6" t="s">
        <v>9</v>
      </c>
      <c r="C9" s="25">
        <v>4000</v>
      </c>
      <c r="D9" s="14">
        <f>973.28+1085.2+549.69+449.06</f>
        <v>3057.23</v>
      </c>
      <c r="E9" s="17" t="s">
        <v>91</v>
      </c>
    </row>
    <row r="10" spans="1:6" ht="15.75" thickBot="1">
      <c r="A10" s="8" t="s">
        <v>3</v>
      </c>
      <c r="C10" s="10">
        <v>2500</v>
      </c>
      <c r="D10" s="10">
        <v>1153.8599999999999</v>
      </c>
      <c r="E10" s="17" t="s">
        <v>83</v>
      </c>
    </row>
    <row r="11" spans="1:6" ht="15.75" thickBot="1">
      <c r="A11" s="6" t="s">
        <v>4</v>
      </c>
      <c r="C11" s="25" t="s">
        <v>31</v>
      </c>
      <c r="D11" s="26" t="s">
        <v>11</v>
      </c>
    </row>
    <row r="12" spans="1:6" ht="15.75" thickBot="1">
      <c r="A12" s="11" t="s">
        <v>5</v>
      </c>
      <c r="C12" s="12">
        <f>SUM(C5:C10)</f>
        <v>19000</v>
      </c>
      <c r="D12" s="12">
        <f>SUM(D5:D10)</f>
        <v>16592.82</v>
      </c>
      <c r="E12" s="39" t="s">
        <v>23</v>
      </c>
      <c r="F12" s="40">
        <f>C12-D12</f>
        <v>2407.1800000000003</v>
      </c>
    </row>
    <row r="14" spans="1:6">
      <c r="A14" s="13" t="s">
        <v>41</v>
      </c>
      <c r="C14" s="13"/>
      <c r="D14" s="13"/>
    </row>
    <row r="15" spans="1:6">
      <c r="A15" t="s">
        <v>42</v>
      </c>
    </row>
    <row r="16" spans="1:6">
      <c r="A16" t="s">
        <v>43</v>
      </c>
    </row>
    <row r="17" spans="1:7" ht="15.75" thickBot="1">
      <c r="C17" s="9" t="s">
        <v>7</v>
      </c>
      <c r="D17" s="9" t="s">
        <v>8</v>
      </c>
      <c r="E17" s="17"/>
    </row>
    <row r="18" spans="1:7" ht="15.75" customHeight="1" thickBot="1">
      <c r="A18" s="4" t="s">
        <v>0</v>
      </c>
      <c r="C18" s="5">
        <v>463</v>
      </c>
      <c r="D18" s="5">
        <v>463</v>
      </c>
      <c r="E18" s="17" t="s">
        <v>44</v>
      </c>
    </row>
    <row r="19" spans="1:7" ht="15.75" customHeight="1">
      <c r="A19" s="6" t="s">
        <v>1</v>
      </c>
      <c r="C19" s="83"/>
      <c r="D19" s="83">
        <v>69</v>
      </c>
      <c r="E19" s="17" t="s">
        <v>90</v>
      </c>
    </row>
    <row r="20" spans="1:7" ht="15.75" customHeight="1" thickBot="1">
      <c r="A20" s="7" t="s">
        <v>2</v>
      </c>
      <c r="C20" s="84"/>
      <c r="D20" s="84"/>
    </row>
    <row r="21" spans="1:7" ht="15.75" customHeight="1" thickBot="1">
      <c r="A21" s="8" t="s">
        <v>10</v>
      </c>
      <c r="C21" s="10"/>
      <c r="D21" s="10"/>
    </row>
    <row r="22" spans="1:7" ht="15.75" thickBot="1">
      <c r="A22" s="6" t="s">
        <v>9</v>
      </c>
      <c r="C22" s="25"/>
      <c r="D22" s="18"/>
    </row>
    <row r="23" spans="1:7" ht="15.75" thickBot="1">
      <c r="A23" s="8" t="s">
        <v>3</v>
      </c>
      <c r="C23" s="10"/>
      <c r="D23" s="10"/>
    </row>
    <row r="24" spans="1:7" ht="15.75" thickBot="1">
      <c r="A24" s="6" t="s">
        <v>4</v>
      </c>
      <c r="C24" s="25" t="s">
        <v>32</v>
      </c>
      <c r="D24" s="25" t="s">
        <v>32</v>
      </c>
    </row>
    <row r="25" spans="1:7" ht="15.75" thickBot="1">
      <c r="A25" s="11" t="s">
        <v>6</v>
      </c>
      <c r="C25" s="12">
        <f>SUM(C18:C23)</f>
        <v>463</v>
      </c>
      <c r="D25" s="12">
        <f>SUM(D18:D23)</f>
        <v>532</v>
      </c>
      <c r="E25" s="39" t="s">
        <v>23</v>
      </c>
      <c r="F25" s="40">
        <f>C25-D25</f>
        <v>-69</v>
      </c>
    </row>
    <row r="27" spans="1:7">
      <c r="A27" s="13" t="s">
        <v>37</v>
      </c>
      <c r="C27" s="1"/>
    </row>
    <row r="28" spans="1:7">
      <c r="A28" t="s">
        <v>38</v>
      </c>
      <c r="C28" s="2"/>
    </row>
    <row r="29" spans="1:7">
      <c r="A29" t="s">
        <v>39</v>
      </c>
    </row>
    <row r="30" spans="1:7" ht="15.75" thickBot="1">
      <c r="C30" s="9" t="s">
        <v>7</v>
      </c>
      <c r="D30" s="9" t="s">
        <v>22</v>
      </c>
      <c r="E30" s="17"/>
      <c r="F30" s="17"/>
      <c r="G30" s="17"/>
    </row>
    <row r="31" spans="1:7" ht="15" customHeight="1" thickBot="1">
      <c r="A31" s="4" t="s">
        <v>0</v>
      </c>
      <c r="C31" s="5">
        <v>6000</v>
      </c>
      <c r="D31" s="5">
        <v>5974.65</v>
      </c>
      <c r="E31" s="17" t="s">
        <v>40</v>
      </c>
    </row>
    <row r="32" spans="1:7" ht="15.75" customHeight="1">
      <c r="A32" s="6" t="s">
        <v>1</v>
      </c>
      <c r="C32" s="83">
        <v>500</v>
      </c>
      <c r="D32" s="83">
        <v>250.79</v>
      </c>
      <c r="E32" s="17" t="s">
        <v>87</v>
      </c>
    </row>
    <row r="33" spans="1:6" ht="15.75" customHeight="1" thickBot="1">
      <c r="A33" s="7" t="s">
        <v>2</v>
      </c>
      <c r="C33" s="84"/>
      <c r="D33" s="84"/>
    </row>
    <row r="34" spans="1:6" ht="15.75" customHeight="1" thickBot="1">
      <c r="A34" s="8" t="s">
        <v>10</v>
      </c>
      <c r="C34" s="10">
        <v>500</v>
      </c>
      <c r="D34" s="10">
        <f>854.96</f>
        <v>854.96</v>
      </c>
    </row>
    <row r="35" spans="1:6" ht="15.75" thickBot="1">
      <c r="A35" s="6" t="s">
        <v>9</v>
      </c>
      <c r="C35" s="25">
        <v>800</v>
      </c>
      <c r="D35" s="14">
        <f>301.92</f>
        <v>301.92</v>
      </c>
    </row>
    <row r="36" spans="1:6" ht="15.75" thickBot="1">
      <c r="A36" s="8" t="s">
        <v>3</v>
      </c>
      <c r="C36" s="10">
        <v>700</v>
      </c>
      <c r="D36" s="10">
        <v>0</v>
      </c>
      <c r="E36" s="17" t="s">
        <v>84</v>
      </c>
    </row>
    <row r="37" spans="1:6" ht="15.75" thickBot="1">
      <c r="A37" s="6" t="s">
        <v>4</v>
      </c>
      <c r="C37" s="25" t="s">
        <v>31</v>
      </c>
      <c r="D37" s="25" t="s">
        <v>25</v>
      </c>
    </row>
    <row r="38" spans="1:6" ht="15.75" thickBot="1">
      <c r="A38" s="11" t="s">
        <v>5</v>
      </c>
      <c r="C38" s="12">
        <f>SUM(C31:C36)</f>
        <v>8500</v>
      </c>
      <c r="D38" s="12">
        <f>SUM(D31:D36)</f>
        <v>7382.32</v>
      </c>
      <c r="E38" s="39" t="s">
        <v>23</v>
      </c>
      <c r="F38" s="40">
        <f>C38-D38</f>
        <v>1117.6800000000003</v>
      </c>
    </row>
    <row r="40" spans="1:6">
      <c r="A40" s="13" t="s">
        <v>46</v>
      </c>
    </row>
    <row r="41" spans="1:6">
      <c r="A41" t="s">
        <v>47</v>
      </c>
    </row>
    <row r="42" spans="1:6">
      <c r="A42" t="s">
        <v>48</v>
      </c>
    </row>
    <row r="43" spans="1:6" ht="15.75" thickBot="1">
      <c r="C43" s="9" t="s">
        <v>7</v>
      </c>
      <c r="D43" s="9" t="s">
        <v>8</v>
      </c>
    </row>
    <row r="44" spans="1:6" ht="15.75" thickBot="1">
      <c r="A44" s="4" t="s">
        <v>0</v>
      </c>
      <c r="C44" s="5">
        <v>10700</v>
      </c>
      <c r="D44" s="5">
        <v>10438.1</v>
      </c>
      <c r="E44" s="17" t="s">
        <v>49</v>
      </c>
    </row>
    <row r="45" spans="1:6">
      <c r="A45" s="6" t="s">
        <v>1</v>
      </c>
      <c r="C45" s="83">
        <v>1000</v>
      </c>
      <c r="D45" s="83">
        <f>97.6</f>
        <v>97.6</v>
      </c>
      <c r="E45" s="17" t="s">
        <v>92</v>
      </c>
    </row>
    <row r="46" spans="1:6" ht="15.75" thickBot="1">
      <c r="A46" s="7" t="s">
        <v>2</v>
      </c>
      <c r="C46" s="84"/>
      <c r="D46" s="84"/>
    </row>
    <row r="47" spans="1:6" ht="15.75" thickBot="1">
      <c r="A47" s="8" t="s">
        <v>10</v>
      </c>
      <c r="C47" s="10">
        <v>4000</v>
      </c>
      <c r="D47" s="10">
        <v>5023.62</v>
      </c>
      <c r="E47" s="17"/>
    </row>
    <row r="48" spans="1:6" ht="15.75" thickBot="1">
      <c r="A48" s="6" t="s">
        <v>9</v>
      </c>
      <c r="C48" s="25">
        <v>4500</v>
      </c>
      <c r="D48" s="25">
        <v>5068.93</v>
      </c>
    </row>
    <row r="49" spans="1:6" ht="15.75" thickBot="1">
      <c r="A49" s="8" t="s">
        <v>3</v>
      </c>
      <c r="C49" s="10">
        <v>5000</v>
      </c>
      <c r="D49" s="10">
        <v>4765.54</v>
      </c>
      <c r="E49" s="17" t="s">
        <v>86</v>
      </c>
    </row>
    <row r="50" spans="1:6" ht="15.75" thickBot="1">
      <c r="A50" s="6" t="s">
        <v>4</v>
      </c>
      <c r="C50" s="25" t="s">
        <v>12</v>
      </c>
      <c r="D50" s="27" t="s">
        <v>85</v>
      </c>
    </row>
    <row r="51" spans="1:6" ht="15.75" thickBot="1">
      <c r="A51" s="11" t="s">
        <v>6</v>
      </c>
      <c r="C51" s="12">
        <f>SUM(C44:C49)</f>
        <v>25200</v>
      </c>
      <c r="D51" s="12">
        <f>SUM(D44:D49)</f>
        <v>25393.79</v>
      </c>
      <c r="E51" s="39" t="s">
        <v>23</v>
      </c>
      <c r="F51" s="40">
        <f>C51-D51</f>
        <v>-193.79000000000087</v>
      </c>
    </row>
    <row r="53" spans="1:6">
      <c r="A53" s="13" t="s">
        <v>15</v>
      </c>
      <c r="C53" s="13"/>
      <c r="D53" s="13"/>
    </row>
    <row r="54" spans="1:6">
      <c r="A54" t="s">
        <v>45</v>
      </c>
    </row>
    <row r="55" spans="1:6">
      <c r="A55" t="s">
        <v>16</v>
      </c>
    </row>
    <row r="56" spans="1:6" ht="15.75" thickBot="1">
      <c r="C56" s="9" t="s">
        <v>7</v>
      </c>
      <c r="D56" s="9" t="s">
        <v>8</v>
      </c>
    </row>
    <row r="57" spans="1:6" ht="25.5" customHeight="1" thickBot="1">
      <c r="A57" s="4" t="s">
        <v>0</v>
      </c>
      <c r="C57" s="5">
        <v>6400</v>
      </c>
      <c r="D57" s="5">
        <v>6416.42</v>
      </c>
      <c r="E57" s="17" t="s">
        <v>50</v>
      </c>
    </row>
    <row r="58" spans="1:6" ht="15" customHeight="1">
      <c r="A58" s="6" t="s">
        <v>1</v>
      </c>
      <c r="C58" s="83">
        <v>1200</v>
      </c>
      <c r="D58" s="83">
        <v>1205</v>
      </c>
      <c r="E58" s="17" t="s">
        <v>89</v>
      </c>
    </row>
    <row r="59" spans="1:6" ht="15.75" customHeight="1" thickBot="1">
      <c r="A59" s="7" t="s">
        <v>2</v>
      </c>
      <c r="C59" s="84"/>
      <c r="D59" s="84"/>
    </row>
    <row r="60" spans="1:6" ht="15.75" customHeight="1" thickBot="1">
      <c r="A60" s="8" t="s">
        <v>10</v>
      </c>
      <c r="C60" s="10">
        <v>2800</v>
      </c>
      <c r="D60" s="10">
        <v>2182.6999999999998</v>
      </c>
    </row>
    <row r="61" spans="1:6" ht="15.75" customHeight="1" thickBot="1">
      <c r="A61" s="6" t="s">
        <v>9</v>
      </c>
      <c r="C61" s="25">
        <v>700</v>
      </c>
      <c r="D61" s="20">
        <f>516.09</f>
        <v>516.09</v>
      </c>
      <c r="E61" s="17"/>
    </row>
    <row r="62" spans="1:6" ht="15.75" thickBot="1">
      <c r="A62" s="8" t="s">
        <v>3</v>
      </c>
      <c r="C62" s="10">
        <v>1100</v>
      </c>
      <c r="D62" s="10">
        <f>266+269</f>
        <v>535</v>
      </c>
      <c r="E62" s="17" t="s">
        <v>83</v>
      </c>
    </row>
    <row r="63" spans="1:6" ht="15.75" thickBot="1">
      <c r="A63" s="6" t="s">
        <v>4</v>
      </c>
      <c r="C63" s="25" t="s">
        <v>25</v>
      </c>
      <c r="D63" s="25" t="s">
        <v>11</v>
      </c>
    </row>
    <row r="64" spans="1:6" ht="15.75" thickBot="1">
      <c r="A64" s="11" t="s">
        <v>6</v>
      </c>
      <c r="C64" s="12">
        <f>SUM(C57:C62)</f>
        <v>12200</v>
      </c>
      <c r="D64" s="12">
        <f>SUM(D57:D62)</f>
        <v>10855.21</v>
      </c>
      <c r="E64" s="39" t="s">
        <v>23</v>
      </c>
      <c r="F64" s="40">
        <f>C64-D64</f>
        <v>1344.7900000000009</v>
      </c>
    </row>
    <row r="66" spans="1:2" ht="15.75" thickBot="1"/>
    <row r="67" spans="1:2" ht="15.75" thickBot="1">
      <c r="A67" s="15" t="s">
        <v>13</v>
      </c>
      <c r="B67" s="16">
        <f>SUM(C12+C38+C25+C64+C51)</f>
        <v>65363</v>
      </c>
    </row>
    <row r="68" spans="1:2" ht="15.75" thickBot="1">
      <c r="A68" s="15" t="s">
        <v>14</v>
      </c>
      <c r="B68" s="16">
        <f>SUM(D12+D38+D25+D64+D51)</f>
        <v>60756.14</v>
      </c>
    </row>
    <row r="69" spans="1:2">
      <c r="A69" s="41" t="s">
        <v>23</v>
      </c>
      <c r="B69" s="42">
        <f>B67-B68</f>
        <v>4606.8600000000006</v>
      </c>
    </row>
  </sheetData>
  <mergeCells count="10">
    <mergeCell ref="C58:C59"/>
    <mergeCell ref="D58:D59"/>
    <mergeCell ref="C45:C46"/>
    <mergeCell ref="D45:D46"/>
    <mergeCell ref="C6:C7"/>
    <mergeCell ref="D6:D7"/>
    <mergeCell ref="C32:C33"/>
    <mergeCell ref="D32:D33"/>
    <mergeCell ref="D19:D20"/>
    <mergeCell ref="C19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C14" sqref="C14"/>
    </sheetView>
  </sheetViews>
  <sheetFormatPr defaultRowHeight="15"/>
  <cols>
    <col min="1" max="1" width="37.7109375" customWidth="1"/>
    <col min="2" max="2" width="13.85546875" customWidth="1"/>
    <col min="3" max="3" width="50.28515625" customWidth="1"/>
    <col min="4" max="4" width="32.85546875" customWidth="1"/>
    <col min="6" max="6" width="10.28515625" customWidth="1"/>
  </cols>
  <sheetData>
    <row r="1" spans="1:6">
      <c r="A1" s="13" t="s">
        <v>51</v>
      </c>
      <c r="B1" s="2"/>
      <c r="C1" s="2"/>
    </row>
    <row r="2" spans="1:6">
      <c r="A2" s="3" t="s">
        <v>52</v>
      </c>
      <c r="B2" s="2"/>
      <c r="C2" s="2"/>
    </row>
    <row r="3" spans="1:6">
      <c r="A3" t="s">
        <v>55</v>
      </c>
      <c r="C3" s="2"/>
    </row>
    <row r="4" spans="1:6" ht="15.75" thickBot="1">
      <c r="A4" s="2"/>
      <c r="C4" s="9" t="s">
        <v>7</v>
      </c>
      <c r="D4" s="9" t="s">
        <v>8</v>
      </c>
    </row>
    <row r="5" spans="1:6" ht="15.75" thickBot="1">
      <c r="A5" s="4" t="s">
        <v>0</v>
      </c>
      <c r="B5" t="s">
        <v>18</v>
      </c>
      <c r="C5" s="5">
        <v>8900</v>
      </c>
      <c r="D5" s="5">
        <v>9300</v>
      </c>
      <c r="E5" s="17" t="s">
        <v>109</v>
      </c>
    </row>
    <row r="6" spans="1:6">
      <c r="A6" s="6" t="s">
        <v>1</v>
      </c>
      <c r="C6" s="83">
        <v>1500</v>
      </c>
      <c r="D6" s="83">
        <v>950</v>
      </c>
      <c r="E6" s="17" t="s">
        <v>108</v>
      </c>
      <c r="F6" s="17"/>
    </row>
    <row r="7" spans="1:6" ht="15.75" thickBot="1">
      <c r="A7" s="7" t="s">
        <v>2</v>
      </c>
      <c r="C7" s="84"/>
      <c r="D7" s="84"/>
    </row>
    <row r="8" spans="1:6" ht="15.75" thickBot="1">
      <c r="A8" s="8" t="s">
        <v>10</v>
      </c>
      <c r="C8" s="10">
        <v>3200</v>
      </c>
      <c r="D8" s="5">
        <v>2660</v>
      </c>
    </row>
    <row r="9" spans="1:6" ht="15.75" thickBot="1">
      <c r="A9" s="6" t="s">
        <v>9</v>
      </c>
      <c r="C9" s="25">
        <v>5000</v>
      </c>
      <c r="D9" s="25">
        <v>5325</v>
      </c>
    </row>
    <row r="10" spans="1:6" ht="15.75" thickBot="1">
      <c r="A10" s="8" t="s">
        <v>3</v>
      </c>
      <c r="C10" s="10">
        <v>4000</v>
      </c>
      <c r="D10" s="10">
        <v>6150</v>
      </c>
      <c r="E10" s="17" t="s">
        <v>107</v>
      </c>
    </row>
    <row r="11" spans="1:6" ht="15.75" thickBot="1">
      <c r="A11" s="6" t="s">
        <v>4</v>
      </c>
      <c r="C11" s="25" t="s">
        <v>31</v>
      </c>
      <c r="D11" s="30" t="s">
        <v>110</v>
      </c>
    </row>
    <row r="12" spans="1:6" ht="15.75" thickBot="1">
      <c r="A12" s="11" t="s">
        <v>5</v>
      </c>
      <c r="C12" s="12">
        <f>SUM(C5:C10)</f>
        <v>22600</v>
      </c>
      <c r="D12" s="12">
        <f>SUM(D5:D10)</f>
        <v>24385</v>
      </c>
      <c r="E12" s="39" t="s">
        <v>23</v>
      </c>
      <c r="F12" s="40">
        <f>C12-D12</f>
        <v>-1785</v>
      </c>
    </row>
    <row r="14" spans="1:6">
      <c r="A14" s="13" t="s">
        <v>53</v>
      </c>
      <c r="C14" s="1"/>
    </row>
    <row r="15" spans="1:6">
      <c r="A15" s="3" t="s">
        <v>54</v>
      </c>
      <c r="C15" s="2"/>
    </row>
    <row r="16" spans="1:6">
      <c r="A16" t="s">
        <v>17</v>
      </c>
    </row>
    <row r="17" spans="1:6" ht="15.75" thickBot="1">
      <c r="C17" s="9" t="s">
        <v>7</v>
      </c>
      <c r="D17" s="9" t="s">
        <v>8</v>
      </c>
      <c r="E17" s="17"/>
    </row>
    <row r="18" spans="1:6" ht="15.75" thickBot="1">
      <c r="A18" s="4" t="s">
        <v>0</v>
      </c>
      <c r="C18" s="5">
        <v>8000</v>
      </c>
      <c r="D18" s="5">
        <v>8050</v>
      </c>
      <c r="E18" s="17" t="s">
        <v>82</v>
      </c>
      <c r="F18" s="17"/>
    </row>
    <row r="19" spans="1:6" ht="15" customHeight="1">
      <c r="A19" s="6" t="s">
        <v>1</v>
      </c>
      <c r="C19" s="83">
        <v>1000</v>
      </c>
      <c r="D19" s="83">
        <f>1160+502+60-416</f>
        <v>1306</v>
      </c>
    </row>
    <row r="20" spans="1:6" ht="15.75" customHeight="1" thickBot="1">
      <c r="A20" s="7" t="s">
        <v>2</v>
      </c>
      <c r="C20" s="84"/>
      <c r="D20" s="84"/>
    </row>
    <row r="21" spans="1:6" ht="15.75" customHeight="1" thickBot="1">
      <c r="A21" s="8" t="s">
        <v>10</v>
      </c>
      <c r="C21" s="10">
        <v>2200</v>
      </c>
      <c r="D21" s="5">
        <v>2015</v>
      </c>
      <c r="E21" s="17"/>
    </row>
    <row r="22" spans="1:6" ht="15.75" customHeight="1" thickBot="1">
      <c r="A22" s="6" t="s">
        <v>9</v>
      </c>
      <c r="C22" s="25">
        <v>2500</v>
      </c>
      <c r="D22" s="25">
        <v>1338</v>
      </c>
    </row>
    <row r="23" spans="1:6" ht="15" customHeight="1" thickBot="1">
      <c r="A23" s="8" t="s">
        <v>3</v>
      </c>
      <c r="C23" s="10">
        <v>2300</v>
      </c>
      <c r="D23" s="5">
        <v>785.17</v>
      </c>
      <c r="E23" s="17" t="s">
        <v>83</v>
      </c>
      <c r="F23" s="17"/>
    </row>
    <row r="24" spans="1:6" ht="15.75" thickBot="1">
      <c r="A24" s="6" t="s">
        <v>4</v>
      </c>
      <c r="C24" s="25" t="s">
        <v>31</v>
      </c>
      <c r="D24" s="30" t="s">
        <v>11</v>
      </c>
    </row>
    <row r="25" spans="1:6" ht="15.75" thickBot="1">
      <c r="A25" s="11" t="s">
        <v>5</v>
      </c>
      <c r="C25" s="12">
        <f>SUM(C18:C23)</f>
        <v>16000</v>
      </c>
      <c r="D25" s="12">
        <f>SUM(D18:D23)</f>
        <v>13494.17</v>
      </c>
      <c r="E25" s="39" t="s">
        <v>23</v>
      </c>
      <c r="F25" s="40">
        <f>C25-D25</f>
        <v>2505.83</v>
      </c>
    </row>
    <row r="27" spans="1:6">
      <c r="A27" s="13" t="s">
        <v>93</v>
      </c>
      <c r="C27" s="1"/>
    </row>
    <row r="28" spans="1:6">
      <c r="A28" s="3" t="s">
        <v>94</v>
      </c>
      <c r="C28" s="2"/>
    </row>
    <row r="29" spans="1:6">
      <c r="A29" t="s">
        <v>95</v>
      </c>
    </row>
    <row r="30" spans="1:6" ht="15.75" thickBot="1">
      <c r="C30" s="9" t="s">
        <v>7</v>
      </c>
      <c r="D30" s="9" t="s">
        <v>8</v>
      </c>
      <c r="E30" s="17"/>
    </row>
    <row r="31" spans="1:6" ht="15.75" thickBot="1">
      <c r="A31" s="4" t="s">
        <v>0</v>
      </c>
      <c r="C31" s="5">
        <v>0</v>
      </c>
      <c r="D31" s="5">
        <v>4500</v>
      </c>
      <c r="E31" s="17" t="s">
        <v>97</v>
      </c>
      <c r="F31" s="17"/>
    </row>
    <row r="32" spans="1:6" ht="15" customHeight="1">
      <c r="A32" s="6" t="s">
        <v>1</v>
      </c>
      <c r="C32" s="83">
        <v>0</v>
      </c>
      <c r="D32" s="83">
        <v>550</v>
      </c>
      <c r="E32" s="17" t="s">
        <v>98</v>
      </c>
    </row>
    <row r="33" spans="1:8" ht="15.75" customHeight="1" thickBot="1">
      <c r="A33" s="7" t="s">
        <v>2</v>
      </c>
      <c r="C33" s="84"/>
      <c r="D33" s="84"/>
    </row>
    <row r="34" spans="1:8" ht="14.25" customHeight="1" thickBot="1">
      <c r="A34" s="8" t="s">
        <v>10</v>
      </c>
      <c r="C34" s="10">
        <v>0</v>
      </c>
      <c r="D34" s="5">
        <v>1000</v>
      </c>
      <c r="E34" s="17"/>
    </row>
    <row r="35" spans="1:8" ht="15.75" customHeight="1" thickBot="1">
      <c r="A35" s="6" t="s">
        <v>9</v>
      </c>
      <c r="C35" s="28">
        <v>0</v>
      </c>
      <c r="D35" s="28">
        <v>1760</v>
      </c>
    </row>
    <row r="36" spans="1:8" ht="15" customHeight="1" thickBot="1">
      <c r="A36" s="8" t="s">
        <v>3</v>
      </c>
      <c r="C36" s="10">
        <v>0</v>
      </c>
      <c r="D36" s="5">
        <v>114.42</v>
      </c>
      <c r="E36" s="17" t="s">
        <v>111</v>
      </c>
    </row>
    <row r="37" spans="1:8" ht="15.75" thickBot="1">
      <c r="A37" s="6" t="s">
        <v>4</v>
      </c>
      <c r="C37" s="28"/>
      <c r="D37" s="29" t="s">
        <v>96</v>
      </c>
    </row>
    <row r="38" spans="1:8" ht="15.75" thickBot="1">
      <c r="A38" s="11" t="s">
        <v>5</v>
      </c>
      <c r="C38" s="12">
        <f>SUM(C31:C36)</f>
        <v>0</v>
      </c>
      <c r="D38" s="12">
        <f>SUM(D31:D36)</f>
        <v>7924.42</v>
      </c>
      <c r="E38" s="39" t="s">
        <v>23</v>
      </c>
      <c r="F38" s="40">
        <f>C38-D38</f>
        <v>-7924.42</v>
      </c>
    </row>
    <row r="40" spans="1:8">
      <c r="A40" s="13" t="s">
        <v>100</v>
      </c>
    </row>
    <row r="41" spans="1:8">
      <c r="A41" t="s">
        <v>102</v>
      </c>
    </row>
    <row r="42" spans="1:8">
      <c r="A42" t="s">
        <v>103</v>
      </c>
    </row>
    <row r="43" spans="1:8" ht="15.75" thickBot="1">
      <c r="C43" s="34" t="s">
        <v>101</v>
      </c>
      <c r="D43" s="9" t="s">
        <v>8</v>
      </c>
    </row>
    <row r="44" spans="1:8" ht="15.75" thickBot="1">
      <c r="A44" s="4" t="s">
        <v>0</v>
      </c>
      <c r="C44" s="35">
        <v>10700</v>
      </c>
      <c r="D44" s="31">
        <v>10475</v>
      </c>
      <c r="E44" s="17" t="s">
        <v>49</v>
      </c>
    </row>
    <row r="45" spans="1:8">
      <c r="A45" s="6" t="s">
        <v>1</v>
      </c>
      <c r="C45" s="85">
        <v>2000</v>
      </c>
      <c r="D45" s="87">
        <f>70+100+130</f>
        <v>300</v>
      </c>
      <c r="E45" s="53" t="s">
        <v>133</v>
      </c>
      <c r="F45" s="46"/>
    </row>
    <row r="46" spans="1:8" ht="15.75" thickBot="1">
      <c r="A46" s="7" t="s">
        <v>2</v>
      </c>
      <c r="C46" s="86"/>
      <c r="D46" s="88"/>
      <c r="E46" s="53"/>
      <c r="F46" s="46"/>
      <c r="G46" s="46"/>
      <c r="H46" s="46"/>
    </row>
    <row r="47" spans="1:8" ht="15.75" thickBot="1">
      <c r="A47" s="8" t="s">
        <v>10</v>
      </c>
      <c r="C47" s="36">
        <v>2700</v>
      </c>
      <c r="D47" s="31">
        <f>2625+150</f>
        <v>2775</v>
      </c>
      <c r="E47" s="46"/>
      <c r="F47" s="46"/>
    </row>
    <row r="48" spans="1:8" ht="15.75" thickBot="1">
      <c r="A48" s="6" t="s">
        <v>9</v>
      </c>
      <c r="C48" s="37">
        <v>1500</v>
      </c>
      <c r="D48" s="32">
        <v>1070</v>
      </c>
      <c r="E48" s="46"/>
      <c r="F48" s="46"/>
    </row>
    <row r="49" spans="1:6" ht="15.75" thickBot="1">
      <c r="A49" s="8" t="s">
        <v>3</v>
      </c>
      <c r="C49" s="36">
        <v>1800</v>
      </c>
      <c r="D49" s="33">
        <v>2498</v>
      </c>
      <c r="E49" s="17" t="s">
        <v>104</v>
      </c>
      <c r="F49" s="17"/>
    </row>
    <row r="50" spans="1:6" ht="15.75" thickBot="1">
      <c r="A50" s="6" t="s">
        <v>4</v>
      </c>
      <c r="C50" s="37" t="s">
        <v>106</v>
      </c>
      <c r="D50" s="52" t="s">
        <v>119</v>
      </c>
    </row>
    <row r="51" spans="1:6" ht="15.75" thickBot="1">
      <c r="A51" s="11" t="s">
        <v>6</v>
      </c>
      <c r="C51" s="38">
        <f>SUM(C44:C49)</f>
        <v>18700</v>
      </c>
      <c r="D51" s="12">
        <f>SUM(D44:D49)</f>
        <v>17118</v>
      </c>
      <c r="E51" s="39" t="s">
        <v>23</v>
      </c>
      <c r="F51" s="40">
        <f>C51-D51</f>
        <v>1582</v>
      </c>
    </row>
    <row r="52" spans="1:6">
      <c r="A52" s="13"/>
    </row>
    <row r="53" spans="1:6">
      <c r="A53" s="13" t="s">
        <v>128</v>
      </c>
    </row>
    <row r="54" spans="1:6">
      <c r="A54" t="s">
        <v>127</v>
      </c>
    </row>
    <row r="55" spans="1:6">
      <c r="A55" t="s">
        <v>57</v>
      </c>
    </row>
    <row r="56" spans="1:6" ht="15.75" thickBot="1">
      <c r="C56" s="34" t="s">
        <v>101</v>
      </c>
      <c r="D56" s="9" t="s">
        <v>8</v>
      </c>
    </row>
    <row r="57" spans="1:6" ht="15.75" thickBot="1">
      <c r="A57" s="4" t="s">
        <v>0</v>
      </c>
      <c r="C57" s="35">
        <v>0</v>
      </c>
      <c r="D57" s="31">
        <v>0</v>
      </c>
    </row>
    <row r="58" spans="1:6">
      <c r="A58" s="6" t="s">
        <v>1</v>
      </c>
      <c r="C58" s="85">
        <v>0</v>
      </c>
      <c r="D58" s="87">
        <v>0</v>
      </c>
    </row>
    <row r="59" spans="1:6" ht="15.75" thickBot="1">
      <c r="A59" s="7" t="s">
        <v>2</v>
      </c>
      <c r="C59" s="86"/>
      <c r="D59" s="88"/>
    </row>
    <row r="60" spans="1:6" ht="15.75" thickBot="1">
      <c r="A60" s="8" t="s">
        <v>10</v>
      </c>
      <c r="C60" s="36">
        <v>0</v>
      </c>
      <c r="D60" s="31">
        <v>250</v>
      </c>
    </row>
    <row r="61" spans="1:6" ht="15.75" thickBot="1">
      <c r="A61" s="6" t="s">
        <v>9</v>
      </c>
      <c r="C61" s="55">
        <v>0</v>
      </c>
      <c r="D61" s="56">
        <v>744</v>
      </c>
      <c r="E61" s="17" t="s">
        <v>130</v>
      </c>
    </row>
    <row r="62" spans="1:6" ht="15.75" thickBot="1">
      <c r="A62" s="8" t="s">
        <v>3</v>
      </c>
      <c r="C62" s="36">
        <v>0</v>
      </c>
      <c r="D62" s="33">
        <v>0</v>
      </c>
    </row>
    <row r="63" spans="1:6" ht="15.75" thickBot="1">
      <c r="A63" s="6" t="s">
        <v>4</v>
      </c>
      <c r="C63" s="55" t="s">
        <v>129</v>
      </c>
      <c r="D63" s="57" t="s">
        <v>131</v>
      </c>
    </row>
    <row r="64" spans="1:6" ht="15.75" thickBot="1">
      <c r="A64" s="11" t="s">
        <v>6</v>
      </c>
      <c r="C64" s="38">
        <f>SUM(C57:C62)</f>
        <v>0</v>
      </c>
      <c r="D64" s="12">
        <f>SUM(D57:D62)</f>
        <v>994</v>
      </c>
      <c r="E64" s="39" t="s">
        <v>23</v>
      </c>
      <c r="F64" s="40">
        <f>C64-D64</f>
        <v>-994</v>
      </c>
    </row>
    <row r="65" spans="1:6">
      <c r="A65" s="13"/>
    </row>
    <row r="66" spans="1:6">
      <c r="A66" s="13" t="s">
        <v>56</v>
      </c>
      <c r="C66" s="13"/>
      <c r="D66" s="13"/>
    </row>
    <row r="67" spans="1:6">
      <c r="A67" t="s">
        <v>20</v>
      </c>
    </row>
    <row r="68" spans="1:6">
      <c r="A68" t="s">
        <v>57</v>
      </c>
    </row>
    <row r="69" spans="1:6" ht="15.75" thickBot="1">
      <c r="C69" s="9" t="s">
        <v>7</v>
      </c>
      <c r="D69" s="9" t="s">
        <v>8</v>
      </c>
    </row>
    <row r="70" spans="1:6" ht="15.75" thickBot="1">
      <c r="A70" s="4" t="s">
        <v>0</v>
      </c>
      <c r="C70" s="5">
        <v>5300</v>
      </c>
      <c r="D70" s="5">
        <v>9500</v>
      </c>
    </row>
    <row r="71" spans="1:6" ht="15" customHeight="1">
      <c r="A71" s="6" t="s">
        <v>1</v>
      </c>
      <c r="C71" s="83">
        <v>1000</v>
      </c>
      <c r="D71" s="83">
        <f>233+45</f>
        <v>278</v>
      </c>
      <c r="E71" s="17" t="s">
        <v>132</v>
      </c>
    </row>
    <row r="72" spans="1:6" ht="15.75" customHeight="1" thickBot="1">
      <c r="A72" s="7" t="s">
        <v>2</v>
      </c>
      <c r="C72" s="84"/>
      <c r="D72" s="84"/>
    </row>
    <row r="73" spans="1:6" ht="15.75" customHeight="1" thickBot="1">
      <c r="A73" s="8" t="s">
        <v>10</v>
      </c>
      <c r="C73" s="10">
        <v>2000</v>
      </c>
      <c r="D73" s="5">
        <v>1600</v>
      </c>
    </row>
    <row r="74" spans="1:6" ht="15.75" customHeight="1" thickBot="1">
      <c r="A74" s="6" t="s">
        <v>9</v>
      </c>
      <c r="C74" s="25">
        <v>2200</v>
      </c>
      <c r="D74" s="25">
        <f>2118+232+23</f>
        <v>2373</v>
      </c>
    </row>
    <row r="75" spans="1:6" ht="15.75" thickBot="1">
      <c r="A75" s="8" t="s">
        <v>3</v>
      </c>
      <c r="C75" s="10">
        <v>8000</v>
      </c>
      <c r="D75" s="10">
        <v>5895</v>
      </c>
      <c r="E75" s="17" t="s">
        <v>104</v>
      </c>
      <c r="F75" s="17"/>
    </row>
    <row r="76" spans="1:6" ht="16.5" customHeight="1" thickBot="1">
      <c r="A76" s="6" t="s">
        <v>4</v>
      </c>
      <c r="C76" s="25" t="s">
        <v>58</v>
      </c>
      <c r="D76" s="30" t="s">
        <v>105</v>
      </c>
    </row>
    <row r="77" spans="1:6" ht="15.75" thickBot="1">
      <c r="A77" s="11" t="s">
        <v>6</v>
      </c>
      <c r="C77" s="12">
        <f>SUM(C70:C75)</f>
        <v>18500</v>
      </c>
      <c r="D77" s="12">
        <f>SUM(D70:D75)</f>
        <v>19646</v>
      </c>
      <c r="E77" s="39" t="s">
        <v>23</v>
      </c>
      <c r="F77" s="40">
        <f>C77-D77</f>
        <v>-1146</v>
      </c>
    </row>
    <row r="80" spans="1:6" ht="15.75" thickBot="1"/>
    <row r="81" spans="1:2" ht="15.75" thickBot="1">
      <c r="A81" s="15" t="s">
        <v>26</v>
      </c>
      <c r="B81" s="16">
        <f>SUM(C12,C25,C38,C51,C77)</f>
        <v>75800</v>
      </c>
    </row>
    <row r="82" spans="1:2" ht="15.75" thickBot="1">
      <c r="A82" s="15" t="s">
        <v>27</v>
      </c>
      <c r="B82" s="16">
        <f>SUM(D12,D25,D38,D51,D64,D77)</f>
        <v>83561.59</v>
      </c>
    </row>
    <row r="83" spans="1:2">
      <c r="A83" s="41" t="s">
        <v>23</v>
      </c>
      <c r="B83" s="42">
        <f>B81-B82</f>
        <v>-7761.5899999999965</v>
      </c>
    </row>
  </sheetData>
  <mergeCells count="12">
    <mergeCell ref="C45:C46"/>
    <mergeCell ref="D45:D46"/>
    <mergeCell ref="C71:C72"/>
    <mergeCell ref="D71:D72"/>
    <mergeCell ref="C6:C7"/>
    <mergeCell ref="D6:D7"/>
    <mergeCell ref="C19:C20"/>
    <mergeCell ref="D19:D20"/>
    <mergeCell ref="C32:C33"/>
    <mergeCell ref="D32:D33"/>
    <mergeCell ref="C58:C59"/>
    <mergeCell ref="D58:D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Normal="100" workbookViewId="0">
      <selection activeCell="D22" sqref="D22"/>
    </sheetView>
  </sheetViews>
  <sheetFormatPr defaultRowHeight="15"/>
  <cols>
    <col min="1" max="1" width="37.7109375" customWidth="1"/>
    <col min="2" max="2" width="13.85546875" customWidth="1"/>
    <col min="3" max="3" width="50.28515625" customWidth="1"/>
    <col min="4" max="4" width="32.85546875" customWidth="1"/>
    <col min="5" max="5" width="12.140625" customWidth="1"/>
    <col min="6" max="6" width="10.42578125" customWidth="1"/>
  </cols>
  <sheetData>
    <row r="1" spans="1:8">
      <c r="A1" s="13" t="s">
        <v>59</v>
      </c>
      <c r="B1" s="2"/>
      <c r="C1" s="2"/>
    </row>
    <row r="2" spans="1:8">
      <c r="A2" s="3" t="s">
        <v>60</v>
      </c>
      <c r="B2" s="2"/>
      <c r="C2" s="2"/>
    </row>
    <row r="3" spans="1:8">
      <c r="A3" t="s">
        <v>61</v>
      </c>
      <c r="C3" s="2"/>
    </row>
    <row r="4" spans="1:8" ht="15.75" thickBot="1">
      <c r="A4" s="2"/>
      <c r="C4" s="9" t="s">
        <v>7</v>
      </c>
      <c r="D4" s="9" t="s">
        <v>8</v>
      </c>
    </row>
    <row r="5" spans="1:8" ht="15.75" thickBot="1">
      <c r="A5" s="4" t="s">
        <v>0</v>
      </c>
      <c r="B5" t="s">
        <v>18</v>
      </c>
      <c r="C5" s="5">
        <v>10700</v>
      </c>
      <c r="D5" s="10">
        <v>10477</v>
      </c>
      <c r="E5" s="17" t="s">
        <v>49</v>
      </c>
    </row>
    <row r="6" spans="1:8">
      <c r="A6" s="6" t="s">
        <v>1</v>
      </c>
      <c r="C6" s="83">
        <v>2700</v>
      </c>
      <c r="D6" s="83">
        <f>413+60+300+641.28</f>
        <v>1414.28</v>
      </c>
      <c r="E6" s="17" t="s">
        <v>136</v>
      </c>
      <c r="F6" s="17"/>
      <c r="G6" s="17"/>
      <c r="H6" s="17"/>
    </row>
    <row r="7" spans="1:8" ht="15.75" thickBot="1">
      <c r="A7" s="7" t="s">
        <v>2</v>
      </c>
      <c r="C7" s="84"/>
      <c r="D7" s="84"/>
      <c r="E7" s="17"/>
      <c r="F7" s="17"/>
      <c r="G7" s="17"/>
      <c r="H7" s="17"/>
    </row>
    <row r="8" spans="1:8" ht="15.75" thickBot="1">
      <c r="A8" s="8" t="s">
        <v>10</v>
      </c>
      <c r="C8" s="10">
        <v>5000</v>
      </c>
      <c r="D8" s="10">
        <f>4464.9+45+59</f>
        <v>4568.8999999999996</v>
      </c>
    </row>
    <row r="9" spans="1:8" ht="15.75" thickBot="1">
      <c r="A9" s="6" t="s">
        <v>9</v>
      </c>
      <c r="C9" s="25">
        <v>10000</v>
      </c>
      <c r="D9" s="68">
        <f>9103.65-1305</f>
        <v>7798.65</v>
      </c>
    </row>
    <row r="10" spans="1:8" ht="15.75" thickBot="1">
      <c r="A10" s="8" t="s">
        <v>3</v>
      </c>
      <c r="C10" s="10">
        <v>2500</v>
      </c>
      <c r="D10" s="10">
        <v>5720</v>
      </c>
      <c r="E10" s="71"/>
    </row>
    <row r="11" spans="1:8" ht="15.75" thickBot="1">
      <c r="A11" s="6" t="s">
        <v>4</v>
      </c>
      <c r="C11" s="25" t="s">
        <v>12</v>
      </c>
      <c r="D11" s="60" t="s">
        <v>12</v>
      </c>
    </row>
    <row r="12" spans="1:8" ht="15.75" thickBot="1">
      <c r="A12" s="11" t="s">
        <v>5</v>
      </c>
      <c r="C12" s="12">
        <f>SUM(C5:C10)</f>
        <v>30900</v>
      </c>
      <c r="D12" s="12">
        <f>SUM(D5:D10)</f>
        <v>29978.83</v>
      </c>
      <c r="E12" s="39" t="s">
        <v>23</v>
      </c>
      <c r="F12" s="40">
        <f>C12-D12</f>
        <v>921.16999999999825</v>
      </c>
    </row>
    <row r="14" spans="1:8">
      <c r="A14" s="13" t="s">
        <v>24</v>
      </c>
      <c r="B14" s="2"/>
      <c r="C14" s="2"/>
    </row>
    <row r="15" spans="1:8">
      <c r="A15" s="3" t="s">
        <v>62</v>
      </c>
      <c r="B15" s="2"/>
      <c r="C15" s="2"/>
    </row>
    <row r="16" spans="1:8">
      <c r="A16" t="s">
        <v>63</v>
      </c>
      <c r="C16" s="2"/>
    </row>
    <row r="17" spans="1:11" ht="16.5" customHeight="1" thickBot="1">
      <c r="A17" s="2"/>
      <c r="C17" s="9" t="s">
        <v>7</v>
      </c>
      <c r="D17" s="9" t="s">
        <v>8</v>
      </c>
      <c r="E17" s="17"/>
    </row>
    <row r="18" spans="1:11" ht="15.75" thickBot="1">
      <c r="A18" s="4" t="s">
        <v>0</v>
      </c>
      <c r="B18" t="s">
        <v>18</v>
      </c>
      <c r="C18" s="5">
        <v>2500</v>
      </c>
      <c r="D18" s="5">
        <v>3200</v>
      </c>
      <c r="E18" s="50">
        <v>4472</v>
      </c>
      <c r="F18" s="23"/>
    </row>
    <row r="19" spans="1:11">
      <c r="A19" s="6" t="s">
        <v>1</v>
      </c>
      <c r="C19" s="83"/>
      <c r="D19" s="83">
        <f>915+100+111+166.52+196.35+400</f>
        <v>1888.87</v>
      </c>
      <c r="E19" s="70" t="s">
        <v>155</v>
      </c>
      <c r="F19" s="53"/>
      <c r="G19" s="53"/>
      <c r="H19" s="46"/>
      <c r="I19" s="46"/>
      <c r="J19" s="46"/>
      <c r="K19" s="46"/>
    </row>
    <row r="20" spans="1:11" ht="15.75" thickBot="1">
      <c r="A20" s="7" t="s">
        <v>2</v>
      </c>
      <c r="C20" s="84"/>
      <c r="D20" s="84"/>
      <c r="E20" s="53" t="s">
        <v>173</v>
      </c>
      <c r="F20" s="53"/>
      <c r="G20" s="46"/>
      <c r="H20" s="46"/>
      <c r="I20" s="46"/>
      <c r="J20" s="46"/>
      <c r="K20" s="46"/>
    </row>
    <row r="21" spans="1:11" ht="15.75" thickBot="1">
      <c r="A21" s="8" t="s">
        <v>10</v>
      </c>
      <c r="C21" s="10">
        <v>900</v>
      </c>
      <c r="D21" s="5">
        <v>1825</v>
      </c>
      <c r="E21" s="50" t="s">
        <v>139</v>
      </c>
      <c r="F21" s="17"/>
    </row>
    <row r="22" spans="1:11" ht="15.75" thickBot="1">
      <c r="A22" s="6" t="s">
        <v>9</v>
      </c>
      <c r="C22" s="25">
        <v>5000</v>
      </c>
      <c r="D22" s="73">
        <v>6020</v>
      </c>
      <c r="E22" s="53"/>
      <c r="F22" s="46"/>
      <c r="G22" s="46"/>
    </row>
    <row r="23" spans="1:11" ht="15.75" thickBot="1">
      <c r="A23" s="8" t="s">
        <v>3</v>
      </c>
      <c r="C23" s="10">
        <v>1200</v>
      </c>
      <c r="D23" s="10">
        <v>180.44</v>
      </c>
      <c r="E23" s="17" t="s">
        <v>156</v>
      </c>
      <c r="F23" s="46"/>
      <c r="G23" s="46"/>
    </row>
    <row r="24" spans="1:11" ht="15.75" thickBot="1">
      <c r="A24" s="6" t="s">
        <v>4</v>
      </c>
      <c r="C24" s="25" t="s">
        <v>21</v>
      </c>
      <c r="D24" s="67" t="s">
        <v>153</v>
      </c>
      <c r="F24" s="46"/>
      <c r="G24" s="46"/>
      <c r="H24" s="46"/>
      <c r="I24" s="46"/>
      <c r="J24" s="46"/>
      <c r="K24" s="46"/>
    </row>
    <row r="25" spans="1:11" ht="15.75" thickBot="1">
      <c r="A25" s="11" t="s">
        <v>5</v>
      </c>
      <c r="C25" s="12">
        <f>SUM(C18:C23)</f>
        <v>9600</v>
      </c>
      <c r="D25" s="12">
        <f>SUM(D18:D23)</f>
        <v>13114.31</v>
      </c>
      <c r="E25" s="39" t="s">
        <v>23</v>
      </c>
      <c r="F25" s="40">
        <f>C25-D25</f>
        <v>-3514.3099999999995</v>
      </c>
      <c r="G25" s="46"/>
      <c r="H25" s="46"/>
      <c r="I25" s="46"/>
      <c r="J25" s="46"/>
      <c r="K25" s="46"/>
    </row>
    <row r="26" spans="1:11">
      <c r="E26" s="62"/>
    </row>
    <row r="28" spans="1:11" ht="15.75" thickBot="1">
      <c r="D28" s="74"/>
    </row>
    <row r="29" spans="1:11" ht="15.75" thickBot="1">
      <c r="A29" s="15" t="s">
        <v>28</v>
      </c>
      <c r="B29" s="16">
        <f>SUM(C12,C25)</f>
        <v>40500</v>
      </c>
      <c r="D29" s="74"/>
    </row>
    <row r="30" spans="1:11" ht="15.75" thickBot="1">
      <c r="A30" s="15" t="s">
        <v>29</v>
      </c>
      <c r="B30" s="16">
        <f>SUM(D12,D25)</f>
        <v>43093.14</v>
      </c>
    </row>
    <row r="31" spans="1:11">
      <c r="A31" s="21" t="s">
        <v>23</v>
      </c>
      <c r="B31" s="42">
        <f>B29-B30</f>
        <v>-2593.1399999999994</v>
      </c>
    </row>
    <row r="34" spans="4:4">
      <c r="D34" s="22"/>
    </row>
    <row r="35" spans="4:4">
      <c r="D35" s="22"/>
    </row>
    <row r="38" spans="4:4">
      <c r="D38" s="22"/>
    </row>
    <row r="39" spans="4:4">
      <c r="D39" s="22"/>
    </row>
  </sheetData>
  <mergeCells count="4">
    <mergeCell ref="C6:C7"/>
    <mergeCell ref="D6:D7"/>
    <mergeCell ref="C19:C20"/>
    <mergeCell ref="D19:D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5"/>
  <sheetViews>
    <sheetView tabSelected="1" topLeftCell="A46" workbookViewId="0">
      <selection activeCell="E55" sqref="E55"/>
    </sheetView>
  </sheetViews>
  <sheetFormatPr defaultRowHeight="15"/>
  <cols>
    <col min="1" max="1" width="40" customWidth="1"/>
    <col min="2" max="2" width="13.85546875" customWidth="1"/>
    <col min="3" max="3" width="50.28515625" customWidth="1"/>
    <col min="4" max="4" width="32.85546875" customWidth="1"/>
    <col min="5" max="5" width="15" customWidth="1"/>
    <col min="6" max="6" width="11.42578125" customWidth="1"/>
    <col min="7" max="7" width="10.5703125" customWidth="1"/>
    <col min="9" max="9" width="10.7109375" customWidth="1"/>
  </cols>
  <sheetData>
    <row r="1" spans="1:12">
      <c r="A1" s="13" t="s">
        <v>64</v>
      </c>
      <c r="B1" s="2"/>
      <c r="C1" s="2"/>
    </row>
    <row r="2" spans="1:12">
      <c r="A2" s="3" t="s">
        <v>65</v>
      </c>
      <c r="B2" s="2"/>
      <c r="C2" s="2"/>
    </row>
    <row r="3" spans="1:12">
      <c r="A3" t="s">
        <v>66</v>
      </c>
      <c r="C3" s="2"/>
    </row>
    <row r="4" spans="1:12" ht="15.75" thickBot="1">
      <c r="A4" s="2"/>
      <c r="C4" s="9" t="s">
        <v>7</v>
      </c>
      <c r="D4" s="9" t="s">
        <v>8</v>
      </c>
    </row>
    <row r="5" spans="1:12" ht="15.75" thickBot="1">
      <c r="A5" s="4" t="s">
        <v>0</v>
      </c>
      <c r="B5" t="s">
        <v>18</v>
      </c>
      <c r="C5" s="5">
        <v>10700</v>
      </c>
      <c r="D5" s="10">
        <v>10781</v>
      </c>
      <c r="E5" s="17" t="s">
        <v>49</v>
      </c>
    </row>
    <row r="6" spans="1:12">
      <c r="A6" s="6" t="s">
        <v>1</v>
      </c>
      <c r="C6" s="83">
        <v>5000</v>
      </c>
      <c r="D6" s="83">
        <f>80+930+1170+1500</f>
        <v>3680</v>
      </c>
      <c r="E6" s="17" t="s">
        <v>157</v>
      </c>
      <c r="F6" s="17"/>
    </row>
    <row r="7" spans="1:12" ht="15.75" thickBot="1">
      <c r="A7" s="7" t="s">
        <v>2</v>
      </c>
      <c r="C7" s="84"/>
      <c r="D7" s="84"/>
      <c r="E7" s="53" t="s">
        <v>164</v>
      </c>
      <c r="F7" s="53"/>
      <c r="G7" s="46"/>
      <c r="H7" s="46"/>
    </row>
    <row r="8" spans="1:12" ht="15.75" thickBot="1">
      <c r="A8" s="8" t="s">
        <v>10</v>
      </c>
      <c r="C8" s="10">
        <v>4200</v>
      </c>
      <c r="D8" s="10">
        <f>5598+684-300</f>
        <v>5982</v>
      </c>
      <c r="E8" s="17" t="s">
        <v>166</v>
      </c>
      <c r="F8" s="17"/>
      <c r="G8" s="53"/>
      <c r="H8" s="46"/>
      <c r="I8" s="46"/>
      <c r="J8" s="46"/>
      <c r="K8" s="46"/>
      <c r="L8" s="46"/>
    </row>
    <row r="9" spans="1:12" ht="15.75" thickBot="1">
      <c r="A9" s="6" t="s">
        <v>9</v>
      </c>
      <c r="C9" s="25">
        <v>9500</v>
      </c>
      <c r="D9" s="25">
        <f>(836*4)+(2500*2)+642+450</f>
        <v>9436</v>
      </c>
      <c r="G9" s="46"/>
      <c r="H9" s="46"/>
      <c r="I9" s="46"/>
      <c r="J9" s="46"/>
      <c r="K9" s="46"/>
      <c r="L9" s="46"/>
    </row>
    <row r="10" spans="1:12" ht="15.75" thickBot="1">
      <c r="A10" s="8" t="s">
        <v>3</v>
      </c>
      <c r="C10" s="10">
        <v>1500</v>
      </c>
      <c r="D10" s="10">
        <v>0</v>
      </c>
    </row>
    <row r="11" spans="1:12" ht="15.75" thickBot="1">
      <c r="A11" s="6" t="s">
        <v>4</v>
      </c>
      <c r="C11" s="25" t="s">
        <v>67</v>
      </c>
      <c r="D11" s="72" t="s">
        <v>158</v>
      </c>
    </row>
    <row r="12" spans="1:12" ht="15.75" thickBot="1">
      <c r="A12" s="11" t="s">
        <v>5</v>
      </c>
      <c r="C12" s="12">
        <f>SUM(C5:C10)</f>
        <v>30900</v>
      </c>
      <c r="D12" s="12">
        <f>SUM(D5:D10)</f>
        <v>29879</v>
      </c>
      <c r="E12" s="39" t="s">
        <v>23</v>
      </c>
      <c r="F12" s="40">
        <f>C12-D12</f>
        <v>1021</v>
      </c>
    </row>
    <row r="14" spans="1:12">
      <c r="A14" s="13" t="s">
        <v>68</v>
      </c>
      <c r="B14" s="2"/>
      <c r="C14" s="2"/>
    </row>
    <row r="15" spans="1:12">
      <c r="A15" s="3" t="s">
        <v>69</v>
      </c>
      <c r="B15" s="2"/>
      <c r="C15" s="2"/>
    </row>
    <row r="16" spans="1:12">
      <c r="A16" t="s">
        <v>70</v>
      </c>
      <c r="C16" s="2"/>
    </row>
    <row r="17" spans="1:8" ht="16.5" customHeight="1" thickBot="1">
      <c r="A17" s="2"/>
      <c r="C17" s="9" t="s">
        <v>7</v>
      </c>
      <c r="D17" s="9" t="s">
        <v>8</v>
      </c>
      <c r="E17" s="17"/>
    </row>
    <row r="18" spans="1:8" ht="15.75" thickBot="1">
      <c r="A18" s="4" t="s">
        <v>0</v>
      </c>
      <c r="B18" t="s">
        <v>18</v>
      </c>
      <c r="C18" s="5">
        <v>4000</v>
      </c>
      <c r="D18" s="5">
        <v>3400</v>
      </c>
      <c r="E18" s="17" t="s">
        <v>99</v>
      </c>
      <c r="F18" s="17"/>
    </row>
    <row r="19" spans="1:8">
      <c r="A19" s="6" t="s">
        <v>1</v>
      </c>
      <c r="C19" s="83">
        <v>1000</v>
      </c>
      <c r="D19" s="83">
        <f>590+450+235+165+17+150</f>
        <v>1607</v>
      </c>
      <c r="E19" s="17" t="s">
        <v>170</v>
      </c>
    </row>
    <row r="20" spans="1:8" ht="15.75" thickBot="1">
      <c r="A20" s="7" t="s">
        <v>2</v>
      </c>
      <c r="C20" s="84"/>
      <c r="D20" s="84"/>
      <c r="E20" s="46"/>
      <c r="F20" s="46"/>
      <c r="G20" s="46"/>
      <c r="H20" s="46"/>
    </row>
    <row r="21" spans="1:8" ht="14.25" customHeight="1" thickBot="1">
      <c r="A21" s="8" t="s">
        <v>10</v>
      </c>
      <c r="C21" s="10">
        <v>3500</v>
      </c>
      <c r="D21" s="10">
        <v>2645.27</v>
      </c>
      <c r="E21" s="17"/>
      <c r="F21" s="17"/>
    </row>
    <row r="22" spans="1:8" ht="16.5" customHeight="1" thickBot="1">
      <c r="A22" s="6" t="s">
        <v>9</v>
      </c>
      <c r="C22" s="25">
        <v>4000</v>
      </c>
      <c r="D22" s="78">
        <f>1693+1237</f>
        <v>2930</v>
      </c>
      <c r="E22" s="17"/>
    </row>
    <row r="23" spans="1:8" ht="15.75" thickBot="1">
      <c r="A23" s="8" t="s">
        <v>3</v>
      </c>
      <c r="C23" s="10">
        <v>2500</v>
      </c>
      <c r="D23" s="10">
        <v>370</v>
      </c>
      <c r="E23" s="53" t="s">
        <v>175</v>
      </c>
      <c r="F23" s="46"/>
      <c r="G23" s="46"/>
    </row>
    <row r="24" spans="1:8" ht="15.75" thickBot="1">
      <c r="A24" s="6" t="s">
        <v>4</v>
      </c>
      <c r="C24" s="25" t="s">
        <v>31</v>
      </c>
      <c r="D24" s="51" t="s">
        <v>11</v>
      </c>
    </row>
    <row r="25" spans="1:8" ht="15.75" thickBot="1">
      <c r="A25" s="11" t="s">
        <v>5</v>
      </c>
      <c r="C25" s="12">
        <f>SUM(C18:C23)</f>
        <v>15000</v>
      </c>
      <c r="D25" s="12">
        <f>SUM(D18:D23)</f>
        <v>10952.27</v>
      </c>
      <c r="E25" s="39" t="s">
        <v>23</v>
      </c>
      <c r="F25" s="40">
        <f>C25-D25</f>
        <v>4047.7299999999996</v>
      </c>
    </row>
    <row r="27" spans="1:8">
      <c r="A27" s="13" t="s">
        <v>71</v>
      </c>
      <c r="B27" s="2"/>
      <c r="C27" s="2"/>
    </row>
    <row r="28" spans="1:8">
      <c r="A28" s="3" t="s">
        <v>69</v>
      </c>
      <c r="B28" s="2"/>
      <c r="C28" s="2"/>
    </row>
    <row r="29" spans="1:8">
      <c r="A29" t="s">
        <v>19</v>
      </c>
      <c r="C29" s="2"/>
    </row>
    <row r="30" spans="1:8" ht="15.75" thickBot="1">
      <c r="A30" s="2"/>
      <c r="C30" s="9" t="s">
        <v>7</v>
      </c>
      <c r="D30" s="9" t="s">
        <v>8</v>
      </c>
    </row>
    <row r="31" spans="1:8" ht="15.75" thickBot="1">
      <c r="A31" s="4" t="s">
        <v>0</v>
      </c>
      <c r="B31" t="s">
        <v>18</v>
      </c>
      <c r="C31" s="5">
        <v>2500</v>
      </c>
      <c r="D31" s="5">
        <v>0</v>
      </c>
      <c r="E31" s="17"/>
      <c r="F31" s="17"/>
    </row>
    <row r="32" spans="1:8">
      <c r="A32" s="6" t="s">
        <v>1</v>
      </c>
      <c r="C32" s="83">
        <v>1000</v>
      </c>
      <c r="D32" s="83">
        <v>0</v>
      </c>
      <c r="E32" s="17"/>
    </row>
    <row r="33" spans="1:9" ht="15.75" thickBot="1">
      <c r="A33" s="7" t="s">
        <v>2</v>
      </c>
      <c r="C33" s="84"/>
      <c r="D33" s="84"/>
    </row>
    <row r="34" spans="1:9" ht="15.75" thickBot="1">
      <c r="A34" s="8" t="s">
        <v>10</v>
      </c>
      <c r="C34" s="10">
        <v>2500</v>
      </c>
      <c r="D34" s="10">
        <v>0</v>
      </c>
      <c r="E34" s="17"/>
      <c r="F34" s="17"/>
    </row>
    <row r="35" spans="1:9" ht="15.75" thickBot="1">
      <c r="A35" s="6" t="s">
        <v>9</v>
      </c>
      <c r="C35" s="25">
        <v>1500</v>
      </c>
      <c r="D35" s="25">
        <v>0</v>
      </c>
      <c r="E35" s="17"/>
    </row>
    <row r="36" spans="1:9" ht="15.75" thickBot="1">
      <c r="A36" s="8" t="s">
        <v>3</v>
      </c>
      <c r="C36" s="10">
        <v>500</v>
      </c>
      <c r="D36" s="10">
        <v>0</v>
      </c>
      <c r="E36" s="19"/>
    </row>
    <row r="37" spans="1:9" ht="15.75" thickBot="1">
      <c r="A37" s="6" t="s">
        <v>4</v>
      </c>
      <c r="C37" s="25" t="s">
        <v>31</v>
      </c>
      <c r="D37" s="54" t="s">
        <v>122</v>
      </c>
    </row>
    <row r="38" spans="1:9" ht="15.75" thickBot="1">
      <c r="A38" s="11" t="s">
        <v>5</v>
      </c>
      <c r="C38" s="12">
        <f>SUM(C31:C36)</f>
        <v>8000</v>
      </c>
      <c r="D38" s="12">
        <f>SUM(D31:D36)</f>
        <v>0</v>
      </c>
      <c r="E38" s="39" t="s">
        <v>23</v>
      </c>
      <c r="F38" s="40">
        <f>C38-D38</f>
        <v>8000</v>
      </c>
    </row>
    <row r="40" spans="1:9">
      <c r="A40" s="13" t="s">
        <v>30</v>
      </c>
      <c r="B40" s="2"/>
      <c r="C40" s="2"/>
    </row>
    <row r="41" spans="1:9">
      <c r="A41" s="3" t="s">
        <v>112</v>
      </c>
      <c r="B41" s="2"/>
      <c r="C41" s="2"/>
    </row>
    <row r="42" spans="1:9">
      <c r="A42" t="s">
        <v>78</v>
      </c>
      <c r="C42" s="2"/>
    </row>
    <row r="43" spans="1:9" ht="15.75" thickBot="1">
      <c r="A43" s="2"/>
      <c r="C43" s="9" t="s">
        <v>7</v>
      </c>
      <c r="D43" s="9" t="s">
        <v>8</v>
      </c>
    </row>
    <row r="44" spans="1:9" ht="15.75" thickBot="1">
      <c r="A44" s="4" t="s">
        <v>0</v>
      </c>
      <c r="B44" t="s">
        <v>18</v>
      </c>
      <c r="C44" s="5">
        <v>6000</v>
      </c>
      <c r="D44" s="5">
        <v>8225</v>
      </c>
      <c r="E44" s="17"/>
    </row>
    <row r="45" spans="1:9">
      <c r="A45" s="6" t="s">
        <v>1</v>
      </c>
      <c r="C45" s="83">
        <v>1000</v>
      </c>
      <c r="D45" s="83">
        <f>480+60</f>
        <v>540</v>
      </c>
      <c r="E45" s="46" t="s">
        <v>165</v>
      </c>
      <c r="F45" s="46"/>
      <c r="G45" s="46"/>
    </row>
    <row r="46" spans="1:9" ht="15.75" thickBot="1">
      <c r="A46" s="7" t="s">
        <v>2</v>
      </c>
      <c r="C46" s="84"/>
      <c r="D46" s="84"/>
    </row>
    <row r="47" spans="1:9" ht="15.75" thickBot="1">
      <c r="A47" s="8" t="s">
        <v>10</v>
      </c>
      <c r="C47" s="10">
        <v>2500</v>
      </c>
      <c r="D47" s="10">
        <v>5009</v>
      </c>
      <c r="E47" s="46"/>
      <c r="F47" s="46"/>
      <c r="G47" s="46"/>
    </row>
    <row r="48" spans="1:9" ht="15.75" thickBot="1">
      <c r="A48" s="6" t="s">
        <v>9</v>
      </c>
      <c r="C48" s="25">
        <v>2500</v>
      </c>
      <c r="D48" s="78">
        <v>4627</v>
      </c>
      <c r="E48" s="46"/>
      <c r="F48" s="46"/>
      <c r="G48" s="46"/>
      <c r="H48" s="46"/>
      <c r="I48" s="46"/>
    </row>
    <row r="49" spans="1:9" ht="15.75" thickBot="1">
      <c r="A49" s="8" t="s">
        <v>3</v>
      </c>
      <c r="C49" s="10">
        <v>3500</v>
      </c>
      <c r="D49" s="10">
        <f>8350+545</f>
        <v>8895</v>
      </c>
      <c r="E49" s="53" t="s">
        <v>174</v>
      </c>
      <c r="F49" s="46"/>
      <c r="G49" s="46"/>
    </row>
    <row r="50" spans="1:9" ht="15.75" thickBot="1">
      <c r="A50" s="6" t="s">
        <v>4</v>
      </c>
      <c r="C50" s="25" t="s">
        <v>31</v>
      </c>
      <c r="D50" s="69" t="s">
        <v>154</v>
      </c>
    </row>
    <row r="51" spans="1:9" ht="15.75" thickBot="1">
      <c r="A51" s="11" t="s">
        <v>5</v>
      </c>
      <c r="C51" s="12">
        <f>SUM(C44:C49)</f>
        <v>15500</v>
      </c>
      <c r="D51" s="12">
        <f>SUM(D44:D49)</f>
        <v>27296</v>
      </c>
      <c r="E51" s="39" t="s">
        <v>23</v>
      </c>
      <c r="F51" s="40">
        <f>C51-D51</f>
        <v>-11796</v>
      </c>
    </row>
    <row r="52" spans="1:9">
      <c r="A52" s="45"/>
      <c r="B52" s="46"/>
      <c r="C52" s="47"/>
      <c r="D52" s="47"/>
    </row>
    <row r="53" spans="1:9">
      <c r="A53" s="13" t="s">
        <v>123</v>
      </c>
      <c r="B53" s="2"/>
      <c r="C53" s="2"/>
    </row>
    <row r="54" spans="1:9">
      <c r="A54" s="3" t="s">
        <v>124</v>
      </c>
      <c r="B54" s="2"/>
      <c r="C54" s="2"/>
    </row>
    <row r="55" spans="1:9">
      <c r="A55" t="s">
        <v>125</v>
      </c>
      <c r="C55" s="2"/>
    </row>
    <row r="56" spans="1:9" ht="15.75" thickBot="1">
      <c r="A56" s="2"/>
      <c r="C56" s="9" t="s">
        <v>7</v>
      </c>
      <c r="D56" s="9" t="s">
        <v>8</v>
      </c>
    </row>
    <row r="57" spans="1:9" ht="15.75" thickBot="1">
      <c r="A57" s="4" t="s">
        <v>0</v>
      </c>
      <c r="B57" t="s">
        <v>18</v>
      </c>
      <c r="C57" s="5">
        <v>0</v>
      </c>
      <c r="D57" s="5">
        <v>6250</v>
      </c>
      <c r="E57" s="17" t="s">
        <v>126</v>
      </c>
    </row>
    <row r="58" spans="1:9">
      <c r="A58" s="6" t="s">
        <v>1</v>
      </c>
      <c r="C58" s="83">
        <v>0</v>
      </c>
      <c r="D58" s="83">
        <v>235</v>
      </c>
      <c r="E58" s="17" t="s">
        <v>161</v>
      </c>
    </row>
    <row r="59" spans="1:9" ht="15.75" thickBot="1">
      <c r="A59" s="7" t="s">
        <v>2</v>
      </c>
      <c r="C59" s="84"/>
      <c r="D59" s="84"/>
    </row>
    <row r="60" spans="1:9" ht="15.75" thickBot="1">
      <c r="A60" s="8" t="s">
        <v>10</v>
      </c>
      <c r="C60" s="10">
        <v>0</v>
      </c>
      <c r="D60" s="5">
        <f>886+50</f>
        <v>936</v>
      </c>
      <c r="E60" s="53" t="s">
        <v>162</v>
      </c>
      <c r="F60" s="46"/>
    </row>
    <row r="61" spans="1:9" ht="15.75" thickBot="1">
      <c r="A61" s="6" t="s">
        <v>9</v>
      </c>
      <c r="C61" s="54">
        <v>0</v>
      </c>
      <c r="D61" s="77">
        <f>216+75</f>
        <v>291</v>
      </c>
      <c r="E61" s="76"/>
    </row>
    <row r="62" spans="1:9" ht="15.75" thickBot="1">
      <c r="A62" s="8" t="s">
        <v>3</v>
      </c>
      <c r="C62" s="10">
        <v>0</v>
      </c>
      <c r="D62" s="10">
        <v>0</v>
      </c>
      <c r="E62" s="53" t="s">
        <v>179</v>
      </c>
      <c r="F62" s="46"/>
      <c r="G62" s="46"/>
      <c r="H62" s="46"/>
      <c r="I62" s="46"/>
    </row>
    <row r="63" spans="1:9" ht="15.75" thickBot="1">
      <c r="A63" s="6" t="s">
        <v>4</v>
      </c>
      <c r="C63" s="54" t="s">
        <v>122</v>
      </c>
      <c r="D63" s="75" t="s">
        <v>96</v>
      </c>
    </row>
    <row r="64" spans="1:9" ht="15.75" thickBot="1">
      <c r="A64" s="11" t="s">
        <v>5</v>
      </c>
      <c r="C64" s="12">
        <f>SUM(C57:C62)</f>
        <v>0</v>
      </c>
      <c r="D64" s="12">
        <f>SUM(D57:D62)</f>
        <v>7712</v>
      </c>
      <c r="E64" s="39" t="s">
        <v>23</v>
      </c>
      <c r="F64" s="40">
        <f>C64-D64</f>
        <v>-7712</v>
      </c>
    </row>
    <row r="65" spans="1:6">
      <c r="A65" s="45"/>
      <c r="B65" s="46"/>
      <c r="C65" s="47"/>
      <c r="D65" s="47"/>
    </row>
    <row r="66" spans="1:6">
      <c r="A66" s="13" t="s">
        <v>72</v>
      </c>
      <c r="B66" s="2"/>
      <c r="C66" s="2"/>
    </row>
    <row r="67" spans="1:6">
      <c r="A67" s="3" t="s">
        <v>73</v>
      </c>
      <c r="B67" s="2"/>
      <c r="C67" s="2"/>
    </row>
    <row r="68" spans="1:6">
      <c r="A68" t="s">
        <v>74</v>
      </c>
      <c r="C68" s="2"/>
    </row>
    <row r="69" spans="1:6" ht="15.75" thickBot="1">
      <c r="A69" s="2"/>
      <c r="C69" s="9" t="s">
        <v>7</v>
      </c>
      <c r="D69" s="9" t="s">
        <v>8</v>
      </c>
    </row>
    <row r="70" spans="1:6" ht="15.75" thickBot="1">
      <c r="A70" s="4" t="s">
        <v>0</v>
      </c>
      <c r="B70" t="s">
        <v>18</v>
      </c>
      <c r="C70" s="5">
        <v>8000</v>
      </c>
      <c r="D70" s="5">
        <v>3200</v>
      </c>
      <c r="E70" s="17" t="s">
        <v>120</v>
      </c>
    </row>
    <row r="71" spans="1:6">
      <c r="A71" s="6" t="s">
        <v>1</v>
      </c>
      <c r="C71" s="83">
        <v>1200</v>
      </c>
      <c r="D71" s="83">
        <f>106+898+2535</f>
        <v>3539</v>
      </c>
      <c r="E71" s="24" t="s">
        <v>159</v>
      </c>
    </row>
    <row r="72" spans="1:6" ht="15.75" thickBot="1">
      <c r="A72" s="7" t="s">
        <v>2</v>
      </c>
      <c r="C72" s="84"/>
      <c r="D72" s="84"/>
      <c r="E72" s="17" t="s">
        <v>160</v>
      </c>
    </row>
    <row r="73" spans="1:6" ht="15.75" thickBot="1">
      <c r="A73" s="8" t="s">
        <v>10</v>
      </c>
      <c r="C73" s="10">
        <v>2000</v>
      </c>
      <c r="D73" s="10">
        <f>683+50</f>
        <v>733</v>
      </c>
      <c r="E73" s="53" t="s">
        <v>162</v>
      </c>
    </row>
    <row r="74" spans="1:6" ht="15.75" thickBot="1">
      <c r="A74" s="6" t="s">
        <v>9</v>
      </c>
      <c r="C74" s="25">
        <v>3000</v>
      </c>
      <c r="D74" s="77">
        <f>733+216+100</f>
        <v>1049</v>
      </c>
      <c r="E74" s="76"/>
    </row>
    <row r="75" spans="1:6" ht="15.75" thickBot="1">
      <c r="A75" s="8" t="s">
        <v>3</v>
      </c>
      <c r="C75" s="10">
        <v>1800</v>
      </c>
      <c r="D75" s="10">
        <f>105+150+130</f>
        <v>385</v>
      </c>
      <c r="E75" s="76" t="s">
        <v>176</v>
      </c>
    </row>
    <row r="76" spans="1:6" ht="15.75" thickBot="1">
      <c r="A76" s="6" t="s">
        <v>4</v>
      </c>
      <c r="C76" s="25" t="s">
        <v>11</v>
      </c>
      <c r="D76" s="75" t="s">
        <v>163</v>
      </c>
    </row>
    <row r="77" spans="1:6" ht="15.75" thickBot="1">
      <c r="A77" s="11" t="s">
        <v>5</v>
      </c>
      <c r="C77" s="12">
        <f>SUM(C70:C75)</f>
        <v>16000</v>
      </c>
      <c r="D77" s="12">
        <f>SUM(D70:D75)</f>
        <v>8906</v>
      </c>
      <c r="E77" s="39" t="s">
        <v>23</v>
      </c>
      <c r="F77" s="40">
        <f>C77-D77</f>
        <v>7094</v>
      </c>
    </row>
    <row r="78" spans="1:6">
      <c r="A78" s="45"/>
      <c r="B78" s="46"/>
      <c r="C78" s="47"/>
      <c r="D78" s="47"/>
    </row>
    <row r="79" spans="1:6">
      <c r="A79" s="13" t="s">
        <v>137</v>
      </c>
      <c r="B79" s="2"/>
      <c r="C79" s="2"/>
    </row>
    <row r="80" spans="1:6">
      <c r="A80" s="3" t="s">
        <v>138</v>
      </c>
      <c r="B80" s="2"/>
      <c r="C80" s="2"/>
    </row>
    <row r="81" spans="1:6">
      <c r="A81" t="s">
        <v>57</v>
      </c>
      <c r="C81" s="2"/>
    </row>
    <row r="82" spans="1:6" ht="15.75" thickBot="1">
      <c r="A82" s="2"/>
      <c r="C82" s="9" t="s">
        <v>7</v>
      </c>
      <c r="D82" s="9" t="s">
        <v>8</v>
      </c>
    </row>
    <row r="83" spans="1:6" ht="15.75" thickBot="1">
      <c r="A83" s="4" t="s">
        <v>0</v>
      </c>
      <c r="B83" t="s">
        <v>18</v>
      </c>
      <c r="C83" s="5">
        <v>0</v>
      </c>
      <c r="D83" s="5">
        <v>3000</v>
      </c>
      <c r="E83" s="17"/>
    </row>
    <row r="84" spans="1:6">
      <c r="A84" s="6" t="s">
        <v>1</v>
      </c>
      <c r="C84" s="83">
        <v>0</v>
      </c>
      <c r="D84" s="83"/>
      <c r="E84" s="24"/>
    </row>
    <row r="85" spans="1:6" ht="15.75" thickBot="1">
      <c r="A85" s="7" t="s">
        <v>2</v>
      </c>
      <c r="C85" s="84"/>
      <c r="D85" s="84"/>
    </row>
    <row r="86" spans="1:6" ht="15.75" thickBot="1">
      <c r="A86" s="8" t="s">
        <v>10</v>
      </c>
      <c r="C86" s="10">
        <v>0</v>
      </c>
      <c r="D86" s="10">
        <v>240</v>
      </c>
    </row>
    <row r="87" spans="1:6" ht="15.75" thickBot="1">
      <c r="A87" s="6" t="s">
        <v>9</v>
      </c>
      <c r="C87" s="61">
        <v>0</v>
      </c>
      <c r="D87" s="80">
        <f>116*3</f>
        <v>348</v>
      </c>
      <c r="E87" s="17" t="s">
        <v>130</v>
      </c>
    </row>
    <row r="88" spans="1:6" ht="15.75" thickBot="1">
      <c r="A88" s="8" t="s">
        <v>3</v>
      </c>
      <c r="C88" s="10">
        <v>0</v>
      </c>
      <c r="D88" s="10">
        <v>22</v>
      </c>
      <c r="E88" s="53" t="s">
        <v>167</v>
      </c>
      <c r="F88" s="46"/>
    </row>
    <row r="89" spans="1:6" ht="15.75" thickBot="1">
      <c r="A89" s="6" t="s">
        <v>4</v>
      </c>
      <c r="C89" s="61" t="s">
        <v>129</v>
      </c>
      <c r="D89" s="75" t="s">
        <v>25</v>
      </c>
    </row>
    <row r="90" spans="1:6" ht="15.75" thickBot="1">
      <c r="A90" s="11" t="s">
        <v>5</v>
      </c>
      <c r="C90" s="12">
        <f>SUM(C83:C88)</f>
        <v>0</v>
      </c>
      <c r="D90" s="12">
        <f>SUM(D83:D88)</f>
        <v>3610</v>
      </c>
      <c r="E90" s="39" t="s">
        <v>23</v>
      </c>
      <c r="F90" s="40">
        <f>C90-D90</f>
        <v>-3610</v>
      </c>
    </row>
    <row r="92" spans="1:6">
      <c r="A92" s="13" t="s">
        <v>149</v>
      </c>
      <c r="B92" s="2"/>
      <c r="C92" s="2"/>
    </row>
    <row r="93" spans="1:6">
      <c r="A93" s="3" t="s">
        <v>150</v>
      </c>
      <c r="B93" s="2"/>
      <c r="C93" s="2"/>
    </row>
    <row r="94" spans="1:6">
      <c r="A94" t="s">
        <v>151</v>
      </c>
      <c r="C94" s="2"/>
    </row>
    <row r="95" spans="1:6" ht="15.75" thickBot="1">
      <c r="A95" s="2"/>
      <c r="C95" s="9" t="s">
        <v>7</v>
      </c>
      <c r="D95" s="9" t="s">
        <v>8</v>
      </c>
    </row>
    <row r="96" spans="1:6" ht="15.75" thickBot="1">
      <c r="A96" s="4" t="s">
        <v>0</v>
      </c>
      <c r="B96" t="s">
        <v>18</v>
      </c>
      <c r="C96" s="5">
        <v>0</v>
      </c>
      <c r="D96" s="5">
        <v>5000</v>
      </c>
    </row>
    <row r="97" spans="1:7">
      <c r="A97" s="6" t="s">
        <v>1</v>
      </c>
      <c r="C97" s="83">
        <v>0</v>
      </c>
      <c r="D97" s="83"/>
    </row>
    <row r="98" spans="1:7" ht="15.75" thickBot="1">
      <c r="A98" s="7" t="s">
        <v>2</v>
      </c>
      <c r="C98" s="84"/>
      <c r="D98" s="84"/>
    </row>
    <row r="99" spans="1:7" ht="15.75" thickBot="1">
      <c r="A99" s="8" t="s">
        <v>10</v>
      </c>
      <c r="C99" s="10">
        <v>0</v>
      </c>
      <c r="D99" s="10">
        <v>357</v>
      </c>
      <c r="E99" s="24"/>
    </row>
    <row r="100" spans="1:7" ht="15.75" thickBot="1">
      <c r="A100" s="6" t="s">
        <v>9</v>
      </c>
      <c r="C100" s="66">
        <v>0</v>
      </c>
      <c r="D100" s="66">
        <v>388</v>
      </c>
    </row>
    <row r="101" spans="1:7" ht="15.75" thickBot="1">
      <c r="A101" s="8" t="s">
        <v>3</v>
      </c>
      <c r="C101" s="10">
        <v>0</v>
      </c>
      <c r="D101" s="10">
        <v>188</v>
      </c>
      <c r="E101" s="53" t="s">
        <v>167</v>
      </c>
      <c r="F101" s="46"/>
    </row>
    <row r="102" spans="1:7" ht="15.75" thickBot="1">
      <c r="A102" s="6" t="s">
        <v>4</v>
      </c>
      <c r="C102" s="66" t="s">
        <v>129</v>
      </c>
      <c r="D102" s="75" t="s">
        <v>32</v>
      </c>
    </row>
    <row r="103" spans="1:7" ht="15.75" thickBot="1">
      <c r="A103" s="11" t="s">
        <v>5</v>
      </c>
      <c r="C103" s="12">
        <f>SUM(C96:C101)</f>
        <v>0</v>
      </c>
      <c r="D103" s="12">
        <f>SUM(D96:D101)</f>
        <v>5933</v>
      </c>
      <c r="E103" s="39" t="s">
        <v>23</v>
      </c>
      <c r="F103" s="40">
        <f>C103-D103</f>
        <v>-5933</v>
      </c>
    </row>
    <row r="105" spans="1:7">
      <c r="A105" s="13" t="s">
        <v>113</v>
      </c>
      <c r="B105" s="2"/>
      <c r="C105" s="2"/>
    </row>
    <row r="106" spans="1:7">
      <c r="A106" s="3" t="s">
        <v>114</v>
      </c>
      <c r="B106" s="2"/>
      <c r="C106" s="2"/>
    </row>
    <row r="107" spans="1:7">
      <c r="A107" t="s">
        <v>116</v>
      </c>
      <c r="C107" s="2"/>
    </row>
    <row r="108" spans="1:7" ht="15.75" thickBot="1">
      <c r="A108" s="2"/>
      <c r="C108" s="9" t="s">
        <v>7</v>
      </c>
      <c r="D108" s="9" t="s">
        <v>8</v>
      </c>
    </row>
    <row r="109" spans="1:7" ht="15.75" thickBot="1">
      <c r="A109" s="4" t="s">
        <v>0</v>
      </c>
      <c r="B109" t="s">
        <v>18</v>
      </c>
      <c r="C109" s="5">
        <v>0</v>
      </c>
      <c r="D109" s="5">
        <v>12000</v>
      </c>
    </row>
    <row r="110" spans="1:7">
      <c r="A110" s="6" t="s">
        <v>1</v>
      </c>
      <c r="C110" s="83">
        <v>0</v>
      </c>
      <c r="D110" s="83">
        <v>0</v>
      </c>
    </row>
    <row r="111" spans="1:7" ht="15.75" thickBot="1">
      <c r="A111" s="7" t="s">
        <v>2</v>
      </c>
      <c r="C111" s="84"/>
      <c r="D111" s="84"/>
    </row>
    <row r="112" spans="1:7" ht="15.75" thickBot="1">
      <c r="A112" s="8" t="s">
        <v>10</v>
      </c>
      <c r="C112" s="10">
        <v>0</v>
      </c>
      <c r="D112" s="5">
        <v>1956</v>
      </c>
      <c r="E112" s="82" t="s">
        <v>172</v>
      </c>
      <c r="F112" s="46"/>
      <c r="G112" s="46"/>
    </row>
    <row r="113" spans="1:8" ht="15.75" thickBot="1">
      <c r="A113" s="6" t="s">
        <v>9</v>
      </c>
      <c r="C113" s="43">
        <v>0</v>
      </c>
      <c r="D113" s="43">
        <v>0</v>
      </c>
    </row>
    <row r="114" spans="1:8" ht="15.75" thickBot="1">
      <c r="A114" s="8" t="s">
        <v>3</v>
      </c>
      <c r="C114" s="10">
        <v>0</v>
      </c>
      <c r="D114" s="10">
        <v>0</v>
      </c>
    </row>
    <row r="115" spans="1:8" ht="15.75" thickBot="1">
      <c r="A115" s="6" t="s">
        <v>4</v>
      </c>
      <c r="C115" s="54" t="s">
        <v>121</v>
      </c>
      <c r="D115" s="75" t="s">
        <v>96</v>
      </c>
    </row>
    <row r="116" spans="1:8" ht="15.75" thickBot="1">
      <c r="A116" s="11" t="s">
        <v>5</v>
      </c>
      <c r="C116" s="12">
        <f>SUM(C109:C114)</f>
        <v>0</v>
      </c>
      <c r="D116" s="12">
        <f>SUM(D109:D114)</f>
        <v>13956</v>
      </c>
      <c r="E116" s="39" t="s">
        <v>23</v>
      </c>
      <c r="F116" s="40">
        <f>C116-D116</f>
        <v>-13956</v>
      </c>
    </row>
    <row r="117" spans="1:8">
      <c r="A117" s="45"/>
      <c r="B117" s="46"/>
      <c r="C117" s="47"/>
      <c r="D117" s="47"/>
    </row>
    <row r="118" spans="1:8">
      <c r="A118" s="13" t="s">
        <v>75</v>
      </c>
      <c r="B118" s="2"/>
      <c r="C118" s="2"/>
    </row>
    <row r="119" spans="1:8">
      <c r="A119" s="3" t="s">
        <v>115</v>
      </c>
      <c r="B119" s="2"/>
      <c r="C119" s="2"/>
    </row>
    <row r="120" spans="1:8">
      <c r="A120" t="s">
        <v>76</v>
      </c>
      <c r="C120" s="2"/>
    </row>
    <row r="121" spans="1:8" ht="15.75" thickBot="1">
      <c r="A121" s="2"/>
      <c r="C121" s="9" t="s">
        <v>7</v>
      </c>
      <c r="D121" s="9" t="s">
        <v>8</v>
      </c>
    </row>
    <row r="122" spans="1:8" ht="15.75" thickBot="1">
      <c r="A122" s="4" t="s">
        <v>0</v>
      </c>
      <c r="B122" t="s">
        <v>18</v>
      </c>
      <c r="C122" s="5">
        <v>8000</v>
      </c>
      <c r="D122" s="5">
        <v>7300</v>
      </c>
      <c r="E122" s="17"/>
    </row>
    <row r="123" spans="1:8">
      <c r="A123" s="6" t="s">
        <v>1</v>
      </c>
      <c r="C123" s="83">
        <v>1200</v>
      </c>
      <c r="D123" s="83"/>
    </row>
    <row r="124" spans="1:8" ht="15.75" thickBot="1">
      <c r="A124" s="7" t="s">
        <v>2</v>
      </c>
      <c r="C124" s="84"/>
      <c r="D124" s="84"/>
    </row>
    <row r="125" spans="1:8" ht="15.75" thickBot="1">
      <c r="A125" s="8" t="s">
        <v>10</v>
      </c>
      <c r="C125" s="10">
        <v>3000</v>
      </c>
      <c r="D125" s="10">
        <f>383+478+20</f>
        <v>881</v>
      </c>
      <c r="E125" s="53" t="s">
        <v>169</v>
      </c>
      <c r="F125" s="53"/>
      <c r="G125" s="53"/>
      <c r="H125" s="46"/>
    </row>
    <row r="126" spans="1:8" ht="15.75" thickBot="1">
      <c r="A126" s="6" t="s">
        <v>9</v>
      </c>
      <c r="C126" s="25">
        <v>4200</v>
      </c>
      <c r="D126" s="79">
        <f>340+335</f>
        <v>675</v>
      </c>
    </row>
    <row r="127" spans="1:8" ht="15.75" thickBot="1">
      <c r="A127" s="8" t="s">
        <v>3</v>
      </c>
      <c r="C127" s="10">
        <v>2000</v>
      </c>
      <c r="D127" s="10"/>
    </row>
    <row r="128" spans="1:8" ht="15.75" thickBot="1">
      <c r="A128" s="6" t="s">
        <v>4</v>
      </c>
      <c r="C128" s="25" t="s">
        <v>77</v>
      </c>
      <c r="D128" s="75" t="s">
        <v>11</v>
      </c>
    </row>
    <row r="129" spans="1:12" ht="15.75" thickBot="1">
      <c r="A129" s="11" t="s">
        <v>5</v>
      </c>
      <c r="C129" s="12">
        <f>SUM(C122:C127)</f>
        <v>18400</v>
      </c>
      <c r="D129" s="12">
        <f>SUM(D122:D127)</f>
        <v>8856</v>
      </c>
      <c r="E129" s="39" t="s">
        <v>23</v>
      </c>
      <c r="F129" s="40">
        <f>C129-D129</f>
        <v>9544</v>
      </c>
    </row>
    <row r="132" spans="1:12">
      <c r="A132" s="13" t="s">
        <v>79</v>
      </c>
      <c r="B132" s="2"/>
      <c r="C132" s="2"/>
    </row>
    <row r="133" spans="1:12">
      <c r="A133" s="3" t="s">
        <v>80</v>
      </c>
      <c r="B133" s="2"/>
      <c r="C133" s="2"/>
    </row>
    <row r="134" spans="1:12">
      <c r="A134" t="s">
        <v>17</v>
      </c>
      <c r="C134" s="2"/>
    </row>
    <row r="135" spans="1:12" ht="15.75" thickBot="1">
      <c r="A135" s="2"/>
      <c r="C135" s="9" t="s">
        <v>7</v>
      </c>
      <c r="D135" s="9" t="s">
        <v>8</v>
      </c>
    </row>
    <row r="136" spans="1:12" ht="15.75" thickBot="1">
      <c r="A136" s="4" t="s">
        <v>0</v>
      </c>
      <c r="B136" t="s">
        <v>18</v>
      </c>
      <c r="C136" s="5">
        <v>10700</v>
      </c>
      <c r="D136" s="5">
        <v>11235</v>
      </c>
      <c r="E136" s="17" t="s">
        <v>49</v>
      </c>
    </row>
    <row r="137" spans="1:12">
      <c r="A137" s="6" t="s">
        <v>1</v>
      </c>
      <c r="C137" s="48">
        <v>1000</v>
      </c>
      <c r="D137" s="83">
        <f>120+44+70+70+41</f>
        <v>345</v>
      </c>
      <c r="E137" s="53" t="s">
        <v>171</v>
      </c>
      <c r="F137" s="46"/>
    </row>
    <row r="138" spans="1:12" ht="15.75" thickBot="1">
      <c r="A138" s="7" t="s">
        <v>2</v>
      </c>
      <c r="C138" s="49"/>
      <c r="D138" s="84"/>
      <c r="E138" s="17" t="s">
        <v>178</v>
      </c>
    </row>
    <row r="139" spans="1:12" ht="15.75" thickBot="1">
      <c r="A139" s="8" t="s">
        <v>10</v>
      </c>
      <c r="C139" s="10">
        <v>4000</v>
      </c>
      <c r="D139" s="10">
        <v>2586</v>
      </c>
      <c r="E139" s="46" t="s">
        <v>177</v>
      </c>
      <c r="F139" s="46"/>
      <c r="G139" s="46"/>
      <c r="H139" s="46"/>
      <c r="I139" s="46"/>
      <c r="J139" s="46"/>
      <c r="K139" s="46"/>
      <c r="L139" s="46"/>
    </row>
    <row r="140" spans="1:12" ht="15.75" thickBot="1">
      <c r="A140" s="6" t="s">
        <v>9</v>
      </c>
      <c r="C140" s="48">
        <v>8000</v>
      </c>
      <c r="D140" s="25">
        <f>(412*2)+ (685*3)+ (658*2)</f>
        <v>4195</v>
      </c>
      <c r="F140" s="46"/>
    </row>
    <row r="141" spans="1:12" ht="15.75" thickBot="1">
      <c r="A141" s="8" t="s">
        <v>3</v>
      </c>
      <c r="C141" s="10">
        <v>2500</v>
      </c>
      <c r="D141" s="10">
        <v>4200</v>
      </c>
      <c r="F141" s="46"/>
    </row>
    <row r="142" spans="1:12" ht="15.75" thickBot="1">
      <c r="A142" s="6" t="s">
        <v>4</v>
      </c>
      <c r="C142" s="48" t="s">
        <v>81</v>
      </c>
      <c r="D142" s="25"/>
    </row>
    <row r="143" spans="1:12" ht="15.75" thickBot="1">
      <c r="A143" s="11" t="s">
        <v>5</v>
      </c>
      <c r="C143" s="12">
        <f>SUM(C136:C141)</f>
        <v>26200</v>
      </c>
      <c r="D143" s="12">
        <f>SUM(D136:D141)</f>
        <v>22561</v>
      </c>
      <c r="E143" s="39" t="s">
        <v>23</v>
      </c>
      <c r="F143" s="40">
        <f>C143-D143</f>
        <v>3639</v>
      </c>
    </row>
    <row r="145" spans="1:4" ht="15.75" thickBot="1"/>
    <row r="146" spans="1:4" ht="15.75" thickBot="1">
      <c r="A146" s="15" t="s">
        <v>117</v>
      </c>
      <c r="B146" s="16">
        <f>SUM(C12,C25,C38,C77,C129,C116,C51,C143)</f>
        <v>130000</v>
      </c>
    </row>
    <row r="147" spans="1:4" ht="15.75" thickBot="1">
      <c r="A147" s="15" t="s">
        <v>118</v>
      </c>
      <c r="B147" s="16">
        <f>SUM(D12+D25+D38+D51+D64+D77+D90+D103+D116+D129+D143)</f>
        <v>139661.27000000002</v>
      </c>
    </row>
    <row r="148" spans="1:4">
      <c r="A148" s="21" t="s">
        <v>23</v>
      </c>
      <c r="B148" s="42">
        <f>B146-B147</f>
        <v>-9661.2700000000186</v>
      </c>
    </row>
    <row r="149" spans="1:4">
      <c r="D149" s="22"/>
    </row>
    <row r="155" spans="1:4">
      <c r="A155" s="44"/>
    </row>
  </sheetData>
  <mergeCells count="21">
    <mergeCell ref="C45:C46"/>
    <mergeCell ref="D45:D46"/>
    <mergeCell ref="D137:D138"/>
    <mergeCell ref="C71:C72"/>
    <mergeCell ref="D71:D72"/>
    <mergeCell ref="C123:C124"/>
    <mergeCell ref="D123:D124"/>
    <mergeCell ref="C110:C111"/>
    <mergeCell ref="D110:D111"/>
    <mergeCell ref="C58:C59"/>
    <mergeCell ref="D58:D59"/>
    <mergeCell ref="C84:C85"/>
    <mergeCell ref="D84:D85"/>
    <mergeCell ref="C97:C98"/>
    <mergeCell ref="D97:D98"/>
    <mergeCell ref="C6:C7"/>
    <mergeCell ref="D6:D7"/>
    <mergeCell ref="C19:C20"/>
    <mergeCell ref="D19:D20"/>
    <mergeCell ref="C32:C33"/>
    <mergeCell ref="D32:D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topLeftCell="A130" workbookViewId="0">
      <selection activeCell="C147" sqref="C147"/>
    </sheetView>
  </sheetViews>
  <sheetFormatPr defaultRowHeight="15"/>
  <cols>
    <col min="1" max="1" width="55.85546875" customWidth="1"/>
    <col min="2" max="2" width="16.5703125" customWidth="1"/>
    <col min="3" max="3" width="47" customWidth="1"/>
    <col min="4" max="4" width="41.42578125" customWidth="1"/>
  </cols>
  <sheetData>
    <row r="1" spans="1:3">
      <c r="B1" s="59" t="s">
        <v>7</v>
      </c>
      <c r="C1" s="59" t="s">
        <v>134</v>
      </c>
    </row>
    <row r="2" spans="1:3">
      <c r="A2" s="13" t="s">
        <v>135</v>
      </c>
      <c r="B2" s="58">
        <f>'1Q'!C12</f>
        <v>19000</v>
      </c>
      <c r="C2" s="58">
        <f>'1Q'!D12</f>
        <v>16592.82</v>
      </c>
    </row>
    <row r="3" spans="1:3">
      <c r="A3" s="13" t="s">
        <v>41</v>
      </c>
      <c r="B3" s="58">
        <f>'1Q'!C25</f>
        <v>463</v>
      </c>
      <c r="C3" s="58">
        <f>'1Q'!D25</f>
        <v>532</v>
      </c>
    </row>
    <row r="4" spans="1:3">
      <c r="A4" s="13" t="s">
        <v>37</v>
      </c>
      <c r="B4" s="58">
        <f>'1Q'!C38</f>
        <v>8500</v>
      </c>
      <c r="C4" s="58">
        <f>'1Q'!D38</f>
        <v>7382.32</v>
      </c>
    </row>
    <row r="5" spans="1:3">
      <c r="A5" s="13" t="s">
        <v>46</v>
      </c>
      <c r="B5" s="58">
        <f>'1Q'!C51</f>
        <v>25200</v>
      </c>
      <c r="C5" s="58">
        <f>'1Q'!D51</f>
        <v>25393.79</v>
      </c>
    </row>
    <row r="6" spans="1:3">
      <c r="A6" s="13" t="s">
        <v>148</v>
      </c>
      <c r="B6" s="58">
        <f>'1Q'!C64</f>
        <v>12200</v>
      </c>
      <c r="C6" s="58">
        <f>'1Q'!D64</f>
        <v>10855.21</v>
      </c>
    </row>
    <row r="7" spans="1:3">
      <c r="A7" s="13" t="s">
        <v>51</v>
      </c>
      <c r="B7" s="58">
        <f>'2Q'!C12</f>
        <v>22600</v>
      </c>
      <c r="C7" s="58">
        <f>'2Q'!D12</f>
        <v>24385</v>
      </c>
    </row>
    <row r="8" spans="1:3">
      <c r="A8" s="13" t="s">
        <v>147</v>
      </c>
      <c r="B8" s="58">
        <f>'2Q'!C25</f>
        <v>16000</v>
      </c>
      <c r="C8" s="58">
        <f>'2Q'!D25</f>
        <v>13494.17</v>
      </c>
    </row>
    <row r="9" spans="1:3">
      <c r="A9" s="13" t="s">
        <v>146</v>
      </c>
      <c r="B9" s="58">
        <f>'2Q'!C38</f>
        <v>0</v>
      </c>
      <c r="C9" s="58">
        <f>'2Q'!D38</f>
        <v>7924.42</v>
      </c>
    </row>
    <row r="10" spans="1:3">
      <c r="A10" s="13" t="s">
        <v>100</v>
      </c>
      <c r="B10" s="58">
        <f>'2Q'!C51</f>
        <v>18700</v>
      </c>
      <c r="C10" s="58">
        <f>'2Q'!D51</f>
        <v>17118</v>
      </c>
    </row>
    <row r="11" spans="1:3">
      <c r="A11" s="13" t="s">
        <v>145</v>
      </c>
      <c r="B11" s="58">
        <f>'2Q'!C64</f>
        <v>0</v>
      </c>
      <c r="C11" s="58">
        <f>'2Q'!D64</f>
        <v>994</v>
      </c>
    </row>
    <row r="12" spans="1:3">
      <c r="A12" s="13" t="s">
        <v>56</v>
      </c>
      <c r="B12" s="58">
        <f>'2Q'!C77</f>
        <v>18500</v>
      </c>
      <c r="C12" s="58">
        <f>'2Q'!D77</f>
        <v>19646</v>
      </c>
    </row>
    <row r="13" spans="1:3">
      <c r="A13" s="65" t="s">
        <v>141</v>
      </c>
      <c r="B13" s="64">
        <f>SUM(B2:B12)</f>
        <v>141163</v>
      </c>
      <c r="C13" s="64">
        <f>SUM(C2:C12)</f>
        <v>144317.72999999998</v>
      </c>
    </row>
    <row r="14" spans="1:3">
      <c r="A14" s="13" t="s">
        <v>140</v>
      </c>
      <c r="B14" s="58">
        <f>'3Q'!C12</f>
        <v>30900</v>
      </c>
      <c r="C14" s="58">
        <f>'3Q'!D12</f>
        <v>29978.83</v>
      </c>
    </row>
    <row r="15" spans="1:3">
      <c r="A15" s="13" t="s">
        <v>24</v>
      </c>
      <c r="B15" s="58">
        <f>'3Q'!C25</f>
        <v>9600</v>
      </c>
      <c r="C15" s="58">
        <f>'3Q'!D25</f>
        <v>13114.31</v>
      </c>
    </row>
    <row r="16" spans="1:3">
      <c r="A16" s="13" t="s">
        <v>64</v>
      </c>
      <c r="B16" s="58">
        <f>'4Q'!C12</f>
        <v>30900</v>
      </c>
      <c r="C16" s="58">
        <f>'4Q'!D12</f>
        <v>29879</v>
      </c>
    </row>
    <row r="17" spans="1:4">
      <c r="A17" s="13" t="s">
        <v>68</v>
      </c>
      <c r="B17" s="58">
        <f>'4Q'!C25</f>
        <v>15000</v>
      </c>
      <c r="C17" s="58">
        <f>'4Q'!D25</f>
        <v>10952.27</v>
      </c>
    </row>
    <row r="18" spans="1:4">
      <c r="A18" s="13" t="s">
        <v>71</v>
      </c>
      <c r="B18" s="58">
        <f>'4Q'!C38</f>
        <v>8000</v>
      </c>
      <c r="C18" s="58">
        <f>'4Q'!D38</f>
        <v>0</v>
      </c>
    </row>
    <row r="19" spans="1:4">
      <c r="A19" s="13" t="s">
        <v>30</v>
      </c>
      <c r="B19" s="58">
        <f>'4Q'!C51</f>
        <v>15500</v>
      </c>
      <c r="C19" s="58">
        <f>'4Q'!D51</f>
        <v>27296</v>
      </c>
    </row>
    <row r="20" spans="1:4">
      <c r="A20" s="13" t="s">
        <v>123</v>
      </c>
      <c r="B20" s="58">
        <f>'4Q'!C64</f>
        <v>0</v>
      </c>
      <c r="C20" s="58">
        <f>'4Q'!D64</f>
        <v>7712</v>
      </c>
    </row>
    <row r="21" spans="1:4">
      <c r="A21" s="13" t="s">
        <v>72</v>
      </c>
      <c r="B21" s="58">
        <f>'4Q'!C77</f>
        <v>16000</v>
      </c>
      <c r="C21" s="58">
        <f>'4Q'!D77</f>
        <v>8906</v>
      </c>
    </row>
    <row r="22" spans="1:4">
      <c r="A22" s="13" t="s">
        <v>144</v>
      </c>
      <c r="B22" s="58">
        <f>'4Q'!C90</f>
        <v>0</v>
      </c>
      <c r="C22" s="58">
        <f>'4Q'!D90</f>
        <v>3610</v>
      </c>
    </row>
    <row r="23" spans="1:4">
      <c r="A23" s="13" t="s">
        <v>152</v>
      </c>
      <c r="B23" s="58">
        <f>'4Q'!C103</f>
        <v>0</v>
      </c>
      <c r="C23" s="58">
        <f>'4Q'!D103</f>
        <v>5933</v>
      </c>
    </row>
    <row r="24" spans="1:4">
      <c r="A24" s="13" t="s">
        <v>113</v>
      </c>
      <c r="B24" s="58">
        <f>'4Q'!C116</f>
        <v>0</v>
      </c>
      <c r="C24" s="58">
        <f>'4Q'!D116</f>
        <v>13956</v>
      </c>
    </row>
    <row r="25" spans="1:4">
      <c r="A25" s="13" t="s">
        <v>75</v>
      </c>
      <c r="B25" s="58">
        <f>'4Q'!C129</f>
        <v>18400</v>
      </c>
      <c r="C25" s="58">
        <f>'4Q'!D129</f>
        <v>8856</v>
      </c>
    </row>
    <row r="26" spans="1:4">
      <c r="A26" s="13" t="s">
        <v>79</v>
      </c>
      <c r="B26" s="58">
        <f>'4Q'!C143</f>
        <v>26200</v>
      </c>
      <c r="C26" s="58">
        <f>'4Q'!D143</f>
        <v>22561</v>
      </c>
    </row>
    <row r="27" spans="1:4">
      <c r="A27" s="65" t="s">
        <v>142</v>
      </c>
      <c r="B27" s="64">
        <f>SUM(B14:B26)</f>
        <v>170500</v>
      </c>
      <c r="C27" s="64">
        <f>SUM(C14:C26)</f>
        <v>182754.41</v>
      </c>
    </row>
    <row r="28" spans="1:4">
      <c r="A28" s="65" t="s">
        <v>143</v>
      </c>
      <c r="B28" s="63">
        <f>SUM(B2:B12,B14:B26)</f>
        <v>311663</v>
      </c>
      <c r="C28" s="63">
        <f>SUM(C2:C12,C14:C26)</f>
        <v>327072.14</v>
      </c>
    </row>
    <row r="29" spans="1:4" ht="19.5">
      <c r="A29" s="81" t="s">
        <v>168</v>
      </c>
      <c r="B29" s="89">
        <f>B28-C28</f>
        <v>-15409.140000000014</v>
      </c>
      <c r="C29" s="89"/>
    </row>
    <row r="30" spans="1:4">
      <c r="A30" s="13"/>
      <c r="B30" s="58"/>
      <c r="C30" s="58"/>
    </row>
    <row r="31" spans="1:4">
      <c r="A31" s="13"/>
      <c r="B31" s="58"/>
      <c r="C31" s="58"/>
      <c r="D31" s="13"/>
    </row>
  </sheetData>
  <mergeCells count="1">
    <mergeCell ref="B29:C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1Q</vt:lpstr>
      <vt:lpstr>2Q</vt:lpstr>
      <vt:lpstr>3Q</vt:lpstr>
      <vt:lpstr>4Q</vt:lpstr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2015-03-04T13:41:18Z</dcterms:modified>
</cp:coreProperties>
</file>