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 activeTab="3"/>
  </bookViews>
  <sheets>
    <sheet name="SGP" sheetId="1" r:id="rId1"/>
    <sheet name="USA" sheetId="2" r:id="rId2"/>
    <sheet name="ITA" sheetId="3" r:id="rId3"/>
    <sheet name="Total" sheetId="4" r:id="rId4"/>
  </sheets>
  <calcPr calcId="125725"/>
</workbook>
</file>

<file path=xl/calcChain.xml><?xml version="1.0" encoding="utf-8"?>
<calcChain xmlns="http://schemas.openxmlformats.org/spreadsheetml/2006/main">
  <c r="I22" i="4"/>
  <c r="G20" i="3"/>
  <c r="H8" i="4"/>
  <c r="G8"/>
  <c r="G35" i="3"/>
  <c r="G32"/>
  <c r="H22" i="4"/>
  <c r="I35"/>
  <c r="G22" i="3" l="1"/>
  <c r="I32" i="4"/>
  <c r="G36" i="3" l="1"/>
  <c r="G37"/>
  <c r="G34"/>
  <c r="G33"/>
  <c r="G5" i="1"/>
  <c r="G70" i="3"/>
  <c r="G39"/>
  <c r="G71" l="1"/>
  <c r="I40" i="4"/>
  <c r="J40" s="1"/>
  <c r="I39"/>
  <c r="J39" s="1"/>
  <c r="I38"/>
  <c r="J38" s="1"/>
  <c r="G40" i="3"/>
  <c r="I5" i="4"/>
  <c r="J5" s="1"/>
  <c r="I6"/>
  <c r="J6" s="1"/>
  <c r="G3" i="1"/>
  <c r="G4" i="3"/>
  <c r="G6"/>
  <c r="G4" i="2" s="1"/>
  <c r="G3" s="1"/>
  <c r="G44" i="3"/>
  <c r="G43"/>
  <c r="G42" s="1"/>
  <c r="G15"/>
  <c r="G5"/>
  <c r="G4" i="1" s="1"/>
  <c r="G19" i="3" s="1"/>
  <c r="I25" i="4" l="1"/>
  <c r="I26"/>
  <c r="I24"/>
  <c r="H30"/>
  <c r="H33"/>
  <c r="H34"/>
  <c r="H35"/>
  <c r="H36"/>
  <c r="H37"/>
  <c r="H25"/>
  <c r="G34"/>
  <c r="G35"/>
  <c r="G36"/>
  <c r="G37"/>
  <c r="G33"/>
  <c r="H18"/>
  <c r="G18"/>
  <c r="H15"/>
  <c r="G15"/>
  <c r="I7"/>
  <c r="J7" s="1"/>
  <c r="G42" i="1"/>
  <c r="G17"/>
  <c r="G14"/>
  <c r="G38" i="3"/>
  <c r="I36" i="4"/>
  <c r="G42" i="2"/>
  <c r="G72" i="3"/>
  <c r="G8"/>
  <c r="I8" i="4" s="1"/>
  <c r="J8" s="1"/>
  <c r="G14" i="3" l="1"/>
  <c r="I15" i="4"/>
  <c r="G73" i="2"/>
  <c r="J36" i="4"/>
  <c r="H44"/>
  <c r="G44"/>
  <c r="I44"/>
  <c r="J44" l="1"/>
  <c r="I37"/>
  <c r="J37" s="1"/>
  <c r="I34"/>
  <c r="J34" s="1"/>
  <c r="G30" i="3"/>
  <c r="I30" i="4" s="1"/>
  <c r="G29" i="3"/>
  <c r="I29" i="4" s="1"/>
  <c r="J15"/>
  <c r="J21"/>
  <c r="G17"/>
  <c r="G14"/>
  <c r="I33" l="1"/>
  <c r="G24" i="2"/>
  <c r="G68"/>
  <c r="G66"/>
  <c r="G29"/>
  <c r="H29" i="4" s="1"/>
  <c r="G26" i="2"/>
  <c r="H26" i="4" s="1"/>
  <c r="J26" s="1"/>
  <c r="H24" l="1"/>
  <c r="I14"/>
  <c r="G28" i="3"/>
  <c r="I28" i="4" s="1"/>
  <c r="G32" i="2" l="1"/>
  <c r="G65" l="1"/>
  <c r="H55" i="4" s="1"/>
  <c r="J33"/>
  <c r="H32"/>
  <c r="G71" i="1" l="1"/>
  <c r="G6" s="1"/>
  <c r="G65" i="3" s="1"/>
  <c r="I55" i="4" s="1"/>
  <c r="G32" i="1" l="1"/>
  <c r="G32" i="4" l="1"/>
  <c r="H14"/>
  <c r="J14" s="1"/>
  <c r="J35" l="1"/>
  <c r="J32" s="1"/>
  <c r="G28" i="2"/>
  <c r="G17"/>
  <c r="H17" i="4" s="1"/>
  <c r="H28" l="1"/>
  <c r="G5" i="2"/>
  <c r="G22"/>
  <c r="G68" i="1"/>
  <c r="G67"/>
  <c r="G66"/>
  <c r="G65" l="1"/>
  <c r="G55" i="4" s="1"/>
  <c r="J55" s="1"/>
  <c r="G17" i="3"/>
  <c r="I17" i="4" s="1"/>
  <c r="H68"/>
  <c r="G30" i="1"/>
  <c r="G30" i="4" s="1"/>
  <c r="J30" s="1"/>
  <c r="G29" i="1"/>
  <c r="G29" i="4" s="1"/>
  <c r="J29" s="1"/>
  <c r="G25" i="1"/>
  <c r="G25" i="4" s="1"/>
  <c r="J25" s="1"/>
  <c r="G24" i="1"/>
  <c r="J17" i="4" l="1"/>
  <c r="I68"/>
  <c r="G24"/>
  <c r="J24" s="1"/>
  <c r="H3"/>
  <c r="H69" s="1"/>
  <c r="H70" s="1"/>
  <c r="G75" i="2"/>
  <c r="G76" s="1"/>
  <c r="G28" i="1"/>
  <c r="J22" i="4" l="1"/>
  <c r="J68" s="1"/>
  <c r="G28"/>
  <c r="J28" s="1"/>
  <c r="G22" i="1"/>
  <c r="G3" i="4" l="1"/>
  <c r="G75" i="1"/>
  <c r="G76" s="1"/>
  <c r="G22" i="4"/>
  <c r="G68" l="1"/>
  <c r="I4"/>
  <c r="J4" s="1"/>
  <c r="G3" i="3"/>
  <c r="G69" i="4" l="1"/>
  <c r="G70" s="1"/>
  <c r="G75" i="3"/>
  <c r="G76" s="1"/>
  <c r="I3" i="4"/>
  <c r="J3" s="1"/>
  <c r="J69" s="1"/>
  <c r="J70" l="1"/>
  <c r="I69"/>
  <c r="I70" s="1"/>
</calcChain>
</file>

<file path=xl/sharedStrings.xml><?xml version="1.0" encoding="utf-8"?>
<sst xmlns="http://schemas.openxmlformats.org/spreadsheetml/2006/main" count="177" uniqueCount="88">
  <si>
    <t>Revenues</t>
  </si>
  <si>
    <t>Offensive</t>
  </si>
  <si>
    <t>Commissions</t>
  </si>
  <si>
    <t>Personnel Cost</t>
  </si>
  <si>
    <t>Sales &amp; Marketing</t>
  </si>
  <si>
    <t>Bonuses and Incentives</t>
  </si>
  <si>
    <t>Other Personnel Cost</t>
  </si>
  <si>
    <t>A&amp;P</t>
  </si>
  <si>
    <t>G&amp;A</t>
  </si>
  <si>
    <t>EBITDA</t>
  </si>
  <si>
    <t>%</t>
  </si>
  <si>
    <t>Nanatech</t>
  </si>
  <si>
    <t>FAE</t>
  </si>
  <si>
    <t>1 EUR = </t>
  </si>
  <si>
    <t>SGD</t>
  </si>
  <si>
    <t>Regus Office</t>
  </si>
  <si>
    <t>Payroll Serve</t>
  </si>
  <si>
    <t>Singtel</t>
  </si>
  <si>
    <t>CyberSec Malaysia</t>
  </si>
  <si>
    <t>Cyber Intelligence Asia</t>
  </si>
  <si>
    <t>Global Security Asia</t>
  </si>
  <si>
    <t>ISS Kuala Lumpur</t>
  </si>
  <si>
    <t>Stamford Law</t>
  </si>
  <si>
    <t>Profit &amp; Loss (€) 2013 SGP Repr.</t>
  </si>
  <si>
    <t xml:space="preserve">Direct Costs </t>
  </si>
  <si>
    <t>Profit &amp; Loss (€) 2013 USA Repr.</t>
  </si>
  <si>
    <t>USD</t>
  </si>
  <si>
    <t>Sales &amp; Marketing Consultant</t>
  </si>
  <si>
    <t>IALEIA</t>
  </si>
  <si>
    <t>MATIA</t>
  </si>
  <si>
    <t>NATIA</t>
  </si>
  <si>
    <t>HTCIA</t>
  </si>
  <si>
    <t xml:space="preserve">ISS Washington </t>
  </si>
  <si>
    <t xml:space="preserve">Army Sponsored </t>
  </si>
  <si>
    <t>Interpol</t>
  </si>
  <si>
    <t xml:space="preserve">Inclusi rimborsi note spese </t>
  </si>
  <si>
    <t xml:space="preserve">Sales Department </t>
  </si>
  <si>
    <t xml:space="preserve">Administration Department </t>
  </si>
  <si>
    <t>Spese carta di credito</t>
  </si>
  <si>
    <t>Travel Expenses - Credit Card</t>
  </si>
  <si>
    <t>ISS Brasilia</t>
  </si>
  <si>
    <t>Modiano &amp; Partners</t>
  </si>
  <si>
    <t>Management</t>
  </si>
  <si>
    <t>Other Consultants</t>
  </si>
  <si>
    <t>Eric Rabe, Fred D'Alessio</t>
  </si>
  <si>
    <t>Exchange Currency Rate 2013/12/31</t>
  </si>
  <si>
    <t>Technical Department</t>
  </si>
  <si>
    <t>Phone Expenses</t>
  </si>
  <si>
    <t>Office Expenses</t>
  </si>
  <si>
    <t>Inclusi rimborsi note spese</t>
  </si>
  <si>
    <t>Profit &amp; Loss (€) 2013 HT - ITA</t>
  </si>
  <si>
    <t>EUR</t>
  </si>
  <si>
    <t>Profit &amp; Loss (€) 2013 TOTAL</t>
  </si>
  <si>
    <t>SGP</t>
  </si>
  <si>
    <t>USA</t>
  </si>
  <si>
    <t>HT -ITA</t>
  </si>
  <si>
    <t>TOTAL</t>
  </si>
  <si>
    <t>IDEX</t>
  </si>
  <si>
    <t>ISS EMEA</t>
  </si>
  <si>
    <t>HOSDB</t>
  </si>
  <si>
    <t>Counter Terror</t>
  </si>
  <si>
    <t>Cyber Defense Symposium</t>
  </si>
  <si>
    <t>ISS Praga</t>
  </si>
  <si>
    <t>Milipol</t>
  </si>
  <si>
    <t>Consultants</t>
  </si>
  <si>
    <t xml:space="preserve">Legal Services </t>
  </si>
  <si>
    <t>Ernesto Velarde, Becker</t>
  </si>
  <si>
    <t>Leasing</t>
  </si>
  <si>
    <t>Property Lease</t>
  </si>
  <si>
    <t>Other G&amp;A Expenses</t>
  </si>
  <si>
    <t>Utilities</t>
  </si>
  <si>
    <t>Defensive</t>
  </si>
  <si>
    <t>Other revenues</t>
  </si>
  <si>
    <t xml:space="preserve">Travel Expenses  </t>
  </si>
  <si>
    <t>Amortization</t>
  </si>
  <si>
    <t>General expenses</t>
  </si>
  <si>
    <t>Total Costs</t>
  </si>
  <si>
    <t>Offensive - APAC</t>
  </si>
  <si>
    <t>Commissione del 10% sulle vendite APAC</t>
  </si>
  <si>
    <t xml:space="preserve">Markup del 10% su costo personale </t>
  </si>
  <si>
    <t>SGP Commissions</t>
  </si>
  <si>
    <t>SGP Consultancy</t>
  </si>
  <si>
    <t>Consultancy</t>
  </si>
  <si>
    <t>Refund Travel Expenses - Credit Card</t>
  </si>
  <si>
    <t>Offensive - LATAM &amp; North America</t>
  </si>
  <si>
    <t>Commissione del 10% sulle vendite LATAM &amp; North America</t>
  </si>
  <si>
    <t>USA Commissions</t>
  </si>
  <si>
    <t>USA Consultancy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</si>
</sst>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[$€-2]\ * #,##0.00_-;\-[$€-2]\ * #,##0.00_-;_-[$€-2]\ * &quot;-&quot;??_-"/>
    <numFmt numFmtId="165" formatCode="[$-409]mmm\-yy;@"/>
    <numFmt numFmtId="166" formatCode="_-* #,##0_-;\-* #,##0_-;_-* &quot;-&quot;??_-;_-@_-"/>
    <numFmt numFmtId="167" formatCode="#,##0.00000"/>
    <numFmt numFmtId="168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2" borderId="0" xfId="0" applyNumberFormat="1" applyFont="1" applyFill="1"/>
    <xf numFmtId="0" fontId="5" fillId="2" borderId="0" xfId="0" applyNumberFormat="1" applyFont="1" applyFill="1"/>
    <xf numFmtId="164" fontId="5" fillId="2" borderId="0" xfId="0" applyNumberFormat="1" applyFont="1" applyFill="1"/>
    <xf numFmtId="165" fontId="5" fillId="2" borderId="0" xfId="0" applyNumberFormat="1" applyFont="1" applyFill="1" applyBorder="1"/>
    <xf numFmtId="0" fontId="6" fillId="2" borderId="0" xfId="0" applyNumberFormat="1" applyFont="1" applyFill="1"/>
    <xf numFmtId="164" fontId="6" fillId="2" borderId="0" xfId="0" applyNumberFormat="1" applyFont="1" applyFill="1"/>
    <xf numFmtId="164" fontId="6" fillId="2" borderId="0" xfId="0" applyNumberFormat="1" applyFont="1" applyFill="1" applyBorder="1"/>
    <xf numFmtId="0" fontId="6" fillId="3" borderId="0" xfId="0" applyNumberFormat="1" applyFont="1" applyFill="1" applyBorder="1"/>
    <xf numFmtId="166" fontId="6" fillId="2" borderId="0" xfId="1" applyNumberFormat="1" applyFont="1" applyFill="1" applyBorder="1"/>
    <xf numFmtId="0" fontId="2" fillId="3" borderId="0" xfId="0" applyNumberFormat="1" applyFont="1" applyFill="1" applyBorder="1"/>
    <xf numFmtId="164" fontId="2" fillId="2" borderId="0" xfId="0" applyNumberFormat="1" applyFont="1" applyFill="1" applyBorder="1"/>
    <xf numFmtId="166" fontId="2" fillId="2" borderId="0" xfId="1" applyNumberFormat="1" applyFont="1" applyFill="1" applyBorder="1"/>
    <xf numFmtId="9" fontId="6" fillId="3" borderId="0" xfId="2" applyFont="1" applyFill="1" applyBorder="1"/>
    <xf numFmtId="0" fontId="6" fillId="2" borderId="0" xfId="0" applyNumberFormat="1" applyFont="1" applyFill="1" applyBorder="1"/>
    <xf numFmtId="9" fontId="7" fillId="3" borderId="0" xfId="2" applyFont="1" applyFill="1" applyBorder="1"/>
    <xf numFmtId="9" fontId="2" fillId="3" borderId="0" xfId="2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167" fontId="9" fillId="0" borderId="6" xfId="0" applyNumberFormat="1" applyFont="1" applyBorder="1"/>
    <xf numFmtId="0" fontId="3" fillId="2" borderId="7" xfId="0" applyFont="1" applyFill="1" applyBorder="1"/>
    <xf numFmtId="0" fontId="6" fillId="3" borderId="8" xfId="0" applyNumberFormat="1" applyFont="1" applyFill="1" applyBorder="1"/>
    <xf numFmtId="0" fontId="2" fillId="3" borderId="5" xfId="0" applyNumberFormat="1" applyFont="1" applyFill="1" applyBorder="1"/>
    <xf numFmtId="0" fontId="2" fillId="3" borderId="6" xfId="0" applyNumberFormat="1" applyFont="1" applyFill="1" applyBorder="1"/>
    <xf numFmtId="164" fontId="2" fillId="2" borderId="6" xfId="0" applyNumberFormat="1" applyFont="1" applyFill="1" applyBorder="1"/>
    <xf numFmtId="166" fontId="2" fillId="2" borderId="6" xfId="1" applyNumberFormat="1" applyFont="1" applyFill="1" applyBorder="1"/>
    <xf numFmtId="0" fontId="6" fillId="3" borderId="5" xfId="0" applyNumberFormat="1" applyFont="1" applyFill="1" applyBorder="1"/>
    <xf numFmtId="0" fontId="6" fillId="3" borderId="6" xfId="0" applyNumberFormat="1" applyFont="1" applyFill="1" applyBorder="1"/>
    <xf numFmtId="164" fontId="6" fillId="2" borderId="6" xfId="0" applyNumberFormat="1" applyFont="1" applyFill="1" applyBorder="1"/>
    <xf numFmtId="166" fontId="6" fillId="2" borderId="6" xfId="1" applyNumberFormat="1" applyFont="1" applyFill="1" applyBorder="1"/>
    <xf numFmtId="0" fontId="5" fillId="3" borderId="9" xfId="0" applyNumberFormat="1" applyFont="1" applyFill="1" applyBorder="1"/>
    <xf numFmtId="0" fontId="6" fillId="3" borderId="10" xfId="0" applyNumberFormat="1" applyFont="1" applyFill="1" applyBorder="1"/>
    <xf numFmtId="164" fontId="6" fillId="2" borderId="10" xfId="0" applyNumberFormat="1" applyFont="1" applyFill="1" applyBorder="1"/>
    <xf numFmtId="166" fontId="5" fillId="2" borderId="10" xfId="1" applyNumberFormat="1" applyFont="1" applyFill="1" applyBorder="1"/>
    <xf numFmtId="9" fontId="6" fillId="3" borderId="6" xfId="2" applyFont="1" applyFill="1" applyBorder="1"/>
    <xf numFmtId="0" fontId="5" fillId="3" borderId="10" xfId="0" applyNumberFormat="1" applyFont="1" applyFill="1" applyBorder="1"/>
    <xf numFmtId="164" fontId="8" fillId="2" borderId="10" xfId="0" applyNumberFormat="1" applyFont="1" applyFill="1" applyBorder="1"/>
    <xf numFmtId="166" fontId="6" fillId="2" borderId="10" xfId="1" applyNumberFormat="1" applyFont="1" applyFill="1" applyBorder="1"/>
    <xf numFmtId="0" fontId="5" fillId="3" borderId="8" xfId="0" applyNumberFormat="1" applyFont="1" applyFill="1" applyBorder="1"/>
    <xf numFmtId="166" fontId="6" fillId="3" borderId="10" xfId="2" applyNumberFormat="1" applyFont="1" applyFill="1" applyBorder="1"/>
    <xf numFmtId="9" fontId="6" fillId="3" borderId="10" xfId="2" applyFont="1" applyFill="1" applyBorder="1"/>
    <xf numFmtId="3" fontId="3" fillId="0" borderId="1" xfId="0" applyNumberFormat="1" applyFont="1" applyBorder="1"/>
    <xf numFmtId="3" fontId="0" fillId="0" borderId="11" xfId="0" applyNumberFormat="1" applyBorder="1"/>
    <xf numFmtId="3" fontId="0" fillId="0" borderId="12" xfId="0" applyNumberFormat="1" applyBorder="1"/>
    <xf numFmtId="3" fontId="3" fillId="0" borderId="11" xfId="0" applyNumberFormat="1" applyFont="1" applyBorder="1"/>
    <xf numFmtId="3" fontId="3" fillId="0" borderId="1" xfId="0" applyNumberFormat="1" applyFont="1" applyBorder="1" applyAlignment="1">
      <alignment horizontal="right"/>
    </xf>
    <xf numFmtId="0" fontId="5" fillId="4" borderId="2" xfId="0" applyNumberFormat="1" applyFont="1" applyFill="1" applyBorder="1"/>
    <xf numFmtId="0" fontId="5" fillId="4" borderId="3" xfId="0" applyNumberFormat="1" applyFont="1" applyFill="1" applyBorder="1"/>
    <xf numFmtId="164" fontId="5" fillId="4" borderId="3" xfId="0" applyNumberFormat="1" applyFont="1" applyFill="1" applyBorder="1"/>
    <xf numFmtId="166" fontId="5" fillId="4" borderId="3" xfId="1" applyNumberFormat="1" applyFont="1" applyFill="1" applyBorder="1"/>
    <xf numFmtId="9" fontId="6" fillId="3" borderId="5" xfId="2" applyFont="1" applyFill="1" applyBorder="1" applyAlignment="1">
      <alignment horizontal="right"/>
    </xf>
    <xf numFmtId="9" fontId="6" fillId="2" borderId="6" xfId="2" applyFont="1" applyFill="1" applyBorder="1"/>
    <xf numFmtId="3" fontId="3" fillId="4" borderId="13" xfId="0" applyNumberFormat="1" applyFont="1" applyFill="1" applyBorder="1"/>
    <xf numFmtId="168" fontId="0" fillId="0" borderId="12" xfId="0" applyNumberFormat="1" applyBorder="1"/>
    <xf numFmtId="3" fontId="2" fillId="0" borderId="11" xfId="0" applyNumberFormat="1" applyFont="1" applyBorder="1"/>
    <xf numFmtId="0" fontId="6" fillId="0" borderId="0" xfId="0" applyNumberFormat="1" applyFont="1" applyFill="1" applyBorder="1"/>
    <xf numFmtId="164" fontId="6" fillId="0" borderId="0" xfId="0" applyNumberFormat="1" applyFont="1" applyFill="1" applyBorder="1"/>
    <xf numFmtId="166" fontId="6" fillId="0" borderId="0" xfId="1" applyNumberFormat="1" applyFont="1" applyFill="1" applyBorder="1"/>
    <xf numFmtId="3" fontId="0" fillId="0" borderId="11" xfId="0" applyNumberFormat="1" applyFill="1" applyBorder="1"/>
    <xf numFmtId="0" fontId="10" fillId="0" borderId="0" xfId="0" applyFont="1"/>
    <xf numFmtId="3" fontId="6" fillId="0" borderId="11" xfId="0" applyNumberFormat="1" applyFont="1" applyBorder="1"/>
    <xf numFmtId="166" fontId="6" fillId="3" borderId="0" xfId="2" applyNumberFormat="1" applyFont="1" applyFill="1" applyBorder="1"/>
    <xf numFmtId="166" fontId="5" fillId="2" borderId="0" xfId="1" applyNumberFormat="1" applyFont="1" applyFill="1" applyBorder="1"/>
    <xf numFmtId="0" fontId="5" fillId="3" borderId="1" xfId="0" applyNumberFormat="1" applyFont="1" applyFill="1" applyBorder="1" applyAlignment="1">
      <alignment horizontal="center"/>
    </xf>
    <xf numFmtId="166" fontId="5" fillId="2" borderId="1" xfId="1" applyNumberFormat="1" applyFont="1" applyFill="1" applyBorder="1"/>
    <xf numFmtId="166" fontId="6" fillId="2" borderId="11" xfId="1" applyNumberFormat="1" applyFont="1" applyFill="1" applyBorder="1"/>
    <xf numFmtId="166" fontId="5" fillId="2" borderId="11" xfId="1" applyNumberFormat="1" applyFont="1" applyFill="1" applyBorder="1"/>
    <xf numFmtId="166" fontId="2" fillId="2" borderId="11" xfId="1" applyNumberFormat="1" applyFont="1" applyFill="1" applyBorder="1"/>
    <xf numFmtId="166" fontId="6" fillId="0" borderId="11" xfId="1" applyNumberFormat="1" applyFont="1" applyFill="1" applyBorder="1"/>
    <xf numFmtId="166" fontId="5" fillId="4" borderId="13" xfId="1" applyNumberFormat="1" applyFont="1" applyFill="1" applyBorder="1"/>
    <xf numFmtId="3" fontId="0" fillId="0" borderId="11" xfId="0" applyNumberFormat="1" applyFont="1" applyBorder="1"/>
    <xf numFmtId="0" fontId="2" fillId="3" borderId="8" xfId="0" applyNumberFormat="1" applyFont="1" applyFill="1" applyBorder="1"/>
    <xf numFmtId="0" fontId="5" fillId="3" borderId="0" xfId="0" applyNumberFormat="1" applyFont="1" applyFill="1" applyBorder="1"/>
    <xf numFmtId="164" fontId="5" fillId="2" borderId="0" xfId="0" applyNumberFormat="1" applyFont="1" applyFill="1" applyBorder="1"/>
    <xf numFmtId="0" fontId="11" fillId="3" borderId="5" xfId="0" applyNumberFormat="1" applyFont="1" applyFill="1" applyBorder="1"/>
    <xf numFmtId="166" fontId="11" fillId="2" borderId="12" xfId="1" applyNumberFormat="1" applyFont="1" applyFill="1" applyBorder="1"/>
    <xf numFmtId="0" fontId="6" fillId="3" borderId="2" xfId="0" applyNumberFormat="1" applyFont="1" applyFill="1" applyBorder="1"/>
    <xf numFmtId="0" fontId="6" fillId="3" borderId="3" xfId="0" applyNumberFormat="1" applyFont="1" applyFill="1" applyBorder="1"/>
    <xf numFmtId="164" fontId="6" fillId="2" borderId="3" xfId="0" applyNumberFormat="1" applyFont="1" applyFill="1" applyBorder="1"/>
    <xf numFmtId="166" fontId="6" fillId="2" borderId="13" xfId="1" applyNumberFormat="1" applyFont="1" applyFill="1" applyBorder="1"/>
    <xf numFmtId="0" fontId="11" fillId="3" borderId="0" xfId="0" applyNumberFormat="1" applyFont="1" applyFill="1" applyBorder="1"/>
    <xf numFmtId="164" fontId="11" fillId="2" borderId="0" xfId="0" applyNumberFormat="1" applyFont="1" applyFill="1" applyBorder="1"/>
    <xf numFmtId="166" fontId="11" fillId="3" borderId="0" xfId="2" applyNumberFormat="1" applyFont="1" applyFill="1" applyBorder="1"/>
    <xf numFmtId="9" fontId="11" fillId="3" borderId="0" xfId="2" applyFont="1" applyFill="1" applyBorder="1"/>
    <xf numFmtId="0" fontId="11" fillId="3" borderId="2" xfId="0" applyNumberFormat="1" applyFont="1" applyFill="1" applyBorder="1"/>
    <xf numFmtId="0" fontId="5" fillId="3" borderId="3" xfId="0" applyNumberFormat="1" applyFont="1" applyFill="1" applyBorder="1"/>
    <xf numFmtId="164" fontId="8" fillId="2" borderId="3" xfId="0" applyNumberFormat="1" applyFont="1" applyFill="1" applyBorder="1"/>
    <xf numFmtId="0" fontId="11" fillId="3" borderId="8" xfId="0" applyNumberFormat="1" applyFont="1" applyFill="1" applyBorder="1"/>
    <xf numFmtId="0" fontId="11" fillId="3" borderId="6" xfId="0" applyNumberFormat="1" applyFont="1" applyFill="1" applyBorder="1"/>
    <xf numFmtId="9" fontId="11" fillId="3" borderId="6" xfId="2" applyFont="1" applyFill="1" applyBorder="1"/>
    <xf numFmtId="164" fontId="11" fillId="2" borderId="6" xfId="0" applyNumberFormat="1" applyFont="1" applyFill="1" applyBorder="1"/>
    <xf numFmtId="166" fontId="5" fillId="2" borderId="15" xfId="1" applyNumberFormat="1" applyFont="1" applyFill="1" applyBorder="1"/>
    <xf numFmtId="166" fontId="6" fillId="2" borderId="4" xfId="1" applyNumberFormat="1" applyFont="1" applyFill="1" applyBorder="1"/>
    <xf numFmtId="166" fontId="6" fillId="2" borderId="14" xfId="1" applyNumberFormat="1" applyFont="1" applyFill="1" applyBorder="1"/>
    <xf numFmtId="166" fontId="5" fillId="2" borderId="14" xfId="1" applyNumberFormat="1" applyFont="1" applyFill="1" applyBorder="1"/>
    <xf numFmtId="166" fontId="5" fillId="4" borderId="4" xfId="1" applyNumberFormat="1" applyFont="1" applyFill="1" applyBorder="1"/>
    <xf numFmtId="166" fontId="11" fillId="2" borderId="14" xfId="1" applyNumberFormat="1" applyFont="1" applyFill="1" applyBorder="1"/>
    <xf numFmtId="166" fontId="2" fillId="2" borderId="14" xfId="1" applyNumberFormat="1" applyFont="1" applyFill="1" applyBorder="1"/>
    <xf numFmtId="166" fontId="6" fillId="0" borderId="14" xfId="1" applyNumberFormat="1" applyFont="1" applyFill="1" applyBorder="1"/>
    <xf numFmtId="166" fontId="11" fillId="2" borderId="7" xfId="1" applyNumberFormat="1" applyFont="1" applyFill="1" applyBorder="1"/>
    <xf numFmtId="0" fontId="5" fillId="3" borderId="5" xfId="0" applyNumberFormat="1" applyFont="1" applyFill="1" applyBorder="1"/>
    <xf numFmtId="9" fontId="6" fillId="2" borderId="7" xfId="2" applyFont="1" applyFill="1" applyBorder="1"/>
    <xf numFmtId="166" fontId="11" fillId="2" borderId="13" xfId="1" applyNumberFormat="1" applyFont="1" applyFill="1" applyBorder="1"/>
    <xf numFmtId="166" fontId="11" fillId="2" borderId="11" xfId="1" applyNumberFormat="1" applyFont="1" applyFill="1" applyBorder="1"/>
    <xf numFmtId="3" fontId="12" fillId="0" borderId="13" xfId="0" applyNumberFormat="1" applyFont="1" applyBorder="1"/>
    <xf numFmtId="3" fontId="12" fillId="0" borderId="11" xfId="0" applyNumberFormat="1" applyFont="1" applyBorder="1"/>
    <xf numFmtId="3" fontId="12" fillId="0" borderId="12" xfId="0" applyNumberFormat="1" applyFont="1" applyBorder="1" applyAlignment="1">
      <alignment horizontal="right"/>
    </xf>
    <xf numFmtId="3" fontId="12" fillId="0" borderId="12" xfId="0" applyNumberFormat="1" applyFont="1" applyBorder="1"/>
    <xf numFmtId="166" fontId="5" fillId="4" borderId="11" xfId="1" applyNumberFormat="1" applyFont="1" applyFill="1" applyBorder="1"/>
    <xf numFmtId="0" fontId="11" fillId="2" borderId="0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>
      <selection activeCell="G4" sqref="G4"/>
    </sheetView>
  </sheetViews>
  <sheetFormatPr defaultRowHeight="15"/>
  <cols>
    <col min="3" max="3" width="50.85546875" bestFit="1" customWidth="1"/>
    <col min="7" max="7" width="21.5703125" customWidth="1"/>
  </cols>
  <sheetData>
    <row r="1" spans="1:8" ht="23.25">
      <c r="A1" s="1" t="s">
        <v>23</v>
      </c>
      <c r="B1" s="2"/>
      <c r="C1" s="2"/>
      <c r="D1" s="2"/>
      <c r="E1" s="3"/>
      <c r="F1" s="4"/>
    </row>
    <row r="2" spans="1:8">
      <c r="A2" s="5"/>
      <c r="B2" s="5"/>
      <c r="C2" s="5"/>
      <c r="D2" s="5"/>
      <c r="E2" s="6"/>
      <c r="F2" s="7"/>
    </row>
    <row r="3" spans="1:8">
      <c r="A3" s="8"/>
      <c r="B3" s="32" t="s">
        <v>0</v>
      </c>
      <c r="C3" s="33"/>
      <c r="D3" s="33"/>
      <c r="E3" s="34"/>
      <c r="F3" s="35"/>
      <c r="G3" s="43">
        <f>SUM(G4:G13)</f>
        <v>365046.58008498914</v>
      </c>
    </row>
    <row r="4" spans="1:8">
      <c r="A4" s="8"/>
      <c r="B4" s="23"/>
      <c r="C4" s="8" t="s">
        <v>2</v>
      </c>
      <c r="D4" s="8"/>
      <c r="E4" s="7"/>
      <c r="F4" s="9"/>
      <c r="G4" s="44">
        <f>(ITA!G5*0.1)</f>
        <v>151980.4</v>
      </c>
      <c r="H4" s="61" t="s">
        <v>78</v>
      </c>
    </row>
    <row r="5" spans="1:8">
      <c r="A5" s="8"/>
      <c r="B5" s="23"/>
      <c r="C5" s="8" t="s">
        <v>82</v>
      </c>
      <c r="D5" s="8"/>
      <c r="E5" s="7"/>
      <c r="F5" s="9"/>
      <c r="G5" s="44">
        <f>SUM(G24:G28)*110%</f>
        <v>195628.85379579652</v>
      </c>
      <c r="H5" s="61" t="s">
        <v>79</v>
      </c>
    </row>
    <row r="6" spans="1:8">
      <c r="A6" s="8"/>
      <c r="B6" s="23"/>
      <c r="C6" s="8" t="s">
        <v>83</v>
      </c>
      <c r="D6" s="8"/>
      <c r="E6" s="7"/>
      <c r="F6" s="9"/>
      <c r="G6" s="44">
        <f>G71</f>
        <v>17437.326289192602</v>
      </c>
    </row>
    <row r="7" spans="1:8" hidden="1">
      <c r="A7" s="8"/>
      <c r="B7" s="23"/>
      <c r="C7" s="8"/>
      <c r="D7" s="8"/>
      <c r="E7" s="7"/>
      <c r="F7" s="9"/>
      <c r="G7" s="44"/>
    </row>
    <row r="8" spans="1:8" hidden="1">
      <c r="A8" s="8"/>
      <c r="B8" s="23"/>
      <c r="C8" s="8"/>
      <c r="D8" s="8"/>
      <c r="E8" s="7"/>
      <c r="F8" s="9"/>
      <c r="G8" s="44"/>
    </row>
    <row r="9" spans="1:8">
      <c r="A9" s="8"/>
      <c r="B9" s="23"/>
      <c r="C9" s="8"/>
      <c r="D9" s="8"/>
      <c r="E9" s="7"/>
      <c r="F9" s="9"/>
      <c r="G9" s="44"/>
    </row>
    <row r="10" spans="1:8" hidden="1">
      <c r="A10" s="8"/>
      <c r="B10" s="23"/>
      <c r="C10" s="8"/>
      <c r="D10" s="8"/>
      <c r="E10" s="7"/>
      <c r="F10" s="9"/>
      <c r="G10" s="44"/>
    </row>
    <row r="11" spans="1:8" hidden="1">
      <c r="A11" s="8"/>
      <c r="B11" s="23"/>
      <c r="C11" s="8"/>
      <c r="D11" s="8"/>
      <c r="E11" s="7"/>
      <c r="F11" s="9"/>
      <c r="G11" s="44"/>
    </row>
    <row r="12" spans="1:8" hidden="1">
      <c r="A12" s="8"/>
      <c r="B12" s="23"/>
      <c r="C12" s="8"/>
      <c r="D12" s="8"/>
      <c r="E12" s="7"/>
      <c r="F12" s="9"/>
      <c r="G12" s="44"/>
    </row>
    <row r="13" spans="1:8" hidden="1">
      <c r="A13" s="8"/>
      <c r="B13" s="28"/>
      <c r="C13" s="29"/>
      <c r="D13" s="29"/>
      <c r="E13" s="30"/>
      <c r="F13" s="31"/>
      <c r="G13" s="45"/>
    </row>
    <row r="14" spans="1:8">
      <c r="A14" s="10"/>
      <c r="B14" s="32" t="s">
        <v>24</v>
      </c>
      <c r="C14" s="37"/>
      <c r="D14" s="37"/>
      <c r="E14" s="38"/>
      <c r="F14" s="39"/>
      <c r="G14" s="43">
        <f>G15</f>
        <v>0</v>
      </c>
    </row>
    <row r="15" spans="1:8">
      <c r="A15" s="10"/>
      <c r="B15" s="23"/>
      <c r="C15" s="8" t="s">
        <v>1</v>
      </c>
      <c r="D15" s="13"/>
      <c r="E15" s="11"/>
      <c r="F15" s="9"/>
      <c r="G15" s="44">
        <v>0</v>
      </c>
      <c r="H15" s="61"/>
    </row>
    <row r="16" spans="1:8">
      <c r="A16" s="10"/>
      <c r="B16" s="28"/>
      <c r="C16" s="29"/>
      <c r="D16" s="36"/>
      <c r="E16" s="26"/>
      <c r="F16" s="31"/>
      <c r="G16" s="45"/>
    </row>
    <row r="17" spans="1:8">
      <c r="A17" s="10"/>
      <c r="B17" s="32" t="s">
        <v>2</v>
      </c>
      <c r="C17" s="33"/>
      <c r="D17" s="33"/>
      <c r="E17" s="34"/>
      <c r="F17" s="39"/>
      <c r="G17" s="43">
        <f>G18</f>
        <v>0</v>
      </c>
    </row>
    <row r="18" spans="1:8">
      <c r="A18" s="10"/>
      <c r="B18" s="23"/>
      <c r="C18" s="8"/>
      <c r="D18" s="8"/>
      <c r="E18" s="7"/>
      <c r="F18" s="9"/>
      <c r="G18" s="44"/>
    </row>
    <row r="19" spans="1:8" hidden="1">
      <c r="A19" s="10"/>
      <c r="B19" s="23"/>
      <c r="C19" s="8"/>
      <c r="D19" s="8"/>
      <c r="E19" s="7"/>
      <c r="F19" s="9"/>
      <c r="G19" s="44"/>
    </row>
    <row r="20" spans="1:8" hidden="1">
      <c r="A20" s="10"/>
      <c r="B20" s="23"/>
      <c r="C20" s="8"/>
      <c r="D20" s="8"/>
      <c r="E20" s="7"/>
      <c r="F20" s="9"/>
      <c r="G20" s="44"/>
    </row>
    <row r="21" spans="1:8" hidden="1">
      <c r="A21" s="10"/>
      <c r="B21" s="28"/>
      <c r="C21" s="29"/>
      <c r="D21" s="25"/>
      <c r="E21" s="26"/>
      <c r="F21" s="27"/>
      <c r="G21" s="45"/>
    </row>
    <row r="22" spans="1:8">
      <c r="A22" s="10"/>
      <c r="B22" s="32" t="s">
        <v>3</v>
      </c>
      <c r="C22" s="33"/>
      <c r="D22" s="41"/>
      <c r="E22" s="34"/>
      <c r="F22" s="35"/>
      <c r="G22" s="43">
        <f>SUM(G24:G25)+G28+G32</f>
        <v>177844.41254163318</v>
      </c>
    </row>
    <row r="23" spans="1:8">
      <c r="A23" s="10"/>
      <c r="B23" s="40"/>
      <c r="C23" s="8"/>
      <c r="D23" s="63"/>
      <c r="E23" s="7"/>
      <c r="F23" s="64"/>
      <c r="G23" s="46"/>
    </row>
    <row r="24" spans="1:8">
      <c r="A24" s="10"/>
      <c r="B24" s="23"/>
      <c r="C24" s="14" t="s">
        <v>4</v>
      </c>
      <c r="D24" s="8"/>
      <c r="E24" s="7"/>
      <c r="F24" s="9"/>
      <c r="G24" s="44">
        <f>105174.22/$B$81</f>
        <v>60396.359251177215</v>
      </c>
      <c r="H24" s="61" t="s">
        <v>35</v>
      </c>
    </row>
    <row r="25" spans="1:8">
      <c r="A25" s="10"/>
      <c r="B25" s="23"/>
      <c r="C25" s="14" t="s">
        <v>12</v>
      </c>
      <c r="D25" s="8"/>
      <c r="E25" s="7"/>
      <c r="F25" s="9"/>
      <c r="G25" s="44">
        <f>164024.04/$B$81</f>
        <v>94190.903870449067</v>
      </c>
      <c r="H25" s="61" t="s">
        <v>35</v>
      </c>
    </row>
    <row r="26" spans="1:8" hidden="1">
      <c r="A26" s="10"/>
      <c r="B26" s="23"/>
      <c r="C26" s="14" t="s">
        <v>43</v>
      </c>
      <c r="D26" s="8"/>
      <c r="E26" s="7"/>
      <c r="F26" s="9"/>
      <c r="G26" s="44">
        <v>0</v>
      </c>
      <c r="H26" s="61"/>
    </row>
    <row r="27" spans="1:8">
      <c r="A27" s="10"/>
      <c r="B27" s="23"/>
      <c r="C27" s="8"/>
      <c r="D27" s="10"/>
      <c r="E27" s="11"/>
      <c r="F27" s="12"/>
      <c r="G27" s="44"/>
    </row>
    <row r="28" spans="1:8">
      <c r="A28" s="10"/>
      <c r="B28" s="40" t="s">
        <v>5</v>
      </c>
      <c r="C28" s="8"/>
      <c r="D28" s="15"/>
      <c r="E28" s="7"/>
      <c r="F28" s="9"/>
      <c r="G28" s="46">
        <f>SUM(G29:G30)</f>
        <v>23257.149420006892</v>
      </c>
    </row>
    <row r="29" spans="1:8">
      <c r="A29" s="10"/>
      <c r="B29" s="23"/>
      <c r="C29" s="14" t="s">
        <v>4</v>
      </c>
      <c r="D29" s="8"/>
      <c r="E29" s="7"/>
      <c r="F29" s="9"/>
      <c r="G29" s="44">
        <f>18000/$B$81</f>
        <v>10336.510853336396</v>
      </c>
    </row>
    <row r="30" spans="1:8">
      <c r="A30" s="10"/>
      <c r="B30" s="23"/>
      <c r="C30" s="14" t="s">
        <v>12</v>
      </c>
      <c r="D30" s="8"/>
      <c r="E30" s="7"/>
      <c r="F30" s="9"/>
      <c r="G30" s="44">
        <f>22500/$B$81</f>
        <v>12920.638566670494</v>
      </c>
    </row>
    <row r="31" spans="1:8">
      <c r="A31" s="10"/>
      <c r="B31" s="23"/>
      <c r="C31" s="14"/>
      <c r="D31" s="8"/>
      <c r="E31" s="7"/>
      <c r="F31" s="9"/>
      <c r="G31" s="44"/>
    </row>
    <row r="32" spans="1:8">
      <c r="A32" s="10"/>
      <c r="B32" s="40" t="s">
        <v>6</v>
      </c>
      <c r="C32" s="14"/>
      <c r="D32" s="8"/>
      <c r="E32" s="7"/>
      <c r="F32" s="9"/>
      <c r="G32" s="46">
        <f>SUM(G33:G41)</f>
        <v>0</v>
      </c>
    </row>
    <row r="33" spans="1:8" hidden="1">
      <c r="A33" s="10"/>
      <c r="B33" s="23"/>
      <c r="C33" s="57" t="s">
        <v>36</v>
      </c>
      <c r="D33" s="57"/>
      <c r="E33" s="58"/>
      <c r="F33" s="59"/>
      <c r="G33" s="60">
        <v>0</v>
      </c>
      <c r="H33" s="61"/>
    </row>
    <row r="34" spans="1:8" hidden="1">
      <c r="A34" s="10"/>
      <c r="B34" s="23"/>
      <c r="C34" s="14" t="s">
        <v>37</v>
      </c>
      <c r="D34" s="8"/>
      <c r="E34" s="7"/>
      <c r="F34" s="9"/>
      <c r="G34" s="44">
        <v>0</v>
      </c>
      <c r="H34" s="61"/>
    </row>
    <row r="35" spans="1:8" hidden="1">
      <c r="A35" s="10"/>
      <c r="B35" s="23"/>
      <c r="C35" s="14" t="s">
        <v>46</v>
      </c>
      <c r="D35" s="8"/>
      <c r="E35" s="7"/>
      <c r="F35" s="9"/>
      <c r="G35" s="44">
        <v>0</v>
      </c>
      <c r="H35" s="61"/>
    </row>
    <row r="36" spans="1:8" hidden="1">
      <c r="A36" s="10"/>
      <c r="B36" s="23"/>
      <c r="C36" s="14" t="s">
        <v>12</v>
      </c>
      <c r="D36" s="8"/>
      <c r="E36" s="7"/>
      <c r="F36" s="9"/>
      <c r="G36" s="44"/>
      <c r="H36" s="61"/>
    </row>
    <row r="37" spans="1:8" hidden="1">
      <c r="A37" s="10"/>
      <c r="B37" s="23"/>
      <c r="C37" s="14" t="s">
        <v>42</v>
      </c>
      <c r="D37" s="8"/>
      <c r="E37" s="7"/>
      <c r="F37" s="9"/>
      <c r="G37" s="44">
        <v>0</v>
      </c>
      <c r="H37" s="61"/>
    </row>
    <row r="38" spans="1:8" hidden="1">
      <c r="A38" s="10"/>
      <c r="B38" s="23"/>
      <c r="C38" s="14"/>
      <c r="D38" s="8"/>
      <c r="E38" s="7"/>
      <c r="F38" s="9"/>
      <c r="G38" s="44"/>
      <c r="H38" s="61"/>
    </row>
    <row r="39" spans="1:8" hidden="1">
      <c r="A39" s="10"/>
      <c r="B39" s="23"/>
      <c r="C39" s="14"/>
      <c r="D39" s="8"/>
      <c r="E39" s="7"/>
      <c r="F39" s="9"/>
      <c r="G39" s="44"/>
      <c r="H39" s="61"/>
    </row>
    <row r="40" spans="1:8" hidden="1">
      <c r="A40" s="10"/>
      <c r="B40" s="23"/>
      <c r="C40" s="14"/>
      <c r="D40" s="8"/>
      <c r="E40" s="7"/>
      <c r="F40" s="9"/>
      <c r="G40" s="44"/>
      <c r="H40" s="61"/>
    </row>
    <row r="41" spans="1:8">
      <c r="A41" s="10"/>
      <c r="B41" s="28"/>
      <c r="C41" s="29"/>
      <c r="D41" s="25"/>
      <c r="E41" s="26"/>
      <c r="F41" s="27"/>
      <c r="G41" s="45"/>
    </row>
    <row r="42" spans="1:8">
      <c r="A42" s="10"/>
      <c r="B42" s="32" t="s">
        <v>7</v>
      </c>
      <c r="C42" s="33"/>
      <c r="D42" s="42"/>
      <c r="E42" s="34"/>
      <c r="F42" s="39"/>
      <c r="G42" s="43">
        <f>SUM(G43:G60)</f>
        <v>0</v>
      </c>
    </row>
    <row r="43" spans="1:8">
      <c r="A43" s="10"/>
      <c r="B43" s="23"/>
      <c r="C43" s="8"/>
      <c r="D43" s="13"/>
      <c r="E43" s="7"/>
      <c r="F43" s="9"/>
      <c r="G43" s="44"/>
    </row>
    <row r="44" spans="1:8" hidden="1">
      <c r="A44" s="10"/>
      <c r="B44" s="23"/>
      <c r="C44" s="8"/>
      <c r="D44" s="13"/>
      <c r="E44" s="7"/>
      <c r="F44" s="9"/>
      <c r="G44" s="44"/>
    </row>
    <row r="45" spans="1:8" hidden="1">
      <c r="A45" s="10"/>
      <c r="B45" s="23"/>
      <c r="C45" s="8"/>
      <c r="D45" s="13"/>
      <c r="E45" s="7"/>
      <c r="F45" s="9"/>
      <c r="G45" s="44"/>
    </row>
    <row r="46" spans="1:8" hidden="1">
      <c r="A46" s="10"/>
      <c r="B46" s="23"/>
      <c r="C46" s="8"/>
      <c r="D46" s="13"/>
      <c r="E46" s="7"/>
      <c r="F46" s="9"/>
      <c r="G46" s="44"/>
    </row>
    <row r="47" spans="1:8" hidden="1">
      <c r="A47" s="10"/>
      <c r="B47" s="23"/>
      <c r="C47" s="8"/>
      <c r="D47" s="13"/>
      <c r="E47" s="7"/>
      <c r="F47" s="9"/>
      <c r="G47" s="44"/>
    </row>
    <row r="48" spans="1:8" hidden="1">
      <c r="A48" s="10"/>
      <c r="B48" s="23"/>
      <c r="C48" s="8"/>
      <c r="D48" s="13"/>
      <c r="E48" s="7"/>
      <c r="F48" s="9"/>
      <c r="G48" s="44"/>
    </row>
    <row r="49" spans="1:7" hidden="1">
      <c r="A49" s="10"/>
      <c r="B49" s="23"/>
      <c r="C49" s="8"/>
      <c r="D49" s="13"/>
      <c r="E49" s="7"/>
      <c r="F49" s="9"/>
      <c r="G49" s="44"/>
    </row>
    <row r="50" spans="1:7" hidden="1">
      <c r="A50" s="10"/>
      <c r="B50" s="23"/>
      <c r="C50" s="8"/>
      <c r="D50" s="13"/>
      <c r="E50" s="7"/>
      <c r="F50" s="9"/>
      <c r="G50" s="44"/>
    </row>
    <row r="51" spans="1:7" hidden="1">
      <c r="A51" s="10"/>
      <c r="B51" s="23"/>
      <c r="C51" s="8"/>
      <c r="D51" s="13"/>
      <c r="E51" s="7"/>
      <c r="F51" s="9"/>
      <c r="G51" s="44"/>
    </row>
    <row r="52" spans="1:7" hidden="1">
      <c r="A52" s="10"/>
      <c r="B52" s="23"/>
      <c r="C52" s="8"/>
      <c r="D52" s="13"/>
      <c r="E52" s="7"/>
      <c r="F52" s="9"/>
      <c r="G52" s="44"/>
    </row>
    <row r="53" spans="1:7" hidden="1">
      <c r="A53" s="10"/>
      <c r="B53" s="23"/>
      <c r="C53" s="8"/>
      <c r="D53" s="13"/>
      <c r="E53" s="7"/>
      <c r="F53" s="9"/>
      <c r="G53" s="44"/>
    </row>
    <row r="54" spans="1:7" hidden="1">
      <c r="A54" s="10"/>
      <c r="B54" s="23"/>
      <c r="C54" s="8"/>
      <c r="D54" s="13"/>
      <c r="E54" s="7"/>
      <c r="F54" s="9"/>
      <c r="G54" s="44"/>
    </row>
    <row r="55" spans="1:7" hidden="1">
      <c r="A55" s="10"/>
      <c r="B55" s="23"/>
      <c r="C55" s="8"/>
      <c r="D55" s="13"/>
      <c r="E55" s="7"/>
      <c r="F55" s="9"/>
      <c r="G55" s="44"/>
    </row>
    <row r="56" spans="1:7" hidden="1">
      <c r="A56" s="10"/>
      <c r="B56" s="23"/>
      <c r="C56" s="8"/>
      <c r="D56" s="13"/>
      <c r="E56" s="7"/>
      <c r="F56" s="9"/>
      <c r="G56" s="44"/>
    </row>
    <row r="57" spans="1:7" hidden="1">
      <c r="A57" s="10"/>
      <c r="B57" s="23"/>
      <c r="C57" s="8"/>
      <c r="D57" s="13"/>
      <c r="E57" s="7"/>
      <c r="F57" s="9"/>
      <c r="G57" s="44"/>
    </row>
    <row r="58" spans="1:7" hidden="1">
      <c r="A58" s="10"/>
      <c r="B58" s="23"/>
      <c r="C58" s="8"/>
      <c r="D58" s="13"/>
      <c r="E58" s="7"/>
      <c r="F58" s="9"/>
      <c r="G58" s="44"/>
    </row>
    <row r="59" spans="1:7" hidden="1">
      <c r="A59" s="10"/>
      <c r="B59" s="23"/>
      <c r="C59" s="8"/>
      <c r="D59" s="13"/>
      <c r="E59" s="7"/>
      <c r="F59" s="9"/>
      <c r="G59" s="44"/>
    </row>
    <row r="60" spans="1:7" hidden="1">
      <c r="A60" s="10"/>
      <c r="B60" s="23"/>
      <c r="C60" s="8"/>
      <c r="D60" s="13"/>
      <c r="E60" s="7"/>
      <c r="F60" s="9"/>
      <c r="G60" s="44"/>
    </row>
    <row r="61" spans="1:7" hidden="1">
      <c r="A61" s="10"/>
      <c r="B61" s="23"/>
      <c r="C61" s="8"/>
      <c r="D61" s="13"/>
      <c r="E61" s="7"/>
      <c r="F61" s="9"/>
      <c r="G61" s="44"/>
    </row>
    <row r="62" spans="1:7" hidden="1">
      <c r="A62" s="10"/>
      <c r="B62" s="23"/>
      <c r="C62" s="8"/>
      <c r="D62" s="13"/>
      <c r="E62" s="7"/>
      <c r="F62" s="9"/>
      <c r="G62" s="44"/>
    </row>
    <row r="63" spans="1:7" hidden="1">
      <c r="A63" s="10"/>
      <c r="B63" s="23"/>
      <c r="C63" s="8"/>
      <c r="D63" s="13"/>
      <c r="E63" s="7"/>
      <c r="F63" s="9"/>
      <c r="G63" s="44"/>
    </row>
    <row r="64" spans="1:7" hidden="1">
      <c r="A64" s="10"/>
      <c r="B64" s="28"/>
      <c r="C64" s="29"/>
      <c r="D64" s="29"/>
      <c r="E64" s="30"/>
      <c r="F64" s="31"/>
      <c r="G64" s="45"/>
    </row>
    <row r="65" spans="1:8">
      <c r="A65" s="10"/>
      <c r="B65" s="32" t="s">
        <v>8</v>
      </c>
      <c r="C65" s="33"/>
      <c r="D65" s="42"/>
      <c r="E65" s="34"/>
      <c r="F65" s="39"/>
      <c r="G65" s="47">
        <f>SUM(G66:G74)</f>
        <v>99158.364619271859</v>
      </c>
    </row>
    <row r="66" spans="1:8">
      <c r="A66" s="10"/>
      <c r="B66" s="23"/>
      <c r="C66" s="8" t="s">
        <v>15</v>
      </c>
      <c r="D66" s="13"/>
      <c r="E66" s="7"/>
      <c r="F66" s="9"/>
      <c r="G66" s="44">
        <f>88331.81/$B$81</f>
        <v>50724.59515332491</v>
      </c>
    </row>
    <row r="67" spans="1:8">
      <c r="A67" s="10"/>
      <c r="B67" s="23"/>
      <c r="C67" s="8" t="s">
        <v>16</v>
      </c>
      <c r="D67" s="13"/>
      <c r="E67" s="7"/>
      <c r="F67" s="9"/>
      <c r="G67" s="44">
        <f>33924.3/$B$81</f>
        <v>19481.049730102219</v>
      </c>
    </row>
    <row r="68" spans="1:8">
      <c r="A68" s="10"/>
      <c r="B68" s="23"/>
      <c r="C68" s="8" t="s">
        <v>17</v>
      </c>
      <c r="D68" s="13"/>
      <c r="E68" s="7"/>
      <c r="F68" s="9"/>
      <c r="G68" s="44">
        <f>14978.78/$B$81</f>
        <v>8601.5734466521189</v>
      </c>
    </row>
    <row r="69" spans="1:8" hidden="1">
      <c r="A69" s="10"/>
      <c r="B69" s="23"/>
      <c r="C69" s="8"/>
      <c r="D69" s="13"/>
      <c r="E69" s="7"/>
      <c r="F69" s="9"/>
      <c r="G69" s="44"/>
    </row>
    <row r="70" spans="1:8" hidden="1">
      <c r="A70" s="10"/>
      <c r="B70" s="23"/>
      <c r="C70" s="8"/>
      <c r="D70" s="13"/>
      <c r="E70" s="7"/>
      <c r="F70" s="9"/>
      <c r="G70" s="44"/>
      <c r="H70" s="61"/>
    </row>
    <row r="71" spans="1:8">
      <c r="A71" s="10"/>
      <c r="B71" s="23"/>
      <c r="C71" s="8" t="s">
        <v>39</v>
      </c>
      <c r="D71" s="13"/>
      <c r="E71" s="7"/>
      <c r="F71" s="9"/>
      <c r="G71" s="44">
        <f>(4155.44+2489.23+2695.33+343.01+1135.6+489.85+2446.81+1617.03+6677.95+4316.4+1239.23+2759.48)/$B$81</f>
        <v>17437.326289192602</v>
      </c>
      <c r="H71" s="61" t="s">
        <v>38</v>
      </c>
    </row>
    <row r="72" spans="1:8">
      <c r="A72" s="10"/>
      <c r="B72" s="23"/>
      <c r="C72" s="8" t="s">
        <v>22</v>
      </c>
      <c r="D72" s="13"/>
      <c r="E72" s="7"/>
      <c r="F72" s="9"/>
      <c r="G72" s="44">
        <v>2913.82</v>
      </c>
    </row>
    <row r="73" spans="1:8" hidden="1">
      <c r="A73" s="10"/>
      <c r="B73" s="23"/>
      <c r="C73" s="8"/>
      <c r="D73" s="13"/>
      <c r="E73" s="7"/>
      <c r="F73" s="9"/>
      <c r="G73" s="44"/>
      <c r="H73" s="61"/>
    </row>
    <row r="74" spans="1:8">
      <c r="A74" s="10"/>
      <c r="B74" s="24"/>
      <c r="C74" s="25"/>
      <c r="D74" s="25"/>
      <c r="E74" s="26"/>
      <c r="F74" s="27"/>
      <c r="G74" s="45"/>
    </row>
    <row r="75" spans="1:8">
      <c r="A75" s="10"/>
      <c r="B75" s="48" t="s">
        <v>9</v>
      </c>
      <c r="C75" s="49"/>
      <c r="D75" s="49"/>
      <c r="E75" s="50"/>
      <c r="F75" s="51"/>
      <c r="G75" s="54">
        <f>G3-SUM(G14,G17,G22,G42,G65)</f>
        <v>88043.80292408407</v>
      </c>
    </row>
    <row r="76" spans="1:8">
      <c r="A76" s="16"/>
      <c r="B76" s="52" t="s">
        <v>10</v>
      </c>
      <c r="C76" s="36"/>
      <c r="D76" s="36"/>
      <c r="E76" s="30"/>
      <c r="F76" s="53"/>
      <c r="G76" s="55">
        <f>G75/G3</f>
        <v>0.24118511918009464</v>
      </c>
    </row>
    <row r="77" spans="1:8">
      <c r="A77" s="10"/>
      <c r="B77" s="10"/>
      <c r="C77" s="10"/>
      <c r="D77" s="10"/>
      <c r="E77" s="11"/>
      <c r="F77" s="12"/>
    </row>
    <row r="80" spans="1:8">
      <c r="A80" s="17" t="s">
        <v>45</v>
      </c>
      <c r="B80" s="18"/>
      <c r="C80" s="19"/>
    </row>
    <row r="81" spans="1:3">
      <c r="A81" s="20" t="s">
        <v>13</v>
      </c>
      <c r="B81" s="21">
        <v>1.7414000000000001</v>
      </c>
      <c r="C81" s="22" t="s">
        <v>14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>
      <selection activeCell="C66" sqref="C66"/>
    </sheetView>
  </sheetViews>
  <sheetFormatPr defaultRowHeight="15"/>
  <cols>
    <col min="3" max="3" width="50.85546875" bestFit="1" customWidth="1"/>
    <col min="7" max="7" width="21.5703125" customWidth="1"/>
  </cols>
  <sheetData>
    <row r="1" spans="1:8" ht="23.25">
      <c r="A1" s="1" t="s">
        <v>25</v>
      </c>
      <c r="B1" s="2"/>
      <c r="C1" s="2"/>
      <c r="D1" s="2"/>
      <c r="E1" s="3"/>
      <c r="F1" s="4"/>
    </row>
    <row r="2" spans="1:8">
      <c r="A2" s="5"/>
      <c r="B2" s="5"/>
      <c r="C2" s="5"/>
      <c r="D2" s="5"/>
      <c r="E2" s="6"/>
      <c r="F2" s="7"/>
    </row>
    <row r="3" spans="1:8">
      <c r="A3" s="8"/>
      <c r="B3" s="32" t="s">
        <v>0</v>
      </c>
      <c r="C3" s="33"/>
      <c r="D3" s="33"/>
      <c r="E3" s="34"/>
      <c r="F3" s="35"/>
      <c r="G3" s="43">
        <f>SUM(G4:G13)</f>
        <v>512747.71611268225</v>
      </c>
    </row>
    <row r="4" spans="1:8">
      <c r="A4" s="8"/>
      <c r="B4" s="23"/>
      <c r="C4" s="8" t="s">
        <v>2</v>
      </c>
      <c r="D4" s="8"/>
      <c r="E4" s="7"/>
      <c r="F4" s="9"/>
      <c r="G4" s="44">
        <f>ITA!G6*0.1</f>
        <v>229142.80000000002</v>
      </c>
      <c r="H4" s="61" t="s">
        <v>85</v>
      </c>
    </row>
    <row r="5" spans="1:8">
      <c r="A5" s="8"/>
      <c r="B5" s="23"/>
      <c r="C5" s="8" t="s">
        <v>82</v>
      </c>
      <c r="D5" s="8"/>
      <c r="E5" s="7"/>
      <c r="F5" s="9"/>
      <c r="G5" s="44">
        <f>SUM(G24:G28)*110%</f>
        <v>283604.9161126822</v>
      </c>
      <c r="H5" s="61" t="s">
        <v>79</v>
      </c>
    </row>
    <row r="6" spans="1:8" hidden="1">
      <c r="A6" s="8"/>
      <c r="B6" s="23"/>
      <c r="C6" s="8"/>
      <c r="D6" s="8"/>
      <c r="E6" s="7"/>
      <c r="F6" s="9"/>
      <c r="G6" s="44"/>
    </row>
    <row r="7" spans="1:8" hidden="1">
      <c r="A7" s="8"/>
      <c r="B7" s="23"/>
      <c r="C7" s="8"/>
      <c r="D7" s="8"/>
      <c r="E7" s="7"/>
      <c r="F7" s="9"/>
      <c r="G7" s="44"/>
    </row>
    <row r="8" spans="1:8" hidden="1">
      <c r="A8" s="8"/>
      <c r="B8" s="23"/>
      <c r="C8" s="8"/>
      <c r="D8" s="8"/>
      <c r="E8" s="7"/>
      <c r="F8" s="9"/>
      <c r="G8" s="44"/>
    </row>
    <row r="9" spans="1:8" hidden="1">
      <c r="A9" s="8"/>
      <c r="B9" s="23"/>
      <c r="C9" s="8"/>
      <c r="D9" s="8"/>
      <c r="E9" s="7"/>
      <c r="F9" s="9"/>
      <c r="G9" s="44"/>
    </row>
    <row r="10" spans="1:8" hidden="1">
      <c r="A10" s="8"/>
      <c r="B10" s="23"/>
      <c r="C10" s="8"/>
      <c r="D10" s="8"/>
      <c r="E10" s="7"/>
      <c r="F10" s="9"/>
      <c r="G10" s="44"/>
    </row>
    <row r="11" spans="1:8" hidden="1">
      <c r="A11" s="8"/>
      <c r="B11" s="23"/>
      <c r="C11" s="8"/>
      <c r="D11" s="8"/>
      <c r="E11" s="7"/>
      <c r="F11" s="9"/>
      <c r="G11" s="44"/>
    </row>
    <row r="12" spans="1:8" hidden="1">
      <c r="A12" s="8"/>
      <c r="B12" s="23"/>
      <c r="C12" s="8"/>
      <c r="D12" s="8"/>
      <c r="E12" s="7"/>
      <c r="F12" s="9"/>
      <c r="G12" s="62"/>
    </row>
    <row r="13" spans="1:8">
      <c r="A13" s="8"/>
      <c r="B13" s="28"/>
      <c r="C13" s="29"/>
      <c r="D13" s="29"/>
      <c r="E13" s="30"/>
      <c r="F13" s="31"/>
      <c r="G13" s="45"/>
    </row>
    <row r="14" spans="1:8">
      <c r="A14" s="10"/>
      <c r="B14" s="32" t="s">
        <v>24</v>
      </c>
      <c r="C14" s="37"/>
      <c r="D14" s="37"/>
      <c r="E14" s="38"/>
      <c r="F14" s="39"/>
      <c r="G14" s="43">
        <v>0</v>
      </c>
    </row>
    <row r="15" spans="1:8">
      <c r="A15" s="10"/>
      <c r="B15" s="23"/>
      <c r="C15" s="8" t="s">
        <v>1</v>
      </c>
      <c r="D15" s="13"/>
      <c r="E15" s="11"/>
      <c r="F15" s="9"/>
      <c r="G15" s="44">
        <v>0</v>
      </c>
    </row>
    <row r="16" spans="1:8">
      <c r="A16" s="10"/>
      <c r="B16" s="28"/>
      <c r="C16" s="29"/>
      <c r="D16" s="36"/>
      <c r="E16" s="26"/>
      <c r="F16" s="31"/>
      <c r="G16" s="45"/>
    </row>
    <row r="17" spans="1:8">
      <c r="A17" s="10"/>
      <c r="B17" s="32" t="s">
        <v>2</v>
      </c>
      <c r="C17" s="33"/>
      <c r="D17" s="33"/>
      <c r="E17" s="34"/>
      <c r="F17" s="39"/>
      <c r="G17" s="43">
        <f>G20</f>
        <v>0</v>
      </c>
    </row>
    <row r="18" spans="1:8" hidden="1">
      <c r="A18" s="10"/>
      <c r="B18" s="40"/>
      <c r="C18" s="8"/>
      <c r="D18" s="8"/>
      <c r="E18" s="7"/>
      <c r="F18" s="9"/>
      <c r="G18" s="46"/>
    </row>
    <row r="19" spans="1:8" hidden="1">
      <c r="A19" s="10"/>
      <c r="B19" s="40"/>
      <c r="C19" s="8"/>
      <c r="D19" s="8"/>
      <c r="E19" s="7"/>
      <c r="F19" s="9"/>
      <c r="G19" s="46"/>
    </row>
    <row r="20" spans="1:8" hidden="1">
      <c r="A20" s="10"/>
      <c r="B20" s="23"/>
      <c r="C20" s="10"/>
      <c r="D20" s="10"/>
      <c r="E20" s="11"/>
      <c r="F20" s="12"/>
      <c r="G20" s="56"/>
    </row>
    <row r="21" spans="1:8">
      <c r="A21" s="10"/>
      <c r="B21" s="28"/>
      <c r="C21" s="29"/>
      <c r="D21" s="25"/>
      <c r="E21" s="26"/>
      <c r="F21" s="27"/>
      <c r="G21" s="45"/>
    </row>
    <row r="22" spans="1:8">
      <c r="A22" s="10"/>
      <c r="B22" s="32" t="s">
        <v>3</v>
      </c>
      <c r="C22" s="33"/>
      <c r="D22" s="41"/>
      <c r="E22" s="34"/>
      <c r="F22" s="35"/>
      <c r="G22" s="43">
        <f>SUM(G24:G26)+G28+G32</f>
        <v>257822.65101152926</v>
      </c>
    </row>
    <row r="23" spans="1:8">
      <c r="A23" s="10"/>
      <c r="B23" s="40"/>
      <c r="C23" s="8"/>
      <c r="D23" s="63"/>
      <c r="E23" s="7"/>
      <c r="F23" s="64"/>
      <c r="G23" s="46"/>
    </row>
    <row r="24" spans="1:8">
      <c r="A24" s="10"/>
      <c r="B24" s="23"/>
      <c r="C24" s="14" t="s">
        <v>27</v>
      </c>
      <c r="D24" s="8"/>
      <c r="E24" s="7"/>
      <c r="F24" s="9"/>
      <c r="G24" s="44">
        <f>(6666.67*12)/$B$81+((13077.14+419.18+12446.76+2872.68+2849.05+4742.61+3016.45+784.27+4322.73+2451.4+2440.97)/B81)</f>
        <v>93846.18954390545</v>
      </c>
      <c r="H24" s="61" t="s">
        <v>49</v>
      </c>
    </row>
    <row r="25" spans="1:8" hidden="1">
      <c r="A25" s="10"/>
      <c r="B25" s="23"/>
      <c r="C25" s="14" t="s">
        <v>12</v>
      </c>
      <c r="D25" s="8"/>
      <c r="E25" s="7"/>
      <c r="F25" s="9"/>
      <c r="G25" s="44"/>
      <c r="H25" s="61"/>
    </row>
    <row r="26" spans="1:8">
      <c r="A26" s="10"/>
      <c r="B26" s="23"/>
      <c r="C26" s="14" t="s">
        <v>43</v>
      </c>
      <c r="D26" s="8"/>
      <c r="E26" s="7"/>
      <c r="F26" s="9"/>
      <c r="G26" s="44">
        <f>(58619.21/B81)+56211.1</f>
        <v>98716.509324922052</v>
      </c>
      <c r="H26" s="61" t="s">
        <v>44</v>
      </c>
    </row>
    <row r="27" spans="1:8">
      <c r="A27" s="10"/>
      <c r="B27" s="23"/>
      <c r="C27" s="8"/>
      <c r="D27" s="10"/>
      <c r="E27" s="11"/>
      <c r="F27" s="12"/>
      <c r="G27" s="44"/>
    </row>
    <row r="28" spans="1:8">
      <c r="A28" s="10"/>
      <c r="B28" s="40" t="s">
        <v>5</v>
      </c>
      <c r="C28" s="8"/>
      <c r="D28" s="15"/>
      <c r="E28" s="7"/>
      <c r="F28" s="9"/>
      <c r="G28" s="46">
        <f>SUM(G29:G30)</f>
        <v>65259.952142701761</v>
      </c>
    </row>
    <row r="29" spans="1:8">
      <c r="A29" s="10"/>
      <c r="B29" s="23"/>
      <c r="C29" s="14" t="s">
        <v>4</v>
      </c>
      <c r="D29" s="8"/>
      <c r="E29" s="7"/>
      <c r="F29" s="9"/>
      <c r="G29" s="44">
        <f>90000/B81</f>
        <v>65259.952142701761</v>
      </c>
    </row>
    <row r="30" spans="1:8" hidden="1">
      <c r="A30" s="10"/>
      <c r="B30" s="23"/>
      <c r="C30" s="14" t="s">
        <v>12</v>
      </c>
      <c r="D30" s="8"/>
      <c r="E30" s="7"/>
      <c r="F30" s="9"/>
      <c r="G30" s="44">
        <v>0</v>
      </c>
    </row>
    <row r="31" spans="1:8">
      <c r="A31" s="10"/>
      <c r="B31" s="23"/>
      <c r="C31" s="14"/>
      <c r="D31" s="8"/>
      <c r="E31" s="7"/>
      <c r="F31" s="9"/>
      <c r="G31" s="44"/>
    </row>
    <row r="32" spans="1:8">
      <c r="A32" s="10"/>
      <c r="B32" s="40" t="s">
        <v>6</v>
      </c>
      <c r="C32" s="14"/>
      <c r="D32" s="8"/>
      <c r="E32" s="7"/>
      <c r="F32" s="9"/>
      <c r="G32" s="46">
        <f>SUM(G33:G36)</f>
        <v>0</v>
      </c>
    </row>
    <row r="33" spans="1:8" hidden="1">
      <c r="A33" s="10"/>
      <c r="B33" s="23"/>
      <c r="C33" s="57" t="s">
        <v>36</v>
      </c>
      <c r="D33" s="57"/>
      <c r="E33" s="58"/>
      <c r="F33" s="59"/>
      <c r="G33" s="60">
        <v>0</v>
      </c>
      <c r="H33" s="61"/>
    </row>
    <row r="34" spans="1:8" hidden="1">
      <c r="A34" s="10"/>
      <c r="B34" s="23"/>
      <c r="C34" s="14" t="s">
        <v>37</v>
      </c>
      <c r="D34" s="8"/>
      <c r="E34" s="7"/>
      <c r="F34" s="9"/>
      <c r="G34" s="44">
        <v>0</v>
      </c>
      <c r="H34" s="61"/>
    </row>
    <row r="35" spans="1:8" hidden="1">
      <c r="A35" s="10"/>
      <c r="B35" s="23"/>
      <c r="C35" s="14" t="s">
        <v>46</v>
      </c>
      <c r="D35" s="8"/>
      <c r="E35" s="7"/>
      <c r="F35" s="9"/>
      <c r="G35" s="44">
        <v>0</v>
      </c>
      <c r="H35" s="61"/>
    </row>
    <row r="36" spans="1:8" hidden="1">
      <c r="A36" s="10"/>
      <c r="B36" s="23"/>
      <c r="C36" s="14" t="s">
        <v>12</v>
      </c>
      <c r="D36" s="8"/>
      <c r="E36" s="7"/>
      <c r="F36" s="9"/>
      <c r="G36" s="44">
        <v>0</v>
      </c>
      <c r="H36" s="61"/>
    </row>
    <row r="37" spans="1:8" hidden="1">
      <c r="A37" s="10"/>
      <c r="B37" s="23"/>
      <c r="C37" s="14" t="s">
        <v>42</v>
      </c>
      <c r="D37" s="8"/>
      <c r="E37" s="7"/>
      <c r="F37" s="9"/>
      <c r="G37" s="44">
        <v>0</v>
      </c>
      <c r="H37" s="61"/>
    </row>
    <row r="38" spans="1:8" hidden="1">
      <c r="A38" s="10"/>
      <c r="B38" s="23"/>
      <c r="C38" s="14"/>
      <c r="D38" s="8"/>
      <c r="E38" s="7"/>
      <c r="F38" s="9"/>
      <c r="G38" s="44"/>
      <c r="H38" s="61"/>
    </row>
    <row r="39" spans="1:8" hidden="1">
      <c r="A39" s="10"/>
      <c r="B39" s="23"/>
      <c r="C39" s="14"/>
      <c r="D39" s="8"/>
      <c r="E39" s="7"/>
      <c r="F39" s="9"/>
      <c r="G39" s="44"/>
      <c r="H39" s="61"/>
    </row>
    <row r="40" spans="1:8" hidden="1">
      <c r="A40" s="10"/>
      <c r="B40" s="23"/>
      <c r="C40" s="14"/>
      <c r="D40" s="8"/>
      <c r="E40" s="7"/>
      <c r="F40" s="9"/>
      <c r="G40" s="44"/>
      <c r="H40" s="61"/>
    </row>
    <row r="41" spans="1:8">
      <c r="A41" s="10"/>
      <c r="B41" s="28"/>
      <c r="C41" s="29"/>
      <c r="D41" s="25"/>
      <c r="E41" s="26"/>
      <c r="F41" s="27"/>
      <c r="G41" s="45"/>
    </row>
    <row r="42" spans="1:8">
      <c r="A42" s="10"/>
      <c r="B42" s="32" t="s">
        <v>7</v>
      </c>
      <c r="C42" s="33"/>
      <c r="D42" s="42"/>
      <c r="E42" s="34"/>
      <c r="F42" s="39"/>
      <c r="G42" s="43">
        <f>SUM(G43:G64)</f>
        <v>0</v>
      </c>
    </row>
    <row r="43" spans="1:8">
      <c r="A43" s="10"/>
      <c r="B43" s="23"/>
      <c r="C43" s="8"/>
      <c r="D43" s="13"/>
      <c r="E43" s="7"/>
      <c r="F43" s="9"/>
      <c r="G43" s="44"/>
    </row>
    <row r="44" spans="1:8" hidden="1">
      <c r="A44" s="10"/>
      <c r="B44" s="23"/>
      <c r="C44" s="8"/>
      <c r="D44" s="13"/>
      <c r="E44" s="7"/>
      <c r="F44" s="9"/>
      <c r="G44" s="44"/>
    </row>
    <row r="45" spans="1:8" hidden="1">
      <c r="A45" s="10"/>
      <c r="B45" s="23"/>
      <c r="C45" s="8"/>
      <c r="D45" s="13"/>
      <c r="E45" s="7"/>
      <c r="F45" s="9"/>
      <c r="G45" s="44"/>
    </row>
    <row r="46" spans="1:8" hidden="1">
      <c r="A46" s="10"/>
      <c r="B46" s="23"/>
      <c r="C46" s="8"/>
      <c r="D46" s="13"/>
      <c r="E46" s="7"/>
      <c r="F46" s="9"/>
      <c r="G46" s="44"/>
    </row>
    <row r="47" spans="1:8" hidden="1">
      <c r="A47" s="10"/>
      <c r="B47" s="23"/>
      <c r="C47" s="8"/>
      <c r="D47" s="13"/>
      <c r="E47" s="7"/>
      <c r="F47" s="9"/>
      <c r="G47" s="44"/>
    </row>
    <row r="48" spans="1:8" hidden="1">
      <c r="A48" s="10"/>
      <c r="B48" s="23"/>
      <c r="C48" s="8"/>
      <c r="D48" s="13"/>
      <c r="E48" s="7"/>
      <c r="F48" s="9"/>
      <c r="G48" s="44"/>
    </row>
    <row r="49" spans="1:7" hidden="1">
      <c r="A49" s="10"/>
      <c r="B49" s="23"/>
      <c r="C49" s="8"/>
      <c r="D49" s="13"/>
      <c r="E49" s="7"/>
      <c r="F49" s="9"/>
      <c r="G49" s="44"/>
    </row>
    <row r="50" spans="1:7" hidden="1">
      <c r="A50" s="10"/>
      <c r="B50" s="23"/>
      <c r="C50" s="8"/>
      <c r="D50" s="13"/>
      <c r="E50" s="7"/>
      <c r="F50" s="9"/>
      <c r="G50" s="44"/>
    </row>
    <row r="51" spans="1:7" hidden="1">
      <c r="A51" s="10"/>
      <c r="B51" s="23"/>
      <c r="C51" s="8"/>
      <c r="D51" s="13"/>
      <c r="E51" s="7"/>
      <c r="F51" s="9"/>
      <c r="G51" s="44"/>
    </row>
    <row r="52" spans="1:7" hidden="1">
      <c r="A52" s="10"/>
      <c r="B52" s="23"/>
      <c r="C52" s="8"/>
      <c r="D52" s="13"/>
      <c r="E52" s="7"/>
      <c r="F52" s="9"/>
      <c r="G52" s="44"/>
    </row>
    <row r="53" spans="1:7" hidden="1">
      <c r="A53" s="10"/>
      <c r="B53" s="23"/>
      <c r="C53" s="8"/>
      <c r="D53" s="13"/>
      <c r="E53" s="7"/>
      <c r="F53" s="9"/>
      <c r="G53" s="44"/>
    </row>
    <row r="54" spans="1:7" hidden="1">
      <c r="A54" s="10"/>
      <c r="B54" s="23"/>
      <c r="C54" s="8"/>
      <c r="D54" s="13"/>
      <c r="E54" s="7"/>
      <c r="F54" s="9"/>
      <c r="G54" s="44"/>
    </row>
    <row r="55" spans="1:7" hidden="1">
      <c r="A55" s="10"/>
      <c r="B55" s="23"/>
      <c r="C55" s="8"/>
      <c r="D55" s="13"/>
      <c r="E55" s="7"/>
      <c r="F55" s="9"/>
      <c r="G55" s="44"/>
    </row>
    <row r="56" spans="1:7" hidden="1">
      <c r="A56" s="10"/>
      <c r="B56" s="23"/>
      <c r="C56" s="8"/>
      <c r="D56" s="13"/>
      <c r="E56" s="7"/>
      <c r="F56" s="9"/>
      <c r="G56" s="44"/>
    </row>
    <row r="57" spans="1:7" hidden="1">
      <c r="A57" s="10"/>
      <c r="B57" s="23"/>
      <c r="C57" s="8"/>
      <c r="D57" s="13"/>
      <c r="E57" s="7"/>
      <c r="F57" s="9"/>
      <c r="G57" s="44"/>
    </row>
    <row r="58" spans="1:7" hidden="1">
      <c r="A58" s="10"/>
      <c r="B58" s="23"/>
      <c r="C58" s="8"/>
      <c r="D58" s="13"/>
      <c r="E58" s="7"/>
      <c r="F58" s="9"/>
      <c r="G58" s="44"/>
    </row>
    <row r="59" spans="1:7" hidden="1">
      <c r="A59" s="10"/>
      <c r="B59" s="23"/>
      <c r="C59" s="8"/>
      <c r="D59" s="13"/>
      <c r="E59" s="7"/>
      <c r="F59" s="9"/>
      <c r="G59" s="44"/>
    </row>
    <row r="60" spans="1:7" hidden="1">
      <c r="A60" s="10"/>
      <c r="B60" s="23"/>
      <c r="C60" s="8"/>
      <c r="D60" s="13"/>
      <c r="E60" s="7"/>
      <c r="F60" s="9"/>
      <c r="G60" s="44"/>
    </row>
    <row r="61" spans="1:7" hidden="1">
      <c r="A61" s="10"/>
      <c r="B61" s="23"/>
      <c r="C61" s="8"/>
      <c r="D61" s="13"/>
      <c r="E61" s="7"/>
      <c r="F61" s="9"/>
      <c r="G61" s="44"/>
    </row>
    <row r="62" spans="1:7" hidden="1">
      <c r="A62" s="10"/>
      <c r="B62" s="23"/>
      <c r="C62" s="8"/>
      <c r="D62" s="13"/>
      <c r="E62" s="7"/>
      <c r="F62" s="9"/>
      <c r="G62" s="44"/>
    </row>
    <row r="63" spans="1:7" hidden="1">
      <c r="A63" s="10"/>
      <c r="B63" s="23"/>
      <c r="C63" s="8"/>
      <c r="D63" s="13"/>
      <c r="E63" s="7"/>
      <c r="F63" s="9"/>
      <c r="G63" s="44"/>
    </row>
    <row r="64" spans="1:7" hidden="1">
      <c r="A64" s="10"/>
      <c r="B64" s="28"/>
      <c r="C64" s="29"/>
      <c r="D64" s="29"/>
      <c r="E64" s="30"/>
      <c r="F64" s="31"/>
      <c r="G64" s="45"/>
    </row>
    <row r="65" spans="1:8">
      <c r="A65" s="10"/>
      <c r="B65" s="32" t="s">
        <v>8</v>
      </c>
      <c r="C65" s="33"/>
      <c r="D65" s="42"/>
      <c r="E65" s="34"/>
      <c r="F65" s="39"/>
      <c r="G65" s="47">
        <f>SUM(G66:G74)</f>
        <v>36783.017910231312</v>
      </c>
    </row>
    <row r="66" spans="1:8">
      <c r="A66" s="10"/>
      <c r="B66" s="23"/>
      <c r="C66" s="8" t="s">
        <v>48</v>
      </c>
      <c r="D66" s="13"/>
      <c r="E66" s="7"/>
      <c r="F66" s="9"/>
      <c r="G66" s="60">
        <f>(968.53+1267.05+1309.59+999+999+1009.5+1010.64+1010.64+1010.64+1010.64+1010.64+1231.07)/B81</f>
        <v>9308.2010006525979</v>
      </c>
      <c r="H66" s="61"/>
    </row>
    <row r="67" spans="1:8" hidden="1">
      <c r="A67" s="10"/>
      <c r="B67" s="23"/>
      <c r="C67" s="8"/>
      <c r="D67" s="13"/>
      <c r="E67" s="7"/>
      <c r="F67" s="9"/>
      <c r="G67" s="60"/>
      <c r="H67" s="61"/>
    </row>
    <row r="68" spans="1:8">
      <c r="A68" s="10"/>
      <c r="B68" s="23"/>
      <c r="C68" s="8" t="s">
        <v>47</v>
      </c>
      <c r="D68" s="13"/>
      <c r="E68" s="7"/>
      <c r="F68" s="9"/>
      <c r="G68" s="60">
        <f>(836.55+795.09+927.14+1202.39+427.25+427.25+1311.23+815.62+1625.99+921.35+1639.12)/B81</f>
        <v>7924.7190196504962</v>
      </c>
      <c r="H68" s="61"/>
    </row>
    <row r="69" spans="1:8" hidden="1">
      <c r="A69" s="10"/>
      <c r="B69" s="23"/>
      <c r="C69" s="8"/>
      <c r="D69" s="13"/>
      <c r="E69" s="7"/>
      <c r="F69" s="9"/>
      <c r="G69" s="60"/>
      <c r="H69" s="61"/>
    </row>
    <row r="70" spans="1:8" hidden="1">
      <c r="A70" s="10"/>
      <c r="B70" s="24"/>
      <c r="C70" s="25"/>
      <c r="D70" s="25"/>
      <c r="E70" s="26"/>
      <c r="F70" s="27"/>
      <c r="G70" s="45"/>
    </row>
    <row r="71" spans="1:8" hidden="1">
      <c r="A71" s="10"/>
      <c r="B71" s="23"/>
      <c r="C71" s="8"/>
      <c r="D71" s="13"/>
      <c r="E71" s="7"/>
      <c r="F71" s="9"/>
      <c r="G71" s="44"/>
    </row>
    <row r="72" spans="1:8" hidden="1">
      <c r="A72" s="10"/>
      <c r="B72" s="23"/>
      <c r="C72" s="8"/>
      <c r="D72" s="13"/>
      <c r="E72" s="7"/>
      <c r="F72" s="9"/>
      <c r="G72" s="60"/>
    </row>
    <row r="73" spans="1:8">
      <c r="A73" s="10"/>
      <c r="B73" s="23"/>
      <c r="C73" s="8" t="s">
        <v>65</v>
      </c>
      <c r="D73" s="13"/>
      <c r="E73" s="7"/>
      <c r="F73" s="9"/>
      <c r="G73" s="60">
        <f>(24429.54+2532)/B81</f>
        <v>19550.097889928216</v>
      </c>
      <c r="H73" s="61" t="s">
        <v>66</v>
      </c>
    </row>
    <row r="74" spans="1:8">
      <c r="A74" s="10"/>
      <c r="B74" s="23"/>
      <c r="C74" s="8"/>
      <c r="D74" s="13"/>
      <c r="E74" s="7"/>
      <c r="F74" s="9"/>
      <c r="G74" s="60"/>
      <c r="H74" s="61"/>
    </row>
    <row r="75" spans="1:8">
      <c r="A75" s="10"/>
      <c r="B75" s="48" t="s">
        <v>9</v>
      </c>
      <c r="C75" s="49"/>
      <c r="D75" s="49"/>
      <c r="E75" s="50"/>
      <c r="F75" s="51"/>
      <c r="G75" s="54">
        <f>G3-SUM(G14,G17,G22,G42,G65)</f>
        <v>218142.04719092167</v>
      </c>
    </row>
    <row r="76" spans="1:8">
      <c r="A76" s="16"/>
      <c r="B76" s="52" t="s">
        <v>10</v>
      </c>
      <c r="C76" s="36"/>
      <c r="D76" s="36"/>
      <c r="E76" s="30"/>
      <c r="F76" s="53"/>
      <c r="G76" s="55">
        <f>G75/G3</f>
        <v>0.42543738438219086</v>
      </c>
    </row>
    <row r="77" spans="1:8">
      <c r="A77" s="10"/>
      <c r="B77" s="10"/>
      <c r="C77" s="10"/>
      <c r="D77" s="10"/>
      <c r="E77" s="11"/>
      <c r="F77" s="12"/>
    </row>
    <row r="80" spans="1:8">
      <c r="A80" s="17" t="s">
        <v>45</v>
      </c>
      <c r="B80" s="18"/>
      <c r="C80" s="19"/>
    </row>
    <row r="81" spans="1:3">
      <c r="A81" s="20" t="s">
        <v>13</v>
      </c>
      <c r="B81" s="21">
        <v>1.3791</v>
      </c>
      <c r="C81" s="22" t="s">
        <v>26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showGridLines="0" workbookViewId="0">
      <selection activeCell="G21" sqref="G21"/>
    </sheetView>
  </sheetViews>
  <sheetFormatPr defaultRowHeight="15"/>
  <cols>
    <col min="3" max="3" width="50.85546875" bestFit="1" customWidth="1"/>
    <col min="7" max="7" width="21.5703125" customWidth="1"/>
  </cols>
  <sheetData>
    <row r="1" spans="1:8" ht="23.25">
      <c r="A1" s="1" t="s">
        <v>50</v>
      </c>
      <c r="B1" s="2"/>
      <c r="C1" s="2"/>
      <c r="D1" s="2"/>
      <c r="E1" s="3"/>
      <c r="F1" s="4"/>
    </row>
    <row r="2" spans="1:8">
      <c r="A2" s="5"/>
      <c r="B2" s="5"/>
      <c r="C2" s="5"/>
      <c r="D2" s="5"/>
      <c r="E2" s="6"/>
      <c r="F2" s="7"/>
    </row>
    <row r="3" spans="1:8">
      <c r="A3" s="8"/>
      <c r="B3" s="32" t="s">
        <v>0</v>
      </c>
      <c r="C3" s="33"/>
      <c r="D3" s="33"/>
      <c r="E3" s="34"/>
      <c r="F3" s="35"/>
      <c r="G3" s="43">
        <f>SUM(G4:G13)</f>
        <v>9175355</v>
      </c>
    </row>
    <row r="4" spans="1:8">
      <c r="A4" s="8"/>
      <c r="B4" s="40"/>
      <c r="C4" s="8" t="s">
        <v>1</v>
      </c>
      <c r="D4" s="8"/>
      <c r="E4" s="7"/>
      <c r="F4" s="64"/>
      <c r="G4" s="72">
        <f>8861061-G5-G6</f>
        <v>5049829</v>
      </c>
    </row>
    <row r="5" spans="1:8">
      <c r="A5" s="8"/>
      <c r="B5" s="40"/>
      <c r="C5" s="8" t="s">
        <v>77</v>
      </c>
      <c r="D5" s="8"/>
      <c r="E5" s="7"/>
      <c r="F5" s="64"/>
      <c r="G5" s="72">
        <f>520000+58850+650000+198954+92000</f>
        <v>1519804</v>
      </c>
    </row>
    <row r="6" spans="1:8">
      <c r="A6" s="8"/>
      <c r="B6" s="40"/>
      <c r="C6" s="8" t="s">
        <v>84</v>
      </c>
      <c r="D6" s="8"/>
      <c r="E6" s="7"/>
      <c r="F6" s="64"/>
      <c r="G6" s="72">
        <f>234500+313300+386300+160561+20000+335000+460000+273000+108767</f>
        <v>2291428</v>
      </c>
    </row>
    <row r="7" spans="1:8">
      <c r="A7" s="8"/>
      <c r="B7" s="23"/>
      <c r="C7" s="8" t="s">
        <v>71</v>
      </c>
      <c r="D7" s="8"/>
      <c r="E7" s="7"/>
      <c r="F7" s="9"/>
      <c r="G7" s="44">
        <v>43091</v>
      </c>
    </row>
    <row r="8" spans="1:8">
      <c r="A8" s="8"/>
      <c r="B8" s="23"/>
      <c r="C8" s="8" t="s">
        <v>72</v>
      </c>
      <c r="D8" s="8"/>
      <c r="E8" s="7"/>
      <c r="F8" s="9"/>
      <c r="G8" s="44">
        <f>271203</f>
        <v>271203</v>
      </c>
    </row>
    <row r="9" spans="1:8">
      <c r="A9" s="8"/>
      <c r="B9" s="23"/>
      <c r="C9" s="8"/>
      <c r="D9" s="8"/>
      <c r="E9" s="7"/>
      <c r="F9" s="9"/>
      <c r="G9" s="44"/>
    </row>
    <row r="10" spans="1:8" hidden="1">
      <c r="A10" s="8"/>
      <c r="B10" s="23"/>
      <c r="C10" s="8"/>
      <c r="D10" s="8"/>
      <c r="E10" s="7"/>
      <c r="F10" s="9"/>
      <c r="G10" s="44"/>
    </row>
    <row r="11" spans="1:8" hidden="1">
      <c r="A11" s="8"/>
      <c r="B11" s="23"/>
      <c r="C11" s="8"/>
      <c r="D11" s="8"/>
      <c r="E11" s="7"/>
      <c r="F11" s="9"/>
      <c r="G11" s="44"/>
    </row>
    <row r="12" spans="1:8" hidden="1">
      <c r="A12" s="8"/>
      <c r="B12" s="23"/>
      <c r="C12" s="8"/>
      <c r="D12" s="8"/>
      <c r="E12" s="7"/>
      <c r="F12" s="9"/>
      <c r="G12" s="44"/>
    </row>
    <row r="13" spans="1:8" hidden="1">
      <c r="A13" s="8"/>
      <c r="B13" s="28"/>
      <c r="C13" s="29"/>
      <c r="D13" s="29"/>
      <c r="E13" s="30"/>
      <c r="F13" s="31"/>
      <c r="G13" s="45"/>
    </row>
    <row r="14" spans="1:8">
      <c r="A14" s="10"/>
      <c r="B14" s="32" t="s">
        <v>24</v>
      </c>
      <c r="C14" s="37"/>
      <c r="D14" s="37"/>
      <c r="E14" s="38"/>
      <c r="F14" s="39"/>
      <c r="G14" s="43">
        <f>G15</f>
        <v>192232</v>
      </c>
    </row>
    <row r="15" spans="1:8">
      <c r="A15" s="10"/>
      <c r="B15" s="23"/>
      <c r="C15" s="8" t="s">
        <v>1</v>
      </c>
      <c r="D15" s="13"/>
      <c r="E15" s="11"/>
      <c r="F15" s="9"/>
      <c r="G15" s="44">
        <f>192232-SGP!G15-USA!G15</f>
        <v>192232</v>
      </c>
      <c r="H15" s="61"/>
    </row>
    <row r="16" spans="1:8">
      <c r="A16" s="10"/>
      <c r="B16" s="28"/>
      <c r="C16" s="29"/>
      <c r="D16" s="36"/>
      <c r="E16" s="26"/>
      <c r="F16" s="31"/>
      <c r="G16" s="45"/>
    </row>
    <row r="17" spans="1:8">
      <c r="A17" s="10"/>
      <c r="B17" s="32" t="s">
        <v>2</v>
      </c>
      <c r="C17" s="33"/>
      <c r="D17" s="33"/>
      <c r="E17" s="34"/>
      <c r="F17" s="39"/>
      <c r="G17" s="43">
        <f>SUM(G18:G20)</f>
        <v>401013.2</v>
      </c>
    </row>
    <row r="18" spans="1:8">
      <c r="A18" s="10"/>
      <c r="B18" s="23"/>
      <c r="C18" s="8" t="s">
        <v>11</v>
      </c>
      <c r="D18" s="8"/>
      <c r="E18" s="7"/>
      <c r="F18" s="9"/>
      <c r="G18" s="44">
        <v>19890</v>
      </c>
    </row>
    <row r="19" spans="1:8">
      <c r="A19" s="10"/>
      <c r="B19" s="23"/>
      <c r="C19" s="8" t="s">
        <v>80</v>
      </c>
      <c r="D19" s="8"/>
      <c r="E19" s="7"/>
      <c r="F19" s="9"/>
      <c r="G19" s="44">
        <f>SGP!G4</f>
        <v>151980.4</v>
      </c>
    </row>
    <row r="20" spans="1:8">
      <c r="A20" s="10"/>
      <c r="B20" s="23"/>
      <c r="C20" s="8" t="s">
        <v>86</v>
      </c>
      <c r="D20" s="8"/>
      <c r="E20" s="7"/>
      <c r="F20" s="9"/>
      <c r="G20" s="44">
        <f>USA!G4</f>
        <v>229142.80000000002</v>
      </c>
    </row>
    <row r="21" spans="1:8">
      <c r="A21" s="10"/>
      <c r="B21" s="28"/>
      <c r="C21" s="29"/>
      <c r="D21" s="25"/>
      <c r="E21" s="26"/>
      <c r="F21" s="27"/>
      <c r="G21" s="45"/>
    </row>
    <row r="22" spans="1:8">
      <c r="A22" s="10"/>
      <c r="B22" s="32" t="s">
        <v>3</v>
      </c>
      <c r="C22" s="33"/>
      <c r="D22" s="41"/>
      <c r="E22" s="34"/>
      <c r="F22" s="35"/>
      <c r="G22" s="43">
        <f>SUM(G24:G25)+G28+G32</f>
        <v>4135645.1461976715</v>
      </c>
    </row>
    <row r="23" spans="1:8">
      <c r="A23" s="10"/>
      <c r="B23" s="40"/>
      <c r="C23" s="8"/>
      <c r="D23" s="63"/>
      <c r="E23" s="7"/>
      <c r="F23" s="64"/>
      <c r="G23" s="46"/>
    </row>
    <row r="24" spans="1:8" hidden="1">
      <c r="A24" s="10"/>
      <c r="B24" s="23"/>
      <c r="C24" s="14" t="s">
        <v>4</v>
      </c>
      <c r="D24" s="8"/>
      <c r="E24" s="7"/>
      <c r="F24" s="9"/>
      <c r="G24" s="44">
        <v>0</v>
      </c>
      <c r="H24" s="61"/>
    </row>
    <row r="25" spans="1:8" hidden="1">
      <c r="A25" s="10"/>
      <c r="B25" s="23"/>
      <c r="C25" s="14" t="s">
        <v>12</v>
      </c>
      <c r="D25" s="8"/>
      <c r="E25" s="7"/>
      <c r="F25" s="9"/>
      <c r="G25" s="44">
        <v>0</v>
      </c>
      <c r="H25" s="61"/>
    </row>
    <row r="26" spans="1:8" hidden="1">
      <c r="A26" s="10"/>
      <c r="B26" s="23"/>
      <c r="C26" s="14" t="s">
        <v>43</v>
      </c>
      <c r="D26" s="8"/>
      <c r="E26" s="7"/>
      <c r="F26" s="9"/>
      <c r="G26" s="44">
        <v>0</v>
      </c>
      <c r="H26" s="61"/>
    </row>
    <row r="27" spans="1:8" hidden="1">
      <c r="A27" s="10"/>
      <c r="B27" s="23"/>
      <c r="C27" s="8"/>
      <c r="D27" s="10"/>
      <c r="E27" s="11"/>
      <c r="F27" s="12"/>
      <c r="G27" s="44"/>
    </row>
    <row r="28" spans="1:8">
      <c r="A28" s="10"/>
      <c r="B28" s="40" t="s">
        <v>5</v>
      </c>
      <c r="C28" s="8"/>
      <c r="D28" s="15"/>
      <c r="E28" s="7"/>
      <c r="F28" s="9"/>
      <c r="G28" s="46">
        <f>SUM(G29:G30)</f>
        <v>169967</v>
      </c>
    </row>
    <row r="29" spans="1:8">
      <c r="A29" s="10"/>
      <c r="B29" s="23"/>
      <c r="C29" s="14" t="s">
        <v>4</v>
      </c>
      <c r="D29" s="8"/>
      <c r="E29" s="7"/>
      <c r="F29" s="9"/>
      <c r="G29" s="44">
        <f>99000+65967</f>
        <v>164967</v>
      </c>
    </row>
    <row r="30" spans="1:8">
      <c r="A30" s="10"/>
      <c r="B30" s="23"/>
      <c r="C30" s="14" t="s">
        <v>12</v>
      </c>
      <c r="D30" s="8"/>
      <c r="E30" s="7"/>
      <c r="F30" s="9"/>
      <c r="G30" s="44">
        <f>5000</f>
        <v>5000</v>
      </c>
    </row>
    <row r="31" spans="1:8">
      <c r="A31" s="10"/>
      <c r="B31" s="23"/>
      <c r="C31" s="14"/>
      <c r="D31" s="8"/>
      <c r="E31" s="7"/>
      <c r="F31" s="9"/>
      <c r="G31" s="44"/>
    </row>
    <row r="32" spans="1:8">
      <c r="A32" s="10"/>
      <c r="B32" s="40" t="s">
        <v>6</v>
      </c>
      <c r="C32" s="14"/>
      <c r="D32" s="8"/>
      <c r="E32" s="7"/>
      <c r="F32" s="9"/>
      <c r="G32" s="46">
        <f>SUM(G33:G41)</f>
        <v>3965678.1461976715</v>
      </c>
    </row>
    <row r="33" spans="1:8">
      <c r="A33" s="10"/>
      <c r="B33" s="23"/>
      <c r="C33" s="57" t="s">
        <v>36</v>
      </c>
      <c r="D33" s="57"/>
      <c r="E33" s="58"/>
      <c r="F33" s="59"/>
      <c r="G33" s="60">
        <f>(245285.69+118897.5+23731.26+176840.06+26161.82)</f>
        <v>590916.32999999996</v>
      </c>
      <c r="H33" s="61"/>
    </row>
    <row r="34" spans="1:8">
      <c r="A34" s="10"/>
      <c r="B34" s="23"/>
      <c r="C34" s="14" t="s">
        <v>37</v>
      </c>
      <c r="D34" s="8"/>
      <c r="E34" s="7"/>
      <c r="F34" s="9"/>
      <c r="G34" s="44">
        <f>(36856.22+35376.08+10561.01+6829.54+23565.78+4656.87)</f>
        <v>117845.49999999999</v>
      </c>
      <c r="H34" s="61"/>
    </row>
    <row r="35" spans="1:8">
      <c r="A35" s="10"/>
      <c r="B35" s="23"/>
      <c r="C35" s="14" t="s">
        <v>46</v>
      </c>
      <c r="D35" s="8"/>
      <c r="E35" s="7"/>
      <c r="F35" s="9"/>
      <c r="G35" s="44">
        <f>1341680</f>
        <v>1341680</v>
      </c>
      <c r="H35" s="61"/>
    </row>
    <row r="36" spans="1:8">
      <c r="A36" s="10"/>
      <c r="B36" s="23"/>
      <c r="C36" s="14" t="s">
        <v>12</v>
      </c>
      <c r="D36" s="8"/>
      <c r="E36" s="7"/>
      <c r="F36" s="9"/>
      <c r="G36" s="44">
        <f>5859.34+21595.26+45561.53+9296.49+63890.15+4712.29+55388.16+74602.71+8823.36-USA!G36</f>
        <v>289729.29000000004</v>
      </c>
      <c r="H36" s="61"/>
    </row>
    <row r="37" spans="1:8">
      <c r="A37" s="10"/>
      <c r="B37" s="23"/>
      <c r="C37" s="14" t="s">
        <v>42</v>
      </c>
      <c r="D37" s="8"/>
      <c r="E37" s="7"/>
      <c r="F37" s="9"/>
      <c r="G37" s="44">
        <f>212858.87+464500.73+40147.32+100972.72+69000.13+107445.04-SGP!G37-USA!G37</f>
        <v>994924.80999999994</v>
      </c>
      <c r="H37" s="61"/>
    </row>
    <row r="38" spans="1:8">
      <c r="A38" s="10"/>
      <c r="B38" s="23"/>
      <c r="C38" s="14" t="s">
        <v>64</v>
      </c>
      <c r="D38" s="8"/>
      <c r="E38" s="7"/>
      <c r="F38" s="9"/>
      <c r="G38" s="44">
        <f>133911.12</f>
        <v>133911.12</v>
      </c>
      <c r="H38" s="61"/>
    </row>
    <row r="39" spans="1:8">
      <c r="A39" s="10"/>
      <c r="B39" s="23"/>
      <c r="C39" s="14" t="s">
        <v>81</v>
      </c>
      <c r="D39" s="8"/>
      <c r="E39" s="7"/>
      <c r="F39" s="9"/>
      <c r="G39" s="44">
        <f>SGP!G5+SGP!G6</f>
        <v>213066.18008498912</v>
      </c>
      <c r="H39" s="61"/>
    </row>
    <row r="40" spans="1:8">
      <c r="A40" s="10"/>
      <c r="B40" s="23"/>
      <c r="C40" s="14" t="s">
        <v>87</v>
      </c>
      <c r="D40" s="8"/>
      <c r="E40" s="7"/>
      <c r="F40" s="9"/>
      <c r="G40" s="44">
        <f>USA!G5</f>
        <v>283604.9161126822</v>
      </c>
      <c r="H40" s="61"/>
    </row>
    <row r="41" spans="1:8">
      <c r="A41" s="10"/>
      <c r="B41" s="28"/>
      <c r="C41" s="29"/>
      <c r="D41" s="25"/>
      <c r="E41" s="26"/>
      <c r="F41" s="27"/>
      <c r="G41" s="45"/>
    </row>
    <row r="42" spans="1:8">
      <c r="A42" s="10"/>
      <c r="B42" s="32" t="s">
        <v>7</v>
      </c>
      <c r="C42" s="33"/>
      <c r="D42" s="42"/>
      <c r="E42" s="34"/>
      <c r="F42" s="39"/>
      <c r="G42" s="43">
        <f>SUM(G43:G64)</f>
        <v>199240.55000000002</v>
      </c>
    </row>
    <row r="43" spans="1:8">
      <c r="A43" s="10"/>
      <c r="B43" s="23"/>
      <c r="C43" s="8" t="s">
        <v>18</v>
      </c>
      <c r="D43" s="13"/>
      <c r="E43" s="7"/>
      <c r="F43" s="9"/>
      <c r="G43" s="44">
        <f>498.13+9923.99</f>
        <v>10422.119999999999</v>
      </c>
    </row>
    <row r="44" spans="1:8">
      <c r="A44" s="10"/>
      <c r="B44" s="23"/>
      <c r="C44" s="8" t="s">
        <v>19</v>
      </c>
      <c r="D44" s="13"/>
      <c r="E44" s="7"/>
      <c r="F44" s="9"/>
      <c r="G44" s="44">
        <f>3178+1896.79</f>
        <v>5074.79</v>
      </c>
    </row>
    <row r="45" spans="1:8">
      <c r="A45" s="10"/>
      <c r="B45" s="23"/>
      <c r="C45" s="8" t="s">
        <v>20</v>
      </c>
      <c r="D45" s="13"/>
      <c r="E45" s="7"/>
      <c r="F45" s="9"/>
      <c r="G45" s="44">
        <v>9167</v>
      </c>
    </row>
    <row r="46" spans="1:8">
      <c r="A46" s="10"/>
      <c r="B46" s="23"/>
      <c r="C46" s="8" t="s">
        <v>21</v>
      </c>
      <c r="D46" s="13"/>
      <c r="E46" s="7"/>
      <c r="F46" s="9"/>
      <c r="G46" s="44">
        <v>13844.4</v>
      </c>
    </row>
    <row r="47" spans="1:8">
      <c r="A47" s="10"/>
      <c r="B47" s="23"/>
      <c r="C47" s="8" t="s">
        <v>57</v>
      </c>
      <c r="D47" s="13"/>
      <c r="E47" s="7"/>
      <c r="F47" s="9"/>
      <c r="G47" s="44">
        <v>26118</v>
      </c>
    </row>
    <row r="48" spans="1:8">
      <c r="A48" s="10"/>
      <c r="B48" s="23"/>
      <c r="C48" s="8" t="s">
        <v>58</v>
      </c>
      <c r="D48" s="13"/>
      <c r="E48" s="7"/>
      <c r="F48" s="9"/>
      <c r="G48" s="44">
        <v>16450</v>
      </c>
    </row>
    <row r="49" spans="1:7">
      <c r="A49" s="10"/>
      <c r="B49" s="23"/>
      <c r="C49" s="8" t="s">
        <v>28</v>
      </c>
      <c r="D49" s="13"/>
      <c r="E49" s="7"/>
      <c r="F49" s="9"/>
      <c r="G49" s="44">
        <v>9035.73</v>
      </c>
    </row>
    <row r="50" spans="1:7">
      <c r="A50" s="10"/>
      <c r="B50" s="23"/>
      <c r="C50" s="8" t="s">
        <v>29</v>
      </c>
      <c r="D50" s="13"/>
      <c r="E50" s="7"/>
      <c r="F50" s="9"/>
      <c r="G50" s="44">
        <v>496</v>
      </c>
    </row>
    <row r="51" spans="1:7">
      <c r="A51" s="10"/>
      <c r="B51" s="23"/>
      <c r="C51" s="8" t="s">
        <v>33</v>
      </c>
      <c r="D51" s="13"/>
      <c r="E51" s="7"/>
      <c r="F51" s="9"/>
      <c r="G51" s="44">
        <v>695</v>
      </c>
    </row>
    <row r="52" spans="1:7">
      <c r="A52" s="10"/>
      <c r="B52" s="23"/>
      <c r="C52" s="8" t="s">
        <v>30</v>
      </c>
      <c r="D52" s="13"/>
      <c r="E52" s="7"/>
      <c r="F52" s="9"/>
      <c r="G52" s="44">
        <v>2465</v>
      </c>
    </row>
    <row r="53" spans="1:7">
      <c r="A53" s="10"/>
      <c r="B53" s="23"/>
      <c r="C53" s="8" t="s">
        <v>40</v>
      </c>
      <c r="D53" s="13"/>
      <c r="E53" s="7"/>
      <c r="F53" s="9"/>
      <c r="G53" s="44">
        <v>18099</v>
      </c>
    </row>
    <row r="54" spans="1:7">
      <c r="A54" s="10"/>
      <c r="B54" s="23"/>
      <c r="C54" s="8" t="s">
        <v>31</v>
      </c>
      <c r="D54" s="13"/>
      <c r="E54" s="7"/>
      <c r="F54" s="9"/>
      <c r="G54" s="44">
        <v>3019.16</v>
      </c>
    </row>
    <row r="55" spans="1:7">
      <c r="A55" s="10"/>
      <c r="B55" s="23"/>
      <c r="C55" s="8" t="s">
        <v>32</v>
      </c>
      <c r="D55" s="13"/>
      <c r="E55" s="7"/>
      <c r="F55" s="9"/>
      <c r="G55" s="44">
        <v>13765.96</v>
      </c>
    </row>
    <row r="56" spans="1:7">
      <c r="A56" s="10"/>
      <c r="B56" s="23"/>
      <c r="C56" s="8" t="s">
        <v>33</v>
      </c>
      <c r="D56" s="13"/>
      <c r="E56" s="7"/>
      <c r="F56" s="9"/>
      <c r="G56" s="44">
        <v>463</v>
      </c>
    </row>
    <row r="57" spans="1:7">
      <c r="A57" s="10"/>
      <c r="B57" s="23"/>
      <c r="C57" s="8" t="s">
        <v>34</v>
      </c>
      <c r="D57" s="13"/>
      <c r="E57" s="7"/>
      <c r="F57" s="9"/>
      <c r="G57" s="44">
        <v>9788.11</v>
      </c>
    </row>
    <row r="58" spans="1:7">
      <c r="A58" s="10"/>
      <c r="B58" s="23"/>
      <c r="C58" s="8" t="s">
        <v>59</v>
      </c>
      <c r="D58" s="13"/>
      <c r="E58" s="7"/>
      <c r="F58" s="9"/>
      <c r="G58" s="44">
        <v>7652</v>
      </c>
    </row>
    <row r="59" spans="1:7">
      <c r="A59" s="10"/>
      <c r="B59" s="23"/>
      <c r="C59" s="8" t="s">
        <v>60</v>
      </c>
      <c r="D59" s="13"/>
      <c r="E59" s="7"/>
      <c r="F59" s="9"/>
      <c r="G59" s="44">
        <v>11122.48</v>
      </c>
    </row>
    <row r="60" spans="1:7">
      <c r="A60" s="10"/>
      <c r="B60" s="23"/>
      <c r="C60" s="8" t="s">
        <v>61</v>
      </c>
      <c r="D60" s="13"/>
      <c r="E60" s="7"/>
      <c r="F60" s="9"/>
      <c r="G60" s="44">
        <v>3121</v>
      </c>
    </row>
    <row r="61" spans="1:7">
      <c r="A61" s="10"/>
      <c r="B61" s="23"/>
      <c r="C61" s="8" t="s">
        <v>62</v>
      </c>
      <c r="D61" s="13"/>
      <c r="E61" s="7"/>
      <c r="F61" s="9"/>
      <c r="G61" s="44">
        <v>15328.8</v>
      </c>
    </row>
    <row r="62" spans="1:7">
      <c r="A62" s="10"/>
      <c r="B62" s="23"/>
      <c r="C62" s="8" t="s">
        <v>34</v>
      </c>
      <c r="D62" s="13"/>
      <c r="E62" s="7"/>
      <c r="F62" s="9"/>
      <c r="G62" s="44">
        <v>5500</v>
      </c>
    </row>
    <row r="63" spans="1:7">
      <c r="A63" s="10"/>
      <c r="B63" s="23"/>
      <c r="C63" s="8" t="s">
        <v>63</v>
      </c>
      <c r="D63" s="13"/>
      <c r="E63" s="7"/>
      <c r="F63" s="9"/>
      <c r="G63" s="44">
        <v>17613</v>
      </c>
    </row>
    <row r="64" spans="1:7">
      <c r="A64" s="10"/>
      <c r="B64" s="28"/>
      <c r="C64" s="29"/>
      <c r="D64" s="29"/>
      <c r="E64" s="30"/>
      <c r="F64" s="31"/>
      <c r="G64" s="45"/>
    </row>
    <row r="65" spans="1:8">
      <c r="A65" s="10"/>
      <c r="B65" s="32" t="s">
        <v>8</v>
      </c>
      <c r="C65" s="33"/>
      <c r="D65" s="42"/>
      <c r="E65" s="34"/>
      <c r="F65" s="39"/>
      <c r="G65" s="47">
        <f>SUM(G66:G74)</f>
        <v>1579710.91</v>
      </c>
    </row>
    <row r="66" spans="1:8">
      <c r="A66" s="10"/>
      <c r="B66" s="23"/>
      <c r="C66" s="8" t="s">
        <v>75</v>
      </c>
      <c r="D66" s="13"/>
      <c r="E66" s="7"/>
      <c r="F66" s="9"/>
      <c r="G66" s="44">
        <v>175274</v>
      </c>
    </row>
    <row r="67" spans="1:8">
      <c r="A67" s="10"/>
      <c r="B67" s="23"/>
      <c r="C67" s="8" t="s">
        <v>67</v>
      </c>
      <c r="D67" s="13"/>
      <c r="E67" s="7"/>
      <c r="F67" s="9"/>
      <c r="G67" s="44">
        <v>103512.21</v>
      </c>
    </row>
    <row r="68" spans="1:8">
      <c r="A68" s="10"/>
      <c r="B68" s="23"/>
      <c r="C68" s="8" t="s">
        <v>68</v>
      </c>
      <c r="D68" s="13"/>
      <c r="E68" s="7"/>
      <c r="F68" s="9"/>
      <c r="G68" s="44">
        <v>118297.06</v>
      </c>
    </row>
    <row r="69" spans="1:8">
      <c r="A69" s="10"/>
      <c r="B69" s="23"/>
      <c r="C69" s="8" t="s">
        <v>70</v>
      </c>
      <c r="D69" s="13"/>
      <c r="E69" s="7"/>
      <c r="F69" s="9"/>
      <c r="G69" s="44">
        <v>134660.44</v>
      </c>
    </row>
    <row r="70" spans="1:8">
      <c r="A70" s="10"/>
      <c r="B70" s="23"/>
      <c r="C70" s="8" t="s">
        <v>73</v>
      </c>
      <c r="D70" s="13"/>
      <c r="E70" s="7"/>
      <c r="F70" s="9"/>
      <c r="G70" s="44">
        <f>167230+23393+3339+8687+2452+17499+30913+16944+8275+64743+35455</f>
        <v>378930</v>
      </c>
    </row>
    <row r="71" spans="1:8">
      <c r="A71" s="10"/>
      <c r="B71" s="23"/>
      <c r="C71" s="8" t="s">
        <v>41</v>
      </c>
      <c r="D71" s="13"/>
      <c r="E71" s="7"/>
      <c r="F71" s="9"/>
      <c r="G71" s="44">
        <f>72033.2</f>
        <v>72033.2</v>
      </c>
      <c r="H71" s="61"/>
    </row>
    <row r="72" spans="1:8">
      <c r="A72" s="10"/>
      <c r="B72" s="23"/>
      <c r="C72" s="8" t="s">
        <v>74</v>
      </c>
      <c r="D72" s="13"/>
      <c r="E72" s="7"/>
      <c r="F72" s="9"/>
      <c r="G72" s="44">
        <f>394072+58327</f>
        <v>452399</v>
      </c>
      <c r="H72" s="61"/>
    </row>
    <row r="73" spans="1:8">
      <c r="A73" s="10"/>
      <c r="B73" s="23"/>
      <c r="C73" s="8" t="s">
        <v>69</v>
      </c>
      <c r="D73" s="13"/>
      <c r="E73" s="7"/>
      <c r="F73" s="9"/>
      <c r="G73" s="44">
        <v>144605</v>
      </c>
      <c r="H73" s="61"/>
    </row>
    <row r="74" spans="1:8">
      <c r="A74" s="10"/>
      <c r="B74" s="24"/>
      <c r="C74" s="25"/>
      <c r="D74" s="25"/>
      <c r="E74" s="26"/>
      <c r="F74" s="27"/>
      <c r="G74" s="45"/>
    </row>
    <row r="75" spans="1:8">
      <c r="A75" s="10"/>
      <c r="B75" s="48" t="s">
        <v>9</v>
      </c>
      <c r="C75" s="49"/>
      <c r="D75" s="49"/>
      <c r="E75" s="50"/>
      <c r="F75" s="51"/>
      <c r="G75" s="54">
        <f>G3-SUM(G14,G17,G22,G42,G65)</f>
        <v>2667513.1938023288</v>
      </c>
    </row>
    <row r="76" spans="1:8">
      <c r="A76" s="16"/>
      <c r="B76" s="52" t="s">
        <v>10</v>
      </c>
      <c r="C76" s="36"/>
      <c r="D76" s="36"/>
      <c r="E76" s="30"/>
      <c r="F76" s="53"/>
      <c r="G76" s="55">
        <f>G75/G3</f>
        <v>0.29072588404506733</v>
      </c>
    </row>
    <row r="77" spans="1:8">
      <c r="A77" s="10"/>
      <c r="B77" s="10"/>
      <c r="C77" s="10"/>
      <c r="D77" s="10"/>
      <c r="E77" s="11"/>
      <c r="F77" s="12"/>
    </row>
    <row r="80" spans="1:8">
      <c r="A80" s="17" t="s">
        <v>45</v>
      </c>
      <c r="B80" s="18"/>
      <c r="C80" s="19"/>
    </row>
    <row r="81" spans="1:3">
      <c r="A81" s="20" t="s">
        <v>13</v>
      </c>
      <c r="B81" s="21">
        <v>1</v>
      </c>
      <c r="C81" s="2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GridLines="0" tabSelected="1" workbookViewId="0">
      <selection activeCell="E38" sqref="E38"/>
    </sheetView>
  </sheetViews>
  <sheetFormatPr defaultRowHeight="15"/>
  <cols>
    <col min="3" max="3" width="50.85546875" bestFit="1" customWidth="1"/>
    <col min="7" max="8" width="10.5703125" bestFit="1" customWidth="1"/>
    <col min="9" max="9" width="11" customWidth="1"/>
    <col min="10" max="10" width="21.5703125" customWidth="1"/>
  </cols>
  <sheetData>
    <row r="1" spans="1:10" ht="23.25">
      <c r="A1" s="1" t="s">
        <v>52</v>
      </c>
      <c r="B1" s="2"/>
      <c r="C1" s="2"/>
      <c r="D1" s="2"/>
      <c r="E1" s="3"/>
      <c r="F1" s="4"/>
      <c r="G1" s="4"/>
      <c r="H1" s="4"/>
    </row>
    <row r="2" spans="1:10">
      <c r="A2" s="5"/>
      <c r="B2" s="5"/>
      <c r="C2" s="5"/>
      <c r="D2" s="5"/>
      <c r="E2" s="6"/>
      <c r="F2" s="7"/>
      <c r="G2" s="65" t="s">
        <v>53</v>
      </c>
      <c r="H2" s="65" t="s">
        <v>54</v>
      </c>
      <c r="I2" s="65" t="s">
        <v>55</v>
      </c>
      <c r="J2" s="65" t="s">
        <v>56</v>
      </c>
    </row>
    <row r="3" spans="1:10">
      <c r="A3" s="8"/>
      <c r="B3" s="32" t="s">
        <v>0</v>
      </c>
      <c r="C3" s="33"/>
      <c r="D3" s="33"/>
      <c r="E3" s="34"/>
      <c r="F3" s="93"/>
      <c r="G3" s="66">
        <f>SGP!G3</f>
        <v>365046.58008498914</v>
      </c>
      <c r="H3" s="66">
        <f>USA!G3</f>
        <v>512747.71611268225</v>
      </c>
      <c r="I3" s="43">
        <f>ITA!G3</f>
        <v>9175355</v>
      </c>
      <c r="J3" s="43">
        <f>SUM(G3:I3)</f>
        <v>10053149.296197671</v>
      </c>
    </row>
    <row r="4" spans="1:10">
      <c r="A4" s="8"/>
      <c r="B4" s="78"/>
      <c r="C4" s="8" t="s">
        <v>1</v>
      </c>
      <c r="D4" s="79"/>
      <c r="E4" s="80"/>
      <c r="F4" s="94"/>
      <c r="G4" s="81">
        <v>0</v>
      </c>
      <c r="H4" s="81">
        <v>0</v>
      </c>
      <c r="I4" s="44">
        <f>ITA!G4</f>
        <v>5049829</v>
      </c>
      <c r="J4" s="44">
        <f>SUM(G4:I4)</f>
        <v>5049829</v>
      </c>
    </row>
    <row r="5" spans="1:10">
      <c r="A5" s="8"/>
      <c r="B5" s="23"/>
      <c r="C5" s="8" t="s">
        <v>77</v>
      </c>
      <c r="D5" s="8"/>
      <c r="E5" s="7"/>
      <c r="F5" s="95"/>
      <c r="G5" s="67"/>
      <c r="H5" s="67"/>
      <c r="I5" s="44">
        <f>ITA!G5</f>
        <v>1519804</v>
      </c>
      <c r="J5" s="44">
        <f t="shared" ref="J5:J6" si="0">SUM(G5:I5)</f>
        <v>1519804</v>
      </c>
    </row>
    <row r="6" spans="1:10">
      <c r="A6" s="8"/>
      <c r="B6" s="23"/>
      <c r="C6" s="8" t="s">
        <v>84</v>
      </c>
      <c r="D6" s="8"/>
      <c r="E6" s="7"/>
      <c r="F6" s="95"/>
      <c r="G6" s="67"/>
      <c r="H6" s="67"/>
      <c r="I6" s="44">
        <f>ITA!G6</f>
        <v>2291428</v>
      </c>
      <c r="J6" s="44">
        <f t="shared" si="0"/>
        <v>2291428</v>
      </c>
    </row>
    <row r="7" spans="1:10">
      <c r="A7" s="8"/>
      <c r="B7" s="23"/>
      <c r="C7" s="8" t="s">
        <v>71</v>
      </c>
      <c r="D7" s="8"/>
      <c r="E7" s="7"/>
      <c r="F7" s="95"/>
      <c r="G7" s="67">
        <v>0</v>
      </c>
      <c r="H7" s="67">
        <v>0</v>
      </c>
      <c r="I7" s="44">
        <f>ITA!G7</f>
        <v>43091</v>
      </c>
      <c r="J7" s="44">
        <f t="shared" ref="J7:J8" si="1">SUM(G7:I7)</f>
        <v>43091</v>
      </c>
    </row>
    <row r="8" spans="1:10">
      <c r="A8" s="8"/>
      <c r="B8" s="23"/>
      <c r="C8" s="8" t="s">
        <v>72</v>
      </c>
      <c r="D8" s="8"/>
      <c r="E8" s="7"/>
      <c r="F8" s="95"/>
      <c r="G8" s="67">
        <f>SGP!G3</f>
        <v>365046.58008498914</v>
      </c>
      <c r="H8" s="67">
        <f>USA!G3</f>
        <v>512747.71611268225</v>
      </c>
      <c r="I8" s="44">
        <f>ITA!G8</f>
        <v>271203</v>
      </c>
      <c r="J8" s="44">
        <f t="shared" si="1"/>
        <v>1148997.2961976714</v>
      </c>
    </row>
    <row r="9" spans="1:10" hidden="1">
      <c r="A9" s="8"/>
      <c r="B9" s="23"/>
      <c r="C9" s="8"/>
      <c r="D9" s="8"/>
      <c r="E9" s="7"/>
      <c r="F9" s="95"/>
      <c r="G9" s="67"/>
      <c r="H9" s="67"/>
      <c r="I9" s="44"/>
      <c r="J9" s="44"/>
    </row>
    <row r="10" spans="1:10" hidden="1">
      <c r="A10" s="8"/>
      <c r="B10" s="23"/>
      <c r="C10" s="8"/>
      <c r="D10" s="8"/>
      <c r="E10" s="7"/>
      <c r="F10" s="95"/>
      <c r="G10" s="67"/>
      <c r="H10" s="67"/>
      <c r="I10" s="44"/>
      <c r="J10" s="44"/>
    </row>
    <row r="11" spans="1:10" hidden="1">
      <c r="A11" s="8"/>
      <c r="B11" s="23"/>
      <c r="C11" s="8"/>
      <c r="D11" s="8"/>
      <c r="E11" s="7"/>
      <c r="F11" s="95"/>
      <c r="G11" s="67"/>
      <c r="H11" s="67"/>
      <c r="I11" s="44"/>
      <c r="J11" s="44"/>
    </row>
    <row r="12" spans="1:10" hidden="1">
      <c r="A12" s="8"/>
      <c r="B12" s="23"/>
      <c r="C12" s="8"/>
      <c r="D12" s="8"/>
      <c r="E12" s="7"/>
      <c r="F12" s="95"/>
      <c r="G12" s="67"/>
      <c r="H12" s="67"/>
      <c r="I12" s="44"/>
      <c r="J12" s="44"/>
    </row>
    <row r="13" spans="1:10" hidden="1">
      <c r="A13" s="8"/>
      <c r="B13" s="23"/>
      <c r="C13" s="8"/>
      <c r="D13" s="8"/>
      <c r="E13" s="7"/>
      <c r="F13" s="95"/>
      <c r="G13" s="67"/>
      <c r="H13" s="67"/>
      <c r="I13" s="44"/>
      <c r="J13" s="44"/>
    </row>
    <row r="14" spans="1:10">
      <c r="A14" s="10"/>
      <c r="B14" s="86" t="s">
        <v>24</v>
      </c>
      <c r="C14" s="87"/>
      <c r="D14" s="87"/>
      <c r="E14" s="88"/>
      <c r="F14" s="94"/>
      <c r="G14" s="104">
        <f>SGP!G14</f>
        <v>0</v>
      </c>
      <c r="H14" s="104">
        <f>USA!G14</f>
        <v>0</v>
      </c>
      <c r="I14" s="106">
        <f>ITA!G14</f>
        <v>192232</v>
      </c>
      <c r="J14" s="106">
        <f>SUM(G14:I14)</f>
        <v>192232</v>
      </c>
    </row>
    <row r="15" spans="1:10" hidden="1">
      <c r="A15" s="10"/>
      <c r="B15" s="23"/>
      <c r="C15" s="8" t="s">
        <v>1</v>
      </c>
      <c r="D15" s="13"/>
      <c r="E15" s="11"/>
      <c r="F15" s="95"/>
      <c r="G15" s="67">
        <f>SGP!G15</f>
        <v>0</v>
      </c>
      <c r="H15" s="67">
        <f>USA!G15</f>
        <v>0</v>
      </c>
      <c r="I15" s="72">
        <f>ITA!G15</f>
        <v>192232</v>
      </c>
      <c r="J15" s="72">
        <f t="shared" ref="J15:J44" si="2">SUM(G15:I15)</f>
        <v>192232</v>
      </c>
    </row>
    <row r="16" spans="1:10" hidden="1">
      <c r="A16" s="10"/>
      <c r="B16" s="23"/>
      <c r="C16" s="8"/>
      <c r="D16" s="13"/>
      <c r="E16" s="11"/>
      <c r="F16" s="95"/>
      <c r="G16" s="67"/>
      <c r="H16" s="67"/>
      <c r="I16" s="72"/>
      <c r="J16" s="46"/>
    </row>
    <row r="17" spans="1:10">
      <c r="A17" s="10"/>
      <c r="B17" s="89" t="s">
        <v>2</v>
      </c>
      <c r="C17" s="82"/>
      <c r="D17" s="82"/>
      <c r="E17" s="83"/>
      <c r="F17" s="98"/>
      <c r="G17" s="105">
        <f>SGP!G17</f>
        <v>0</v>
      </c>
      <c r="H17" s="105">
        <f>USA!G17</f>
        <v>0</v>
      </c>
      <c r="I17" s="105">
        <f>ITA!G17</f>
        <v>401013.2</v>
      </c>
      <c r="J17" s="107">
        <f t="shared" si="2"/>
        <v>401013.2</v>
      </c>
    </row>
    <row r="18" spans="1:10" hidden="1">
      <c r="A18" s="10"/>
      <c r="B18" s="23"/>
      <c r="C18" s="8" t="s">
        <v>2</v>
      </c>
      <c r="D18" s="8"/>
      <c r="E18" s="7"/>
      <c r="F18" s="95"/>
      <c r="G18" s="67">
        <f>SGP!G18</f>
        <v>0</v>
      </c>
      <c r="H18" s="67">
        <f>USA!G20</f>
        <v>0</v>
      </c>
      <c r="I18" s="72">
        <v>0</v>
      </c>
      <c r="J18" s="72">
        <v>0</v>
      </c>
    </row>
    <row r="19" spans="1:10" hidden="1">
      <c r="A19" s="10"/>
      <c r="B19" s="23"/>
      <c r="C19" s="8"/>
      <c r="D19" s="8"/>
      <c r="E19" s="7"/>
      <c r="F19" s="95"/>
      <c r="G19" s="67"/>
      <c r="H19" s="67"/>
      <c r="I19" s="72"/>
      <c r="J19" s="72"/>
    </row>
    <row r="20" spans="1:10" hidden="1">
      <c r="A20" s="10"/>
      <c r="B20" s="23"/>
      <c r="C20" s="8"/>
      <c r="D20" s="8"/>
      <c r="E20" s="7"/>
      <c r="F20" s="95"/>
      <c r="G20" s="67"/>
      <c r="H20" s="67"/>
      <c r="I20" s="72"/>
      <c r="J20" s="72"/>
    </row>
    <row r="21" spans="1:10" hidden="1">
      <c r="A21" s="10"/>
      <c r="B21" s="23"/>
      <c r="C21" s="8"/>
      <c r="D21" s="10"/>
      <c r="E21" s="11"/>
      <c r="F21" s="99"/>
      <c r="G21" s="69"/>
      <c r="H21" s="69"/>
      <c r="I21" s="72"/>
      <c r="J21" s="72">
        <f t="shared" si="2"/>
        <v>0</v>
      </c>
    </row>
    <row r="22" spans="1:10">
      <c r="A22" s="10"/>
      <c r="B22" s="89" t="s">
        <v>3</v>
      </c>
      <c r="C22" s="82"/>
      <c r="D22" s="84"/>
      <c r="E22" s="83"/>
      <c r="F22" s="98"/>
      <c r="G22" s="105">
        <f>SGP!G22</f>
        <v>177844.41254163318</v>
      </c>
      <c r="H22" s="105">
        <f>USA!G22</f>
        <v>257822.65101152926</v>
      </c>
      <c r="I22" s="107">
        <f>ITA!G22</f>
        <v>4135645.1461976715</v>
      </c>
      <c r="J22" s="107">
        <f>SUM(J24:J28,J32)</f>
        <v>4571312.2097508339</v>
      </c>
    </row>
    <row r="23" spans="1:10">
      <c r="A23" s="10"/>
      <c r="B23" s="40"/>
      <c r="C23" s="8"/>
      <c r="D23" s="63"/>
      <c r="E23" s="7"/>
      <c r="F23" s="96"/>
      <c r="G23" s="67"/>
      <c r="H23" s="67"/>
      <c r="I23" s="72"/>
      <c r="J23" s="72"/>
    </row>
    <row r="24" spans="1:10">
      <c r="A24" s="10"/>
      <c r="B24" s="23"/>
      <c r="C24" s="14" t="s">
        <v>4</v>
      </c>
      <c r="D24" s="8"/>
      <c r="E24" s="7"/>
      <c r="F24" s="95"/>
      <c r="G24" s="67">
        <f>SGP!G24</f>
        <v>60396.359251177215</v>
      </c>
      <c r="H24" s="67">
        <f>USA!G24</f>
        <v>93846.18954390545</v>
      </c>
      <c r="I24" s="72">
        <f>ITA!G24</f>
        <v>0</v>
      </c>
      <c r="J24" s="72">
        <f>SUM(G24:I24)</f>
        <v>154242.54879508266</v>
      </c>
    </row>
    <row r="25" spans="1:10">
      <c r="A25" s="10"/>
      <c r="B25" s="23"/>
      <c r="C25" s="14" t="s">
        <v>12</v>
      </c>
      <c r="D25" s="8"/>
      <c r="E25" s="7"/>
      <c r="F25" s="95"/>
      <c r="G25" s="67">
        <f>SGP!G25</f>
        <v>94190.903870449067</v>
      </c>
      <c r="H25" s="67">
        <f>USA!G25</f>
        <v>0</v>
      </c>
      <c r="I25" s="72">
        <f>ITA!G25</f>
        <v>0</v>
      </c>
      <c r="J25" s="72">
        <f t="shared" si="2"/>
        <v>94190.903870449067</v>
      </c>
    </row>
    <row r="26" spans="1:10">
      <c r="A26" s="10"/>
      <c r="B26" s="23"/>
      <c r="C26" s="14" t="s">
        <v>43</v>
      </c>
      <c r="D26" s="8"/>
      <c r="E26" s="7"/>
      <c r="F26" s="95"/>
      <c r="G26" s="67"/>
      <c r="H26" s="67">
        <f>USA!G26</f>
        <v>98716.509324922052</v>
      </c>
      <c r="I26" s="72">
        <f>ITA!G26</f>
        <v>0</v>
      </c>
      <c r="J26" s="72">
        <f t="shared" si="2"/>
        <v>98716.509324922052</v>
      </c>
    </row>
    <row r="27" spans="1:10">
      <c r="A27" s="10"/>
      <c r="B27" s="23"/>
      <c r="C27" s="8"/>
      <c r="D27" s="10"/>
      <c r="E27" s="11"/>
      <c r="F27" s="99"/>
      <c r="G27" s="69"/>
      <c r="H27" s="67"/>
      <c r="I27" s="72"/>
      <c r="J27" s="72"/>
    </row>
    <row r="28" spans="1:10">
      <c r="A28" s="10"/>
      <c r="B28" s="89"/>
      <c r="C28" s="82" t="s">
        <v>5</v>
      </c>
      <c r="D28" s="15"/>
      <c r="E28" s="7"/>
      <c r="F28" s="95"/>
      <c r="G28" s="67">
        <f>SGP!G28</f>
        <v>23257.149420006892</v>
      </c>
      <c r="H28" s="67">
        <f>USA!G28</f>
        <v>65259.952142701761</v>
      </c>
      <c r="I28" s="72">
        <f>ITA!G28</f>
        <v>169967</v>
      </c>
      <c r="J28" s="72">
        <f t="shared" si="2"/>
        <v>258484.10156270865</v>
      </c>
    </row>
    <row r="29" spans="1:10">
      <c r="A29" s="10"/>
      <c r="B29" s="23"/>
      <c r="C29" s="14" t="s">
        <v>4</v>
      </c>
      <c r="D29" s="8"/>
      <c r="E29" s="7"/>
      <c r="F29" s="95"/>
      <c r="G29" s="67">
        <f>SGP!G29</f>
        <v>10336.510853336396</v>
      </c>
      <c r="H29" s="67">
        <f>USA!G29</f>
        <v>65259.952142701761</v>
      </c>
      <c r="I29" s="72">
        <f>ITA!G29</f>
        <v>164967</v>
      </c>
      <c r="J29" s="72">
        <f t="shared" si="2"/>
        <v>240563.46299603814</v>
      </c>
    </row>
    <row r="30" spans="1:10">
      <c r="A30" s="10"/>
      <c r="B30" s="23"/>
      <c r="C30" s="14" t="s">
        <v>12</v>
      </c>
      <c r="D30" s="8"/>
      <c r="E30" s="7"/>
      <c r="F30" s="95"/>
      <c r="G30" s="67">
        <f>SGP!G30</f>
        <v>12920.638566670494</v>
      </c>
      <c r="H30" s="67">
        <f>USA!G30</f>
        <v>0</v>
      </c>
      <c r="I30" s="72">
        <f>ITA!G30</f>
        <v>5000</v>
      </c>
      <c r="J30" s="72">
        <f t="shared" si="2"/>
        <v>17920.638566670495</v>
      </c>
    </row>
    <row r="31" spans="1:10">
      <c r="A31" s="10"/>
      <c r="B31" s="23"/>
      <c r="C31" s="14"/>
      <c r="D31" s="8"/>
      <c r="E31" s="7"/>
      <c r="F31" s="95"/>
      <c r="G31" s="67"/>
      <c r="H31" s="67"/>
      <c r="I31" s="72"/>
      <c r="J31" s="72"/>
    </row>
    <row r="32" spans="1:10">
      <c r="A32" s="10"/>
      <c r="B32" s="89"/>
      <c r="C32" s="111" t="s">
        <v>6</v>
      </c>
      <c r="D32" s="8"/>
      <c r="E32" s="7"/>
      <c r="F32" s="95"/>
      <c r="G32" s="67">
        <f>SGP!G32</f>
        <v>0</v>
      </c>
      <c r="H32" s="67">
        <f>USA!G32</f>
        <v>0</v>
      </c>
      <c r="I32" s="72">
        <f>ITA!G32</f>
        <v>3965678.1461976715</v>
      </c>
      <c r="J32" s="72">
        <f>SUM(J33:J40)</f>
        <v>3965678.1461976715</v>
      </c>
    </row>
    <row r="33" spans="1:10">
      <c r="A33" s="10"/>
      <c r="B33" s="23"/>
      <c r="C33" s="57" t="s">
        <v>36</v>
      </c>
      <c r="D33" s="57"/>
      <c r="E33" s="58"/>
      <c r="F33" s="100"/>
      <c r="G33" s="70">
        <f>SGP!G33</f>
        <v>0</v>
      </c>
      <c r="H33" s="67">
        <f>USA!G33</f>
        <v>0</v>
      </c>
      <c r="I33" s="72">
        <f>ITA!G33</f>
        <v>590916.32999999996</v>
      </c>
      <c r="J33" s="72">
        <f t="shared" si="2"/>
        <v>590916.32999999996</v>
      </c>
    </row>
    <row r="34" spans="1:10">
      <c r="A34" s="10"/>
      <c r="B34" s="23"/>
      <c r="C34" s="14" t="s">
        <v>37</v>
      </c>
      <c r="D34" s="8"/>
      <c r="E34" s="7"/>
      <c r="F34" s="95"/>
      <c r="G34" s="70">
        <f>SGP!G34</f>
        <v>0</v>
      </c>
      <c r="H34" s="67">
        <f>USA!G34</f>
        <v>0</v>
      </c>
      <c r="I34" s="72">
        <f>ITA!G34</f>
        <v>117845.49999999999</v>
      </c>
      <c r="J34" s="72">
        <f t="shared" si="2"/>
        <v>117845.49999999999</v>
      </c>
    </row>
    <row r="35" spans="1:10">
      <c r="A35" s="10"/>
      <c r="B35" s="23"/>
      <c r="C35" s="14" t="s">
        <v>46</v>
      </c>
      <c r="D35" s="8"/>
      <c r="E35" s="7"/>
      <c r="F35" s="95"/>
      <c r="G35" s="70">
        <f>SGP!G35</f>
        <v>0</v>
      </c>
      <c r="H35" s="67">
        <f>USA!G35</f>
        <v>0</v>
      </c>
      <c r="I35" s="72">
        <f>1341680</f>
        <v>1341680</v>
      </c>
      <c r="J35" s="72">
        <f t="shared" si="2"/>
        <v>1341680</v>
      </c>
    </row>
    <row r="36" spans="1:10">
      <c r="A36" s="10"/>
      <c r="B36" s="23"/>
      <c r="C36" s="14" t="s">
        <v>12</v>
      </c>
      <c r="D36" s="8"/>
      <c r="E36" s="7"/>
      <c r="F36" s="95"/>
      <c r="G36" s="70">
        <f>SGP!G36</f>
        <v>0</v>
      </c>
      <c r="H36" s="67">
        <f>USA!G36</f>
        <v>0</v>
      </c>
      <c r="I36" s="72">
        <f>ITA!G36</f>
        <v>289729.29000000004</v>
      </c>
      <c r="J36" s="72">
        <f t="shared" si="2"/>
        <v>289729.29000000004</v>
      </c>
    </row>
    <row r="37" spans="1:10">
      <c r="A37" s="10"/>
      <c r="B37" s="23"/>
      <c r="C37" s="14" t="s">
        <v>42</v>
      </c>
      <c r="D37" s="8"/>
      <c r="E37" s="7"/>
      <c r="F37" s="95"/>
      <c r="G37" s="70">
        <f>SGP!G37</f>
        <v>0</v>
      </c>
      <c r="H37" s="67">
        <f>USA!G37</f>
        <v>0</v>
      </c>
      <c r="I37" s="72">
        <f>ITA!G37</f>
        <v>994924.80999999994</v>
      </c>
      <c r="J37" s="72">
        <f t="shared" si="2"/>
        <v>994924.80999999994</v>
      </c>
    </row>
    <row r="38" spans="1:10">
      <c r="A38" s="10"/>
      <c r="B38" s="23"/>
      <c r="C38" s="14" t="s">
        <v>64</v>
      </c>
      <c r="D38" s="8"/>
      <c r="E38" s="7"/>
      <c r="F38" s="95"/>
      <c r="G38" s="70"/>
      <c r="H38" s="67"/>
      <c r="I38" s="72">
        <f>ITA!G38</f>
        <v>133911.12</v>
      </c>
      <c r="J38" s="72">
        <f>SUM(G38:I38)</f>
        <v>133911.12</v>
      </c>
    </row>
    <row r="39" spans="1:10">
      <c r="A39" s="10"/>
      <c r="B39" s="23"/>
      <c r="C39" s="14" t="s">
        <v>81</v>
      </c>
      <c r="D39" s="8"/>
      <c r="E39" s="7"/>
      <c r="F39" s="95"/>
      <c r="G39" s="70"/>
      <c r="H39" s="67"/>
      <c r="I39" s="72">
        <f>ITA!G39</f>
        <v>213066.18008498912</v>
      </c>
      <c r="J39" s="72">
        <f t="shared" ref="J39:J40" si="3">SUM(G39:I39)</f>
        <v>213066.18008498912</v>
      </c>
    </row>
    <row r="40" spans="1:10">
      <c r="A40" s="10"/>
      <c r="B40" s="23"/>
      <c r="C40" s="14" t="s">
        <v>87</v>
      </c>
      <c r="D40" s="8"/>
      <c r="E40" s="7"/>
      <c r="F40" s="95"/>
      <c r="G40" s="70"/>
      <c r="H40" s="67"/>
      <c r="I40" s="72">
        <f>ITA!G40</f>
        <v>283604.9161126822</v>
      </c>
      <c r="J40" s="72">
        <f t="shared" si="3"/>
        <v>283604.9161126822</v>
      </c>
    </row>
    <row r="41" spans="1:10" hidden="1">
      <c r="A41" s="10"/>
      <c r="B41" s="23"/>
      <c r="C41" s="14"/>
      <c r="D41" s="8"/>
      <c r="E41" s="7"/>
      <c r="F41" s="95"/>
      <c r="G41" s="70"/>
      <c r="H41" s="67"/>
      <c r="I41" s="72"/>
      <c r="J41" s="72"/>
    </row>
    <row r="42" spans="1:10" hidden="1">
      <c r="A42" s="10"/>
      <c r="B42" s="23"/>
      <c r="C42" s="14"/>
      <c r="D42" s="8"/>
      <c r="E42" s="7"/>
      <c r="F42" s="95"/>
      <c r="G42" s="70"/>
      <c r="H42" s="67"/>
      <c r="I42" s="72"/>
      <c r="J42" s="72"/>
    </row>
    <row r="43" spans="1:10">
      <c r="A43" s="10"/>
      <c r="B43" s="23"/>
      <c r="C43" s="8"/>
      <c r="D43" s="10"/>
      <c r="E43" s="11"/>
      <c r="F43" s="99"/>
      <c r="G43" s="69"/>
      <c r="H43" s="69"/>
      <c r="I43" s="72"/>
      <c r="J43" s="72"/>
    </row>
    <row r="44" spans="1:10">
      <c r="A44" s="10"/>
      <c r="B44" s="89" t="s">
        <v>7</v>
      </c>
      <c r="C44" s="82"/>
      <c r="D44" s="85"/>
      <c r="E44" s="83"/>
      <c r="F44" s="98"/>
      <c r="G44" s="105">
        <f>SGP!G42</f>
        <v>0</v>
      </c>
      <c r="H44" s="105">
        <f>USA!G42</f>
        <v>0</v>
      </c>
      <c r="I44" s="107">
        <f>ITA!G42</f>
        <v>199240.55000000002</v>
      </c>
      <c r="J44" s="107">
        <f t="shared" si="2"/>
        <v>199240.55000000002</v>
      </c>
    </row>
    <row r="45" spans="1:10" hidden="1">
      <c r="A45" s="10"/>
      <c r="B45" s="23"/>
      <c r="C45" s="8"/>
      <c r="D45" s="13"/>
      <c r="E45" s="7"/>
      <c r="F45" s="95"/>
      <c r="G45" s="67"/>
      <c r="H45" s="67"/>
      <c r="I45" s="72"/>
      <c r="J45" s="46"/>
    </row>
    <row r="46" spans="1:10" hidden="1">
      <c r="A46" s="10"/>
      <c r="B46" s="23"/>
      <c r="C46" s="8"/>
      <c r="D46" s="13"/>
      <c r="E46" s="7"/>
      <c r="F46" s="95"/>
      <c r="G46" s="67"/>
      <c r="H46" s="67"/>
      <c r="I46" s="72"/>
      <c r="J46" s="46"/>
    </row>
    <row r="47" spans="1:10" hidden="1">
      <c r="A47" s="10"/>
      <c r="B47" s="23"/>
      <c r="C47" s="8"/>
      <c r="D47" s="13"/>
      <c r="E47" s="7"/>
      <c r="F47" s="95"/>
      <c r="G47" s="67"/>
      <c r="H47" s="67"/>
      <c r="I47" s="72"/>
      <c r="J47" s="46"/>
    </row>
    <row r="48" spans="1:10" hidden="1">
      <c r="A48" s="10"/>
      <c r="B48" s="23"/>
      <c r="C48" s="8"/>
      <c r="D48" s="13"/>
      <c r="E48" s="7"/>
      <c r="F48" s="95"/>
      <c r="G48" s="67"/>
      <c r="H48" s="67"/>
      <c r="I48" s="72"/>
      <c r="J48" s="46"/>
    </row>
    <row r="49" spans="1:10" hidden="1">
      <c r="A49" s="10"/>
      <c r="B49" s="23"/>
      <c r="C49" s="8"/>
      <c r="D49" s="13"/>
      <c r="E49" s="7"/>
      <c r="F49" s="95"/>
      <c r="G49" s="67"/>
      <c r="H49" s="67"/>
      <c r="I49" s="72"/>
      <c r="J49" s="46"/>
    </row>
    <row r="50" spans="1:10" hidden="1">
      <c r="A50" s="10"/>
      <c r="B50" s="23"/>
      <c r="C50" s="8"/>
      <c r="D50" s="13"/>
      <c r="E50" s="7"/>
      <c r="F50" s="95"/>
      <c r="G50" s="67"/>
      <c r="H50" s="67"/>
      <c r="I50" s="72"/>
      <c r="J50" s="46"/>
    </row>
    <row r="51" spans="1:10" hidden="1">
      <c r="A51" s="10"/>
      <c r="B51" s="23"/>
      <c r="C51" s="8"/>
      <c r="D51" s="13"/>
      <c r="E51" s="7"/>
      <c r="F51" s="95"/>
      <c r="G51" s="67"/>
      <c r="H51" s="67"/>
      <c r="I51" s="72"/>
      <c r="J51" s="46"/>
    </row>
    <row r="52" spans="1:10" hidden="1">
      <c r="A52" s="10"/>
      <c r="B52" s="23"/>
      <c r="C52" s="8"/>
      <c r="D52" s="13"/>
      <c r="E52" s="7"/>
      <c r="F52" s="95"/>
      <c r="G52" s="67"/>
      <c r="H52" s="67"/>
      <c r="I52" s="72"/>
      <c r="J52" s="46"/>
    </row>
    <row r="53" spans="1:10" hidden="1">
      <c r="A53" s="10"/>
      <c r="B53" s="23"/>
      <c r="C53" s="8"/>
      <c r="D53" s="13"/>
      <c r="E53" s="7"/>
      <c r="F53" s="95"/>
      <c r="G53" s="67"/>
      <c r="H53" s="67"/>
      <c r="I53" s="72"/>
      <c r="J53" s="46"/>
    </row>
    <row r="54" spans="1:10" hidden="1">
      <c r="A54" s="10"/>
      <c r="B54" s="23"/>
      <c r="C54" s="8"/>
      <c r="D54" s="8"/>
      <c r="E54" s="7"/>
      <c r="F54" s="95"/>
      <c r="G54" s="67"/>
      <c r="H54" s="67"/>
      <c r="I54" s="72"/>
      <c r="J54" s="46"/>
    </row>
    <row r="55" spans="1:10">
      <c r="A55" s="10"/>
      <c r="B55" s="76" t="s">
        <v>8</v>
      </c>
      <c r="C55" s="90"/>
      <c r="D55" s="91"/>
      <c r="E55" s="92"/>
      <c r="F55" s="101"/>
      <c r="G55" s="77">
        <f>SGP!G65</f>
        <v>99158.364619271859</v>
      </c>
      <c r="H55" s="77">
        <f>USA!G65</f>
        <v>36783.017910231312</v>
      </c>
      <c r="I55" s="108">
        <f>ITA!G65</f>
        <v>1579710.91</v>
      </c>
      <c r="J55" s="109">
        <f>SUM(G55:I55)</f>
        <v>1715652.2925295031</v>
      </c>
    </row>
    <row r="56" spans="1:10" hidden="1">
      <c r="A56" s="10"/>
      <c r="B56" s="23"/>
      <c r="C56" s="8"/>
      <c r="D56" s="13"/>
      <c r="E56" s="7"/>
      <c r="F56" s="95"/>
      <c r="G56" s="67"/>
      <c r="H56" s="67"/>
      <c r="I56" s="44"/>
      <c r="J56" s="44"/>
    </row>
    <row r="57" spans="1:10" hidden="1">
      <c r="A57" s="10"/>
      <c r="B57" s="23"/>
      <c r="C57" s="8"/>
      <c r="D57" s="13"/>
      <c r="E57" s="7"/>
      <c r="F57" s="95"/>
      <c r="G57" s="67"/>
      <c r="H57" s="67"/>
      <c r="I57" s="44"/>
      <c r="J57" s="44"/>
    </row>
    <row r="58" spans="1:10" hidden="1">
      <c r="A58" s="10"/>
      <c r="B58" s="23"/>
      <c r="C58" s="8"/>
      <c r="D58" s="13"/>
      <c r="E58" s="7"/>
      <c r="F58" s="95"/>
      <c r="G58" s="67"/>
      <c r="H58" s="67"/>
      <c r="I58" s="44"/>
      <c r="J58" s="44"/>
    </row>
    <row r="59" spans="1:10" hidden="1">
      <c r="A59" s="10"/>
      <c r="B59" s="23"/>
      <c r="C59" s="8"/>
      <c r="D59" s="13"/>
      <c r="E59" s="7"/>
      <c r="F59" s="95"/>
      <c r="G59" s="67"/>
      <c r="H59" s="67"/>
      <c r="I59" s="44"/>
      <c r="J59" s="44"/>
    </row>
    <row r="60" spans="1:10" hidden="1">
      <c r="A60" s="10"/>
      <c r="B60" s="23"/>
      <c r="C60" s="8"/>
      <c r="D60" s="13"/>
      <c r="E60" s="7"/>
      <c r="F60" s="95"/>
      <c r="G60" s="67"/>
      <c r="H60" s="67"/>
      <c r="I60" s="44"/>
      <c r="J60" s="44"/>
    </row>
    <row r="61" spans="1:10" hidden="1">
      <c r="A61" s="10"/>
      <c r="B61" s="23"/>
      <c r="C61" s="8"/>
      <c r="D61" s="13"/>
      <c r="E61" s="7"/>
      <c r="F61" s="95"/>
      <c r="G61" s="67"/>
      <c r="H61" s="67"/>
      <c r="I61" s="44"/>
      <c r="J61" s="44"/>
    </row>
    <row r="62" spans="1:10" hidden="1">
      <c r="A62" s="10"/>
      <c r="B62" s="23"/>
      <c r="C62" s="8"/>
      <c r="D62" s="13"/>
      <c r="E62" s="7"/>
      <c r="F62" s="95"/>
      <c r="G62" s="67"/>
      <c r="H62" s="67"/>
      <c r="I62" s="44"/>
      <c r="J62" s="44"/>
    </row>
    <row r="63" spans="1:10" hidden="1">
      <c r="A63" s="10"/>
      <c r="B63" s="23"/>
      <c r="C63" s="8"/>
      <c r="D63" s="13"/>
      <c r="E63" s="7"/>
      <c r="F63" s="95"/>
      <c r="G63" s="67"/>
      <c r="H63" s="67"/>
      <c r="I63" s="44"/>
      <c r="J63" s="44"/>
    </row>
    <row r="64" spans="1:10" hidden="1">
      <c r="A64" s="10"/>
      <c r="B64" s="23"/>
      <c r="C64" s="8"/>
      <c r="D64" s="13"/>
      <c r="E64" s="7"/>
      <c r="F64" s="95"/>
      <c r="G64" s="67"/>
      <c r="H64" s="67"/>
      <c r="I64" s="44"/>
      <c r="J64" s="44"/>
    </row>
    <row r="65" spans="1:10" hidden="1">
      <c r="A65" s="10"/>
      <c r="B65" s="23"/>
      <c r="C65" s="8"/>
      <c r="D65" s="13"/>
      <c r="E65" s="7"/>
      <c r="F65" s="95"/>
      <c r="G65" s="67"/>
      <c r="H65" s="67"/>
      <c r="I65" s="44"/>
      <c r="J65" s="44"/>
    </row>
    <row r="66" spans="1:10" hidden="1">
      <c r="A66" s="10"/>
      <c r="B66" s="23"/>
      <c r="C66" s="8"/>
      <c r="D66" s="13"/>
      <c r="E66" s="7"/>
      <c r="F66" s="95"/>
      <c r="G66" s="67"/>
      <c r="H66" s="67"/>
      <c r="I66" s="44"/>
      <c r="J66" s="44"/>
    </row>
    <row r="67" spans="1:10" hidden="1">
      <c r="A67" s="10"/>
      <c r="B67" s="73"/>
      <c r="C67" s="10"/>
      <c r="D67" s="10"/>
      <c r="E67" s="11"/>
      <c r="F67" s="99"/>
      <c r="G67" s="69"/>
      <c r="H67" s="69"/>
      <c r="I67" s="44"/>
      <c r="J67" s="44"/>
    </row>
    <row r="68" spans="1:10">
      <c r="A68" s="10"/>
      <c r="B68" s="102" t="s">
        <v>76</v>
      </c>
      <c r="C68" s="74"/>
      <c r="D68" s="74"/>
      <c r="E68" s="75"/>
      <c r="F68" s="96"/>
      <c r="G68" s="68">
        <f>SUM(G14,G17,G22,G44,G55)</f>
        <v>277002.77716090507</v>
      </c>
      <c r="H68" s="68">
        <f>SUM(H14,H17,H22,H44,H55)</f>
        <v>294605.66892176057</v>
      </c>
      <c r="I68" s="68">
        <f>SUM(I14,I17,I22,I44,I55)</f>
        <v>6507841.8061976712</v>
      </c>
      <c r="J68" s="68">
        <f>SUM(J14,J17,J22,J44,J55)</f>
        <v>7079450.2522803368</v>
      </c>
    </row>
    <row r="69" spans="1:10">
      <c r="A69" s="10"/>
      <c r="B69" s="48" t="s">
        <v>9</v>
      </c>
      <c r="C69" s="49"/>
      <c r="D69" s="49"/>
      <c r="E69" s="50"/>
      <c r="F69" s="97"/>
      <c r="G69" s="71">
        <f>G3-G68</f>
        <v>88043.80292408407</v>
      </c>
      <c r="H69" s="71">
        <f>H3-H68</f>
        <v>218142.04719092167</v>
      </c>
      <c r="I69" s="71">
        <f>I3-I68</f>
        <v>2667513.1938023288</v>
      </c>
      <c r="J69" s="110">
        <f>J3-J68</f>
        <v>2973699.0439173346</v>
      </c>
    </row>
    <row r="70" spans="1:10">
      <c r="A70" s="16"/>
      <c r="B70" s="52" t="s">
        <v>10</v>
      </c>
      <c r="C70" s="36"/>
      <c r="D70" s="36"/>
      <c r="E70" s="30"/>
      <c r="F70" s="103"/>
      <c r="G70" s="55">
        <f>G69/G3</f>
        <v>0.24118511918009464</v>
      </c>
      <c r="H70" s="55">
        <f>H69/H3</f>
        <v>0.42543738438219086</v>
      </c>
      <c r="I70" s="55">
        <f>I69/I3</f>
        <v>0.29072588404506733</v>
      </c>
      <c r="J70" s="55">
        <f>J69/J3</f>
        <v>0.29579776011503728</v>
      </c>
    </row>
    <row r="71" spans="1:10">
      <c r="A71" s="10"/>
      <c r="B71" s="10"/>
      <c r="C71" s="10"/>
      <c r="D71" s="10"/>
      <c r="E71" s="11"/>
      <c r="F71" s="12"/>
      <c r="G71" s="12"/>
      <c r="H71" s="12"/>
    </row>
    <row r="74" spans="1:10" hidden="1">
      <c r="A74" s="17" t="s">
        <v>45</v>
      </c>
      <c r="B74" s="18"/>
      <c r="C74" s="19"/>
    </row>
    <row r="75" spans="1:10" hidden="1">
      <c r="A75" s="20" t="s">
        <v>13</v>
      </c>
      <c r="B75" s="21">
        <v>1</v>
      </c>
      <c r="C75" s="22" t="s">
        <v>51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SGP</vt:lpstr>
      <vt:lpstr>USA</vt:lpstr>
      <vt:lpstr>ITA</vt:lpstr>
      <vt:lpstr>Total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cp:lastPrinted>2014-10-21T09:51:01Z</cp:lastPrinted>
  <dcterms:created xsi:type="dcterms:W3CDTF">2014-10-03T08:30:31Z</dcterms:created>
  <dcterms:modified xsi:type="dcterms:W3CDTF">2014-10-21T13:56:20Z</dcterms:modified>
</cp:coreProperties>
</file>