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5260" windowHeight="5835" activeTab="1"/>
  </bookViews>
  <sheets>
    <sheet name="Sheet2" sheetId="5" r:id="rId1"/>
    <sheet name="Forecast 2015" sheetId="4" r:id="rId2"/>
    <sheet name="riconciliazione" sheetId="3" r:id="rId3"/>
  </sheets>
  <definedNames>
    <definedName name="_xlnm._FilterDatabase" localSheetId="1" hidden="1">'Forecast 2015'!$A$3:$BR$115</definedName>
    <definedName name="amount">#REF!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AC36" i="4"/>
  <c r="AC68" s="1"/>
  <c r="AC121" s="1"/>
  <c r="W116"/>
  <c r="W122" s="1"/>
  <c r="X116"/>
  <c r="X122" s="1"/>
  <c r="Y116"/>
  <c r="Y122" s="1"/>
  <c r="Z116"/>
  <c r="Z122" s="1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73"/>
  <c r="AO68"/>
  <c r="U52"/>
  <c r="Q67"/>
  <c r="S68"/>
  <c r="T68"/>
  <c r="V6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3"/>
  <c r="V64"/>
  <c r="V65"/>
  <c r="V66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4"/>
  <c r="V4"/>
  <c r="AF6"/>
  <c r="AF36"/>
  <c r="AD5"/>
  <c r="AD6"/>
  <c r="AD7"/>
  <c r="AD8"/>
  <c r="AD9"/>
  <c r="AD10"/>
  <c r="AD12"/>
  <c r="AD13"/>
  <c r="AD14"/>
  <c r="AD16"/>
  <c r="AD17"/>
  <c r="AD18"/>
  <c r="AD19"/>
  <c r="AD20"/>
  <c r="AD21"/>
  <c r="AD22"/>
  <c r="AD23"/>
  <c r="AD25"/>
  <c r="AD26"/>
  <c r="AD27"/>
  <c r="AD28"/>
  <c r="AD30"/>
  <c r="AD31"/>
  <c r="AD32"/>
  <c r="AD33"/>
  <c r="AD34"/>
  <c r="AD35"/>
  <c r="AD37"/>
  <c r="AD38"/>
  <c r="AD40"/>
  <c r="AD41"/>
  <c r="AD42"/>
  <c r="AD44"/>
  <c r="AD45"/>
  <c r="AD46"/>
  <c r="AD47"/>
  <c r="AD48"/>
  <c r="AD49"/>
  <c r="AD50"/>
  <c r="AD51"/>
  <c r="AD52"/>
  <c r="AD53"/>
  <c r="AD54"/>
  <c r="AD55"/>
  <c r="AD56"/>
  <c r="AD58"/>
  <c r="AD59"/>
  <c r="AD60"/>
  <c r="AD61"/>
  <c r="AD62"/>
  <c r="AD63"/>
  <c r="AD64"/>
  <c r="AD65"/>
  <c r="AD66"/>
  <c r="V67"/>
  <c r="AE57"/>
  <c r="AD57"/>
  <c r="AD43"/>
  <c r="AE39"/>
  <c r="AD39"/>
  <c r="AE36"/>
  <c r="AD36"/>
  <c r="AF29"/>
  <c r="AD29"/>
  <c r="AE24"/>
  <c r="AD24" s="1"/>
  <c r="AF15"/>
  <c r="AD15"/>
  <c r="AD11"/>
  <c r="AF4"/>
  <c r="AD4"/>
  <c r="AP4"/>
  <c r="AP6"/>
  <c r="AP7"/>
  <c r="AP8"/>
  <c r="AP9"/>
  <c r="AP11"/>
  <c r="AP12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6"/>
  <c r="AM4"/>
  <c r="AM5"/>
  <c r="AM6"/>
  <c r="AM7"/>
  <c r="AM8"/>
  <c r="AM9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6"/>
  <c r="AJ4"/>
  <c r="AJ5"/>
  <c r="AJ6"/>
  <c r="AJ7"/>
  <c r="AJ8"/>
  <c r="AJ9"/>
  <c r="AJ10"/>
  <c r="AJ11"/>
  <c r="AJ12"/>
  <c r="AJ13"/>
  <c r="AJ14"/>
  <c r="AJ16"/>
  <c r="AJ18"/>
  <c r="AJ19"/>
  <c r="AJ20"/>
  <c r="AJ21"/>
  <c r="AJ22"/>
  <c r="AJ23"/>
  <c r="AJ24"/>
  <c r="AJ25"/>
  <c r="AJ26"/>
  <c r="AJ27"/>
  <c r="AJ30"/>
  <c r="AJ32"/>
  <c r="AJ34"/>
  <c r="AJ35"/>
  <c r="AJ36"/>
  <c r="AJ37"/>
  <c r="AJ39"/>
  <c r="AJ40"/>
  <c r="AJ41"/>
  <c r="AJ42"/>
  <c r="AJ43"/>
  <c r="AJ44"/>
  <c r="AJ45"/>
  <c r="AJ46"/>
  <c r="AJ47"/>
  <c r="AJ48"/>
  <c r="AJ49"/>
  <c r="AJ50"/>
  <c r="AJ51"/>
  <c r="AJ52"/>
  <c r="AJ56"/>
  <c r="AG4"/>
  <c r="AG5"/>
  <c r="AG7"/>
  <c r="AG9"/>
  <c r="AG11"/>
  <c r="AG12"/>
  <c r="AG13"/>
  <c r="AG14"/>
  <c r="AG15"/>
  <c r="AG16"/>
  <c r="AG18"/>
  <c r="AG19"/>
  <c r="AG20"/>
  <c r="AG21"/>
  <c r="AG22"/>
  <c r="AG23"/>
  <c r="AG24"/>
  <c r="AG25"/>
  <c r="AG26"/>
  <c r="AG27"/>
  <c r="AG28"/>
  <c r="AG30"/>
  <c r="AG31"/>
  <c r="AG33"/>
  <c r="AG34"/>
  <c r="AG35"/>
  <c r="AG36"/>
  <c r="AG38"/>
  <c r="AG39"/>
  <c r="AG43"/>
  <c r="AG44"/>
  <c r="AG45"/>
  <c r="AG46"/>
  <c r="AG47"/>
  <c r="AG48"/>
  <c r="AG49"/>
  <c r="AG50"/>
  <c r="AG51"/>
  <c r="AG52"/>
  <c r="AG53"/>
  <c r="AG55"/>
  <c r="AG56"/>
  <c r="AG57"/>
  <c r="AG58"/>
  <c r="AG65"/>
  <c r="AG66"/>
  <c r="Y67"/>
  <c r="Y68" s="1"/>
  <c r="Y121" s="1"/>
  <c r="AH54"/>
  <c r="AG54"/>
  <c r="AH42"/>
  <c r="AG42"/>
  <c r="AH41"/>
  <c r="AG41"/>
  <c r="AI40"/>
  <c r="AG40"/>
  <c r="AK38"/>
  <c r="AJ38"/>
  <c r="AI37"/>
  <c r="AG37"/>
  <c r="AK33"/>
  <c r="AJ33"/>
  <c r="AI32"/>
  <c r="AG32"/>
  <c r="AK31"/>
  <c r="AJ31"/>
  <c r="AK29"/>
  <c r="AJ29"/>
  <c r="AI29"/>
  <c r="AG29"/>
  <c r="AK28"/>
  <c r="AJ28"/>
  <c r="AK17"/>
  <c r="AJ17"/>
  <c r="AH17"/>
  <c r="AG17"/>
  <c r="AK15"/>
  <c r="AQ13"/>
  <c r="AP13"/>
  <c r="AQ10"/>
  <c r="AN10"/>
  <c r="AN68"/>
  <c r="AI10"/>
  <c r="AG10"/>
  <c r="AS9"/>
  <c r="AS8"/>
  <c r="AH8"/>
  <c r="AS7"/>
  <c r="AI6"/>
  <c r="AG6"/>
  <c r="AS5"/>
  <c r="AR5"/>
  <c r="AR68"/>
  <c r="AQ5"/>
  <c r="C9" i="5"/>
  <c r="AS68" i="4"/>
  <c r="AQ68"/>
  <c r="Q126"/>
  <c r="R126"/>
  <c r="Q128"/>
  <c r="R128"/>
  <c r="AF68"/>
  <c r="AM10"/>
  <c r="W68"/>
  <c r="W121" s="1"/>
  <c r="AP5"/>
  <c r="Z68"/>
  <c r="Z121" s="1"/>
  <c r="AI68"/>
  <c r="AG8"/>
  <c r="AK68"/>
  <c r="Q130"/>
  <c r="R130"/>
  <c r="Q132"/>
  <c r="R132"/>
  <c r="X68"/>
  <c r="X121" s="1"/>
  <c r="Q127"/>
  <c r="R127"/>
  <c r="Q131"/>
  <c r="R131"/>
  <c r="Q129"/>
  <c r="R129"/>
  <c r="AJ15"/>
  <c r="AP10"/>
  <c r="U68"/>
  <c r="AB68"/>
  <c r="AB121" s="1"/>
  <c r="AH68"/>
  <c r="AA36" l="1"/>
  <c r="Q36" s="1"/>
  <c r="R36" s="1"/>
  <c r="Q38"/>
  <c r="AE68"/>
  <c r="Q54"/>
  <c r="R54" s="1"/>
  <c r="Q62"/>
  <c r="Q64"/>
  <c r="Q60"/>
  <c r="Q48"/>
  <c r="Q21"/>
  <c r="R21" s="1"/>
  <c r="Q47"/>
  <c r="R47" s="1"/>
  <c r="Q31"/>
  <c r="R31" s="1"/>
  <c r="Q41"/>
  <c r="R41" s="1"/>
  <c r="Q65"/>
  <c r="AJ68"/>
  <c r="Q30"/>
  <c r="R30" s="1"/>
  <c r="AA121"/>
  <c r="Q63"/>
  <c r="Q66"/>
  <c r="Q24"/>
  <c r="R24" s="1"/>
  <c r="Q50"/>
  <c r="R50" s="1"/>
  <c r="Q20"/>
  <c r="R20" s="1"/>
  <c r="Q43"/>
  <c r="Q33"/>
  <c r="R33" s="1"/>
  <c r="Q14"/>
  <c r="R14" s="1"/>
  <c r="Q4"/>
  <c r="R4" s="1"/>
  <c r="Q27"/>
  <c r="R27" s="1"/>
  <c r="Q23"/>
  <c r="R23" s="1"/>
  <c r="V68"/>
  <c r="AP68"/>
  <c r="Q40"/>
  <c r="R40" s="1"/>
  <c r="Q6"/>
  <c r="R6" s="1"/>
  <c r="Q57"/>
  <c r="Q17"/>
  <c r="R17" s="1"/>
  <c r="R38"/>
  <c r="Q55"/>
  <c r="R55" s="1"/>
  <c r="Q11"/>
  <c r="R11" s="1"/>
  <c r="Q42"/>
  <c r="R42" s="1"/>
  <c r="Q7"/>
  <c r="R7" s="1"/>
  <c r="AM68"/>
  <c r="Q18"/>
  <c r="R18" s="1"/>
  <c r="AD68"/>
  <c r="Q59"/>
  <c r="Q46"/>
  <c r="Q35"/>
  <c r="R35" s="1"/>
  <c r="Q26"/>
  <c r="R26" s="1"/>
  <c r="Q61"/>
  <c r="Q53"/>
  <c r="R53" s="1"/>
  <c r="Q45"/>
  <c r="Q29"/>
  <c r="R29" s="1"/>
  <c r="Q25"/>
  <c r="R25" s="1"/>
  <c r="Q13"/>
  <c r="R13" s="1"/>
  <c r="Q9"/>
  <c r="R9" s="1"/>
  <c r="Q5"/>
  <c r="R5" s="1"/>
  <c r="V116"/>
  <c r="V122"/>
  <c r="Q39"/>
  <c r="R39" s="1"/>
  <c r="Q15"/>
  <c r="R15" s="1"/>
  <c r="AG68"/>
  <c r="Q37"/>
  <c r="R37" s="1"/>
  <c r="Q51"/>
  <c r="R51" s="1"/>
  <c r="Q22"/>
  <c r="R22" s="1"/>
  <c r="Q19"/>
  <c r="R19" s="1"/>
  <c r="Q58"/>
  <c r="Q49"/>
  <c r="R49" s="1"/>
  <c r="Q34"/>
  <c r="R34" s="1"/>
  <c r="Q10"/>
  <c r="R10" s="1"/>
  <c r="Q56"/>
  <c r="Q52"/>
  <c r="R52" s="1"/>
  <c r="Q44"/>
  <c r="R44" s="1"/>
  <c r="Q32"/>
  <c r="R32" s="1"/>
  <c r="Q28"/>
  <c r="R28" s="1"/>
  <c r="Q16"/>
  <c r="R16" s="1"/>
  <c r="Q12"/>
  <c r="R12" s="1"/>
  <c r="Q8"/>
  <c r="R8" s="1"/>
  <c r="V121"/>
  <c r="AA68"/>
  <c r="V124" l="1"/>
  <c r="Q68"/>
</calcChain>
</file>

<file path=xl/comments1.xml><?xml version="1.0" encoding="utf-8"?>
<comments xmlns="http://schemas.openxmlformats.org/spreadsheetml/2006/main">
  <authors>
    <author>Giancarlo</author>
    <author>Simonetta</author>
  </authors>
  <commentList>
    <comment ref="AF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I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AF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AF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</commentList>
</comments>
</file>

<file path=xl/comments2.xml><?xml version="1.0" encoding="utf-8"?>
<comments xmlns="http://schemas.openxmlformats.org/spreadsheetml/2006/main">
  <authors>
    <author>Simonetta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+ 175 fatture da emettere</t>
        </r>
      </text>
    </comment>
  </commentList>
</comments>
</file>

<file path=xl/sharedStrings.xml><?xml version="1.0" encoding="utf-8"?>
<sst xmlns="http://schemas.openxmlformats.org/spreadsheetml/2006/main" count="1012" uniqueCount="465">
  <si>
    <t>#</t>
  </si>
  <si>
    <t>Customer</t>
  </si>
  <si>
    <t>Country</t>
  </si>
  <si>
    <t>Mail Contact</t>
  </si>
  <si>
    <t>Mail Contact 2</t>
  </si>
  <si>
    <t>Code</t>
  </si>
  <si>
    <t>Area</t>
  </si>
  <si>
    <t>Agency</t>
  </si>
  <si>
    <t>Channel or Direct</t>
  </si>
  <si>
    <r>
      <t xml:space="preserve">Partner  / </t>
    </r>
    <r>
      <rPr>
        <b/>
        <i/>
        <u/>
        <sz val="12"/>
        <color theme="1"/>
        <rFont val="Calibri"/>
        <family val="2"/>
        <scheme val="minor"/>
      </rPr>
      <t>Fulfillment Vehicle</t>
    </r>
  </si>
  <si>
    <t>Total # Targets</t>
  </si>
  <si>
    <r>
      <t xml:space="preserve">Year Bought First </t>
    </r>
    <r>
      <rPr>
        <b/>
        <i/>
        <u/>
        <sz val="12"/>
        <color theme="1"/>
        <rFont val="Calibri"/>
        <family val="2"/>
        <scheme val="minor"/>
      </rPr>
      <t>RCS</t>
    </r>
  </si>
  <si>
    <t>Total 
Client Revenues</t>
  </si>
  <si>
    <t>Total</t>
  </si>
  <si>
    <t>Maintenance</t>
  </si>
  <si>
    <t>Revenues 
ante 2010</t>
  </si>
  <si>
    <t>Maintenance 
paid till</t>
  </si>
  <si>
    <t>Annual Maitenance fee</t>
  </si>
  <si>
    <t>Exploit</t>
  </si>
  <si>
    <t>Note</t>
  </si>
  <si>
    <t xml:space="preserve">EULA </t>
  </si>
  <si>
    <t>DAP</t>
  </si>
  <si>
    <t>PO / Agreement</t>
  </si>
  <si>
    <t>Invoices</t>
  </si>
  <si>
    <t>importo fattura</t>
  </si>
  <si>
    <t>importo risconto</t>
  </si>
  <si>
    <t>delta</t>
  </si>
  <si>
    <t>other</t>
  </si>
  <si>
    <t>Polizia Postale</t>
  </si>
  <si>
    <t>Italy</t>
  </si>
  <si>
    <t>simone.tacconi@interno.it</t>
  </si>
  <si>
    <t>PP</t>
  </si>
  <si>
    <t>Europe</t>
  </si>
  <si>
    <t>LEA</t>
  </si>
  <si>
    <t>Direct</t>
  </si>
  <si>
    <t>-</t>
  </si>
  <si>
    <t>unlimited</t>
  </si>
  <si>
    <t>2004</t>
  </si>
  <si>
    <t>CNI</t>
  </si>
  <si>
    <t>Spain</t>
  </si>
  <si>
    <t>netsec@areatec.com</t>
  </si>
  <si>
    <t>Intelligence</t>
  </si>
  <si>
    <t>2006</t>
  </si>
  <si>
    <t>IDA SGP</t>
  </si>
  <si>
    <t>Singapore</t>
  </si>
  <si>
    <t>angsk@pcs-security.com</t>
  </si>
  <si>
    <t>stewart_yong@pcs-security.com</t>
  </si>
  <si>
    <t>IDA</t>
  </si>
  <si>
    <t>APAC</t>
  </si>
  <si>
    <t xml:space="preserve">Direct </t>
  </si>
  <si>
    <t>PCS</t>
  </si>
  <si>
    <t>2008</t>
  </si>
  <si>
    <t>Yes</t>
  </si>
  <si>
    <t>Information Office</t>
  </si>
  <si>
    <t>Hungary</t>
  </si>
  <si>
    <t>dankovicsjanos@gmail.com</t>
  </si>
  <si>
    <t>MKIH</t>
  </si>
  <si>
    <t>CSDN</t>
  </si>
  <si>
    <t>Morocco</t>
  </si>
  <si>
    <t>Adib_samir@hotmail.com</t>
  </si>
  <si>
    <t>tskalli@hotmail.com</t>
  </si>
  <si>
    <t>MEA</t>
  </si>
  <si>
    <t>2009</t>
  </si>
  <si>
    <t>Italy - DA - Rental</t>
  </si>
  <si>
    <t>macsalva@tin.it</t>
  </si>
  <si>
    <t>CSH</t>
  </si>
  <si>
    <t>Other</t>
  </si>
  <si>
    <t>C.S.H.</t>
  </si>
  <si>
    <t>MACC</t>
  </si>
  <si>
    <t>Malaysia</t>
  </si>
  <si>
    <t>zuriana@miliserv.com.my</t>
  </si>
  <si>
    <t>kamarulzamani@miliserv.com</t>
  </si>
  <si>
    <t xml:space="preserve">Channel </t>
  </si>
  <si>
    <t>Miliserv</t>
  </si>
  <si>
    <t>PCM</t>
  </si>
  <si>
    <t>mauro.sorrento@gmail.it</t>
  </si>
  <si>
    <t>PCIT</t>
  </si>
  <si>
    <t>unlimited (partially)</t>
  </si>
  <si>
    <t>SSNS - Ungheria</t>
  </si>
  <si>
    <t>balogh.peter@nbsz.gov.hu</t>
  </si>
  <si>
    <t>SSNS</t>
  </si>
  <si>
    <t>CC - Italy</t>
  </si>
  <si>
    <t>gabrieliraf@gmail.com</t>
  </si>
  <si>
    <t>andrea.raffaelli@carabinieri.it</t>
  </si>
  <si>
    <t>ROS</t>
  </si>
  <si>
    <t>2010</t>
  </si>
  <si>
    <t>GIP Saudi</t>
  </si>
  <si>
    <t>Saudi</t>
  </si>
  <si>
    <t>albwardy@gmail.com</t>
  </si>
  <si>
    <t>GIP</t>
  </si>
  <si>
    <t>AECOM/Net. Rev.</t>
  </si>
  <si>
    <t>IR Authorities (Condor)</t>
  </si>
  <si>
    <t>Luxemburg</t>
  </si>
  <si>
    <t>sith@lea-consult.de</t>
  </si>
  <si>
    <t>INTECH-CONDOR</t>
  </si>
  <si>
    <t>Channel</t>
  </si>
  <si>
    <t>Intech</t>
  </si>
  <si>
    <t>La Dependencia y/o Cisen</t>
  </si>
  <si>
    <t>Mexico</t>
  </si>
  <si>
    <t>areyes@entermas.net</t>
  </si>
  <si>
    <t>rvillegas@entermas.net</t>
  </si>
  <si>
    <t>SEGOB</t>
  </si>
  <si>
    <t>LATAM</t>
  </si>
  <si>
    <t xml:space="preserve">UZC </t>
  </si>
  <si>
    <t xml:space="preserve">Czech Rep. </t>
  </si>
  <si>
    <t>Tomas.Hlavsa@bull.cz</t>
  </si>
  <si>
    <t>UZC</t>
  </si>
  <si>
    <t>Bull</t>
  </si>
  <si>
    <t>Egypt - MOD</t>
  </si>
  <si>
    <t>Egypt</t>
  </si>
  <si>
    <t>Mohamed.Moniem@gnsegroup.com</t>
  </si>
  <si>
    <t>GNSE</t>
  </si>
  <si>
    <t>GNSE Egypt</t>
  </si>
  <si>
    <t>2011</t>
  </si>
  <si>
    <t>FBI</t>
  </si>
  <si>
    <t>USA</t>
  </si>
  <si>
    <t>one.lal2010@gmail.com</t>
  </si>
  <si>
    <t>PHOEBE 1phoebe-01, -02, -03, Test</t>
  </si>
  <si>
    <t>North America</t>
  </si>
  <si>
    <t xml:space="preserve">CICOM USA </t>
  </si>
  <si>
    <t>Oman - Intelligence</t>
  </si>
  <si>
    <t>Oman</t>
  </si>
  <si>
    <t>almuatasim.albahri@gmail.com</t>
  </si>
  <si>
    <t>ORF</t>
  </si>
  <si>
    <t>Excellence Tech</t>
  </si>
  <si>
    <t xml:space="preserve">President Security </t>
  </si>
  <si>
    <t>Panama</t>
  </si>
  <si>
    <t>hardila@robotec.com</t>
  </si>
  <si>
    <t>teofilo@solucionesdetecnologia.com</t>
  </si>
  <si>
    <t>PANP</t>
  </si>
  <si>
    <t>Robotec / Theola</t>
  </si>
  <si>
    <t>Turkish National Police</t>
  </si>
  <si>
    <t>Turkey</t>
  </si>
  <si>
    <t>akocak005@gmail.com</t>
  </si>
  <si>
    <t>TNP</t>
  </si>
  <si>
    <t>UAE - MOI</t>
  </si>
  <si>
    <t>UAE</t>
  </si>
  <si>
    <t>mbaier@cyberpointllc.com</t>
  </si>
  <si>
    <t>MOI</t>
  </si>
  <si>
    <t>Cyberpoint International</t>
  </si>
  <si>
    <t>NSS</t>
  </si>
  <si>
    <t>Uzbekistan</t>
  </si>
  <si>
    <t>i.eugene@itt.uz</t>
  </si>
  <si>
    <t>dbi@itt.uz</t>
  </si>
  <si>
    <t>Channel - NICE</t>
  </si>
  <si>
    <t xml:space="preserve">NICE </t>
  </si>
  <si>
    <t>DOD</t>
  </si>
  <si>
    <t>not operating</t>
  </si>
  <si>
    <t>Bayelsa State Government</t>
  </si>
  <si>
    <t>Nigeria</t>
  </si>
  <si>
    <t>thorbruegge@yahoo.com</t>
  </si>
  <si>
    <t>hanan@skylinksltd.com</t>
  </si>
  <si>
    <t>BSGO</t>
  </si>
  <si>
    <t>V&amp;V Nigeria</t>
  </si>
  <si>
    <t>2012</t>
  </si>
  <si>
    <t>Information Network Security Agency</t>
  </si>
  <si>
    <t>Ethiopia</t>
  </si>
  <si>
    <t>biniamtewolde@yahoo.com</t>
  </si>
  <si>
    <t>INSA</t>
  </si>
  <si>
    <t>State security (Falcon)</t>
  </si>
  <si>
    <t>INTECH-FALCON</t>
  </si>
  <si>
    <t>Simone.Cazzanti@rcslab.it</t>
  </si>
  <si>
    <t>duilio.bianchi@rcslab.it</t>
  </si>
  <si>
    <t>RCSSPA</t>
  </si>
  <si>
    <t>RCS Sistemi</t>
  </si>
  <si>
    <t>No</t>
  </si>
  <si>
    <t>ferdinando.dalessandro@siospa.it</t>
  </si>
  <si>
    <t>vittorio.nardone@siospa.it</t>
  </si>
  <si>
    <t>SIO</t>
  </si>
  <si>
    <t>SIO SPA</t>
  </si>
  <si>
    <t>MAL - MI</t>
  </si>
  <si>
    <t>MYMI</t>
  </si>
  <si>
    <t>Charmco</t>
  </si>
  <si>
    <t>Morocco - DST</t>
  </si>
  <si>
    <t>Faical.Tanarhte@fssys.ma</t>
  </si>
  <si>
    <t>AlFahad</t>
  </si>
  <si>
    <t xml:space="preserve">Al Fahad </t>
  </si>
  <si>
    <t>NISS - National Intelligence and Security Services</t>
  </si>
  <si>
    <t>Sudan</t>
  </si>
  <si>
    <t>NISS01-02</t>
  </si>
  <si>
    <t>Russia - KVANT</t>
  </si>
  <si>
    <t>Russia</t>
  </si>
  <si>
    <t>kachalin@advancedmonitoring.ru</t>
  </si>
  <si>
    <t>KachalinAI@infotecs.ru</t>
  </si>
  <si>
    <t>KVANT</t>
  </si>
  <si>
    <t>Infotecs</t>
  </si>
  <si>
    <t>Saudi  - GID</t>
  </si>
  <si>
    <t>TCC-GID</t>
  </si>
  <si>
    <t>TCC</t>
  </si>
  <si>
    <t>SIS of NSC</t>
  </si>
  <si>
    <t>Kazakistan</t>
  </si>
  <si>
    <t>askar.nurgazinov@gmail.com</t>
  </si>
  <si>
    <t>KNB</t>
  </si>
  <si>
    <t>The 5163 Army Division</t>
  </si>
  <si>
    <t>S. Korea</t>
  </si>
  <si>
    <t>devilangel1004@gmail.com</t>
  </si>
  <si>
    <t>SKA</t>
  </si>
  <si>
    <t>Nanatech</t>
  </si>
  <si>
    <t>UAE - Intelligence</t>
  </si>
  <si>
    <t>UAEAF</t>
  </si>
  <si>
    <t>Mauqah Technology</t>
  </si>
  <si>
    <t>DEA</t>
  </si>
  <si>
    <t>KATIE-1</t>
  </si>
  <si>
    <t>CBA Poland</t>
  </si>
  <si>
    <t>Poland</t>
  </si>
  <si>
    <t>cba170@cba.gov.pl</t>
  </si>
  <si>
    <t>CBA</t>
  </si>
  <si>
    <t>MOD Saudi</t>
  </si>
  <si>
    <t>Al Yamamah Engineering Systems Solutions</t>
  </si>
  <si>
    <t>2013</t>
  </si>
  <si>
    <t>PMO</t>
  </si>
  <si>
    <t>iskandar9116@gmail.com</t>
  </si>
  <si>
    <t>OK 10/02/2013</t>
  </si>
  <si>
    <t>DAP 29/3/2013</t>
  </si>
  <si>
    <t>Miliserv PO + GTC + Feb 1st 2013</t>
  </si>
  <si>
    <t>Estado de Qeretaro</t>
  </si>
  <si>
    <t>jaime@tevatec.com</t>
  </si>
  <si>
    <t>edgar@tevatec.com</t>
  </si>
  <si>
    <t>EDQ</t>
  </si>
  <si>
    <t>TEVA</t>
  </si>
  <si>
    <t>Azerbajan NS</t>
  </si>
  <si>
    <t>Adjerbaijan NSS</t>
  </si>
  <si>
    <t>testwizard003@gmail.com</t>
  </si>
  <si>
    <t>AZSN</t>
  </si>
  <si>
    <t>NICE / Horizon</t>
  </si>
  <si>
    <t>Governo de Puebla</t>
  </si>
  <si>
    <t>soporteuiamx@gmail.com</t>
  </si>
  <si>
    <t>GEDP</t>
  </si>
  <si>
    <t>SYM SERVICIOS INTEGRALES, S.A. DE C.V.</t>
  </si>
  <si>
    <t>Governo de Campeche</t>
  </si>
  <si>
    <t>comunicacionesmx2013@gmail.com</t>
  </si>
  <si>
    <t>SDUC</t>
  </si>
  <si>
    <t>AC Mongolia</t>
  </si>
  <si>
    <t>Mongolia</t>
  </si>
  <si>
    <t xml:space="preserve">ulziibadrakh@iaac.mn khembayar@iaac.mn    </t>
  </si>
  <si>
    <t xml:space="preserve">     davaa.shurik@gmail.com
erkhemee.iooii@gmail.com </t>
  </si>
  <si>
    <t>MOACA</t>
  </si>
  <si>
    <t>OK 10/04/2013</t>
  </si>
  <si>
    <t>OK 03/06/2013 
Missing Stamp</t>
  </si>
  <si>
    <t xml:space="preserve">Dept. of Correction Thai Police </t>
  </si>
  <si>
    <t>Thailand</t>
  </si>
  <si>
    <t>THDOC</t>
  </si>
  <si>
    <t>NICE / IT Absolute Company Limited</t>
  </si>
  <si>
    <t>SENAIN</t>
  </si>
  <si>
    <t>Ecuador</t>
  </si>
  <si>
    <t>DIPOL</t>
  </si>
  <si>
    <t>Colombia</t>
  </si>
  <si>
    <t xml:space="preserve">Robotec </t>
  </si>
  <si>
    <t>Guardia di Finanza</t>
  </si>
  <si>
    <t>Policia Federal Mexico</t>
  </si>
  <si>
    <t>PF MEX</t>
  </si>
  <si>
    <t>DTXT</t>
  </si>
  <si>
    <t>Resi Informatica</t>
  </si>
  <si>
    <t>Tunisia</t>
  </si>
  <si>
    <t>ATI</t>
  </si>
  <si>
    <t>Resi/ IPS</t>
  </si>
  <si>
    <t xml:space="preserve">Navy </t>
  </si>
  <si>
    <t>MXNV</t>
  </si>
  <si>
    <t>KBH</t>
  </si>
  <si>
    <t>Estado del Mexico</t>
  </si>
  <si>
    <t>PGJ MEX</t>
  </si>
  <si>
    <t>Policia Federal</t>
  </si>
  <si>
    <t>PN</t>
  </si>
  <si>
    <t>CICOM ES</t>
  </si>
  <si>
    <t>CUSAEM</t>
  </si>
  <si>
    <t>AFP</t>
  </si>
  <si>
    <t>Australia</t>
  </si>
  <si>
    <t>Bettini</t>
  </si>
  <si>
    <t>Velasco</t>
  </si>
  <si>
    <t>Maanna</t>
  </si>
  <si>
    <t>Maglietta</t>
  </si>
  <si>
    <t>Luppi</t>
  </si>
  <si>
    <t>Honduras</t>
  </si>
  <si>
    <t xml:space="preserve">Mexico </t>
  </si>
  <si>
    <t xml:space="preserve">LEA </t>
  </si>
  <si>
    <t>Mexico - pemx</t>
  </si>
  <si>
    <t>Malysia K</t>
  </si>
  <si>
    <t>Bahrein</t>
  </si>
  <si>
    <t>Midworld pro</t>
  </si>
  <si>
    <t xml:space="preserve">Intelligence </t>
  </si>
  <si>
    <t>Cyprus</t>
  </si>
  <si>
    <t>risconto da anno precedente</t>
  </si>
  <si>
    <t>Midworld Barhein</t>
  </si>
  <si>
    <t>NICE</t>
  </si>
  <si>
    <t>CNI / CNI-old, Prod, Test</t>
  </si>
  <si>
    <t xml:space="preserve"> $</t>
  </si>
  <si>
    <t>da fatturare (al 31.12.2013)</t>
  </si>
  <si>
    <t>2014 Total</t>
  </si>
  <si>
    <t>2014 
Maintenance</t>
  </si>
  <si>
    <t>2013 
License/ Upgrades</t>
  </si>
  <si>
    <t>2013 
Maintenance</t>
  </si>
  <si>
    <t>2012 Total</t>
  </si>
  <si>
    <t>2012 
License/ Upgrades</t>
  </si>
  <si>
    <t>2012 
Maintenance</t>
  </si>
  <si>
    <t>2011 Total</t>
  </si>
  <si>
    <t>2011 
License/ Upgrades</t>
  </si>
  <si>
    <t>2011 
Maintenance</t>
  </si>
  <si>
    <t>2010 Total</t>
  </si>
  <si>
    <t>2010 
License/ Upgrades</t>
  </si>
  <si>
    <t>2010 
Maintenance</t>
  </si>
  <si>
    <t>2013 Total</t>
  </si>
  <si>
    <t>2014</t>
  </si>
  <si>
    <t>KAM</t>
  </si>
  <si>
    <t>Shehata</t>
  </si>
  <si>
    <t>Q1</t>
  </si>
  <si>
    <t>Q2</t>
  </si>
  <si>
    <t>Q3</t>
  </si>
  <si>
    <t>Q4</t>
  </si>
  <si>
    <t>Forecast</t>
  </si>
  <si>
    <t>Yes (parziale)</t>
  </si>
  <si>
    <t>Switzerland</t>
  </si>
  <si>
    <t>MDNP</t>
  </si>
  <si>
    <t>CIS</t>
  </si>
  <si>
    <t>SCICO</t>
  </si>
  <si>
    <t>MOD</t>
  </si>
  <si>
    <t>BHR</t>
  </si>
  <si>
    <t xml:space="preserve">AREA </t>
  </si>
  <si>
    <t>Italia</t>
  </si>
  <si>
    <t>AREA</t>
  </si>
  <si>
    <t>Confirmed</t>
  </si>
  <si>
    <t>Ricavi da sell recap</t>
  </si>
  <si>
    <t>Riapertura Risconti</t>
  </si>
  <si>
    <t>di cui competenza 2014</t>
  </si>
  <si>
    <t>Mex Taumalipas</t>
  </si>
  <si>
    <t>Grand Total</t>
  </si>
  <si>
    <t>Active Customer</t>
  </si>
  <si>
    <t xml:space="preserve"> </t>
  </si>
  <si>
    <t>Susp. Customer</t>
  </si>
  <si>
    <t>Upgrade 9.2</t>
  </si>
  <si>
    <t>Sec. De Planeacion y Finanzas</t>
  </si>
  <si>
    <t>SEPYF</t>
  </si>
  <si>
    <t>Elite by Carga</t>
  </si>
  <si>
    <t>Vietnam GD5</t>
  </si>
  <si>
    <t>Vietnam</t>
  </si>
  <si>
    <t>Jalisco Mexico</t>
  </si>
  <si>
    <t>DIE Chile</t>
  </si>
  <si>
    <t>Chile</t>
  </si>
  <si>
    <t>PEMEX</t>
  </si>
  <si>
    <t>Mexico Durango</t>
  </si>
  <si>
    <t>Mexico Yucatan</t>
  </si>
  <si>
    <t>YUKI</t>
  </si>
  <si>
    <t>DUSTIN</t>
  </si>
  <si>
    <t>PHANTOM</t>
  </si>
  <si>
    <t>Mipoltec</t>
  </si>
  <si>
    <t>ARIEL</t>
  </si>
  <si>
    <t>JASMINE</t>
  </si>
  <si>
    <t>RUTHIE</t>
  </si>
  <si>
    <t>Placing Value Co. Ltd</t>
  </si>
  <si>
    <t>VIKYS</t>
  </si>
  <si>
    <t>DHA Investment and Technologies Co. Ltd</t>
  </si>
  <si>
    <t>ZUEGG</t>
  </si>
  <si>
    <t>Kantonspolizei Zurich</t>
  </si>
  <si>
    <t>SSPT</t>
  </si>
  <si>
    <t>HON</t>
  </si>
  <si>
    <t>da fatturare (al 31.12.2014)</t>
  </si>
  <si>
    <t>Carinex</t>
  </si>
  <si>
    <t>2015 
expected</t>
  </si>
  <si>
    <t>2015 Total</t>
  </si>
  <si>
    <t>2015
License/ Upgrades</t>
  </si>
  <si>
    <t>2015
Maintenance</t>
  </si>
  <si>
    <t>Fatturato 2015</t>
  </si>
  <si>
    <t>2014 
License/ Upgrades</t>
  </si>
  <si>
    <t xml:space="preserve">da fatturare 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</si>
  <si>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</si>
  <si>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</si>
  <si>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</si>
  <si>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</si>
  <si>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</si>
  <si>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</si>
  <si>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</si>
  <si>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</si>
  <si>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</si>
  <si>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</si>
  <si>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</si>
  <si>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</si>
  <si>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</si>
  <si>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</si>
  <si>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</si>
  <si>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</si>
  <si>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</si>
  <si>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</si>
  <si>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</si>
  <si>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</si>
  <si>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</si>
  <si>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</si>
  <si>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</si>
  <si>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</si>
  <si>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</si>
  <si>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</si>
  <si>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</si>
  <si>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</si>
  <si>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</si>
  <si>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</si>
  <si>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</si>
  <si>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</si>
  <si>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</si>
  <si>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</si>
  <si>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</si>
  <si>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</si>
  <si>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</si>
  <si>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</si>
  <si>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</si>
  <si>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</si>
  <si>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</si>
  <si>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</si>
  <si>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</si>
  <si>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OPPORTUNITIES</t>
  </si>
  <si>
    <t>Vietnam GD1</t>
  </si>
  <si>
    <t>Vietnam Intelligence</t>
  </si>
  <si>
    <t>Vietnam Military Security</t>
  </si>
  <si>
    <t>Malaysia RMP Commercial Crime K</t>
  </si>
  <si>
    <t>Malaysia MCMC K</t>
  </si>
  <si>
    <t>Malaysia PKSB Miliserv</t>
  </si>
  <si>
    <t>Singapore MOD</t>
  </si>
  <si>
    <t>Thailand AFSC</t>
  </si>
  <si>
    <t>India Signal Intelligence</t>
  </si>
  <si>
    <t>Indonesia LSN</t>
  </si>
  <si>
    <t>Bangladesh Police</t>
  </si>
  <si>
    <t>Mongolia Police</t>
  </si>
  <si>
    <t>Egypt TRD GNSE</t>
  </si>
  <si>
    <t>Egypt TRD A6</t>
  </si>
  <si>
    <t>Egypt Homeland Security</t>
  </si>
  <si>
    <t>UAE ADP</t>
  </si>
  <si>
    <t>UAE MOI SSD</t>
  </si>
  <si>
    <t>Oman ROP</t>
  </si>
  <si>
    <t>Morocco Gendarmerie</t>
  </si>
  <si>
    <t>Saudi GDTA</t>
  </si>
  <si>
    <t>Lebanon Army Forces</t>
  </si>
  <si>
    <t>Qatar SSB</t>
  </si>
  <si>
    <t>Kuwait Cybercrime</t>
  </si>
  <si>
    <t>Lituania Anti Corr</t>
  </si>
  <si>
    <t>Bulgaria DANS (Tender)</t>
  </si>
  <si>
    <t>Colombia Puma NICE</t>
  </si>
  <si>
    <t>Croatia MOI Security Int.</t>
  </si>
  <si>
    <t>Czech Republic Homeland Sec</t>
  </si>
  <si>
    <t>Spain MOD</t>
  </si>
  <si>
    <t>UK NCA</t>
  </si>
  <si>
    <t>Brasil PF</t>
  </si>
  <si>
    <t>Ethiopia INSA</t>
  </si>
  <si>
    <t>Dominican Republic</t>
  </si>
  <si>
    <t>Mexico Morelos Elite</t>
  </si>
  <si>
    <t>Mexico Sonora Elite</t>
  </si>
  <si>
    <t>Mexico Tijuana Major Elite</t>
  </si>
  <si>
    <t>Mexico SYM</t>
  </si>
  <si>
    <t>Mexico PF</t>
  </si>
  <si>
    <t>Canada</t>
  </si>
  <si>
    <t>Vitenam</t>
  </si>
  <si>
    <t>India</t>
  </si>
  <si>
    <t>Indonesia</t>
  </si>
  <si>
    <t>Bangladesh</t>
  </si>
  <si>
    <t>Lebanon</t>
  </si>
  <si>
    <t>Qatar</t>
  </si>
  <si>
    <t>Kuwait</t>
  </si>
  <si>
    <t>Lituania</t>
  </si>
  <si>
    <t>Bulgaria</t>
  </si>
  <si>
    <t>Croatia</t>
  </si>
  <si>
    <t>Czech Republic</t>
  </si>
  <si>
    <t>UK</t>
  </si>
  <si>
    <t>Brasil</t>
  </si>
  <si>
    <t xml:space="preserve">Maglietta </t>
  </si>
  <si>
    <t xml:space="preserve">New Business </t>
  </si>
  <si>
    <t>Existing</t>
  </si>
  <si>
    <t>License/Upgrade</t>
  </si>
  <si>
    <t>TOTAL</t>
  </si>
  <si>
    <t>Royal Thai Army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</si>
</sst>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[$-409]mmm\-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5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1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/>
  </cellStyleXfs>
  <cellXfs count="157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164" fontId="21" fillId="2" borderId="0" xfId="1" applyNumberFormat="1" applyFont="1" applyFill="1"/>
    <xf numFmtId="164" fontId="22" fillId="2" borderId="0" xfId="1" applyNumberFormat="1" applyFont="1" applyFill="1"/>
    <xf numFmtId="0" fontId="2" fillId="2" borderId="0" xfId="0" applyFont="1" applyFill="1" applyBorder="1" applyAlignment="1"/>
    <xf numFmtId="164" fontId="19" fillId="3" borderId="0" xfId="7" applyNumberFormat="1" applyFont="1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164" fontId="21" fillId="2" borderId="11" xfId="0" applyNumberFormat="1" applyFont="1" applyFill="1" applyBorder="1"/>
    <xf numFmtId="164" fontId="21" fillId="2" borderId="12" xfId="0" applyNumberFormat="1" applyFont="1" applyFill="1" applyBorder="1"/>
    <xf numFmtId="0" fontId="3" fillId="6" borderId="13" xfId="0" applyFont="1" applyFill="1" applyBorder="1" applyAlignment="1"/>
    <xf numFmtId="0" fontId="2" fillId="7" borderId="13" xfId="0" applyFont="1" applyFill="1" applyBorder="1" applyAlignment="1"/>
    <xf numFmtId="0" fontId="2" fillId="8" borderId="13" xfId="0" applyFont="1" applyFill="1" applyBorder="1" applyAlignment="1"/>
    <xf numFmtId="0" fontId="2" fillId="6" borderId="13" xfId="0" applyFont="1" applyFill="1" applyBorder="1" applyAlignment="1"/>
    <xf numFmtId="0" fontId="2" fillId="0" borderId="13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64" fontId="2" fillId="2" borderId="0" xfId="1" applyNumberFormat="1" applyFont="1" applyFill="1" applyBorder="1" applyAlignment="1"/>
    <xf numFmtId="0" fontId="3" fillId="2" borderId="0" xfId="0" applyFont="1" applyFill="1" applyBorder="1" applyAlignment="1"/>
    <xf numFmtId="0" fontId="20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25" fillId="2" borderId="0" xfId="3" applyFont="1" applyFill="1" applyBorder="1" applyAlignment="1"/>
    <xf numFmtId="0" fontId="4" fillId="2" borderId="0" xfId="4" applyFont="1" applyFill="1" applyBorder="1" applyAlignment="1"/>
    <xf numFmtId="0" fontId="11" fillId="2" borderId="0" xfId="5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5" fontId="2" fillId="2" borderId="0" xfId="4" quotePrefix="1" applyNumberFormat="1" applyFont="1" applyFill="1" applyBorder="1" applyAlignment="1">
      <alignment horizontal="center"/>
    </xf>
    <xf numFmtId="166" fontId="25" fillId="2" borderId="0" xfId="1" applyNumberFormat="1" applyFont="1" applyFill="1" applyBorder="1" applyAlignment="1"/>
    <xf numFmtId="164" fontId="4" fillId="2" borderId="0" xfId="1" applyNumberFormat="1" applyFont="1" applyFill="1" applyBorder="1" applyAlignment="1"/>
    <xf numFmtId="164" fontId="12" fillId="2" borderId="0" xfId="0" applyNumberFormat="1" applyFont="1" applyFill="1" applyBorder="1" applyAlignment="1"/>
    <xf numFmtId="164" fontId="4" fillId="2" borderId="0" xfId="0" applyNumberFormat="1" applyFont="1" applyFill="1" applyBorder="1" applyAlignment="1"/>
    <xf numFmtId="164" fontId="24" fillId="2" borderId="0" xfId="0" applyNumberFormat="1" applyFont="1" applyFill="1" applyBorder="1" applyAlignment="1"/>
    <xf numFmtId="164" fontId="30" fillId="5" borderId="4" xfId="0" applyNumberFormat="1" applyFont="1" applyFill="1" applyBorder="1" applyAlignment="1"/>
    <xf numFmtId="164" fontId="30" fillId="5" borderId="0" xfId="0" applyNumberFormat="1" applyFont="1" applyFill="1" applyBorder="1" applyAlignment="1"/>
    <xf numFmtId="164" fontId="30" fillId="5" borderId="5" xfId="0" applyNumberFormat="1" applyFont="1" applyFill="1" applyBorder="1" applyAlignment="1"/>
    <xf numFmtId="164" fontId="12" fillId="4" borderId="0" xfId="1" quotePrefix="1" applyNumberFormat="1" applyFont="1" applyFill="1" applyBorder="1" applyAlignment="1">
      <alignment horizontal="center"/>
    </xf>
    <xf numFmtId="164" fontId="24" fillId="4" borderId="0" xfId="1" quotePrefix="1" applyNumberFormat="1" applyFont="1" applyFill="1" applyBorder="1" applyAlignment="1">
      <alignment horizontal="center"/>
    </xf>
    <xf numFmtId="164" fontId="3" fillId="4" borderId="5" xfId="1" applyNumberFormat="1" applyFont="1" applyFill="1" applyBorder="1" applyAlignment="1">
      <alignment horizontal="center"/>
    </xf>
    <xf numFmtId="164" fontId="4" fillId="0" borderId="15" xfId="1" quotePrefix="1" applyNumberFormat="1" applyFont="1" applyFill="1" applyBorder="1" applyAlignment="1">
      <alignment horizontal="center"/>
    </xf>
    <xf numFmtId="164" fontId="4" fillId="2" borderId="0" xfId="1" quotePrefix="1" applyNumberFormat="1" applyFont="1" applyFill="1" applyBorder="1" applyAlignment="1">
      <alignment horizontal="center"/>
    </xf>
    <xf numFmtId="164" fontId="4" fillId="2" borderId="5" xfId="1" quotePrefix="1" applyNumberFormat="1" applyFont="1" applyFill="1" applyBorder="1" applyAlignment="1">
      <alignment horizontal="center"/>
    </xf>
    <xf numFmtId="164" fontId="4" fillId="2" borderId="15" xfId="1" quotePrefix="1" applyNumberFormat="1" applyFont="1" applyFill="1" applyBorder="1" applyAlignment="1">
      <alignment horizontal="center"/>
    </xf>
    <xf numFmtId="164" fontId="2" fillId="2" borderId="0" xfId="1" quotePrefix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2" fillId="2" borderId="5" xfId="1" quotePrefix="1" applyNumberFormat="1" applyFont="1" applyFill="1" applyBorder="1" applyAlignment="1">
      <alignment horizontal="center"/>
    </xf>
    <xf numFmtId="164" fontId="13" fillId="2" borderId="0" xfId="1" quotePrefix="1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0" fontId="15" fillId="2" borderId="0" xfId="6" applyFont="1" applyFill="1" applyBorder="1" applyAlignment="1"/>
    <xf numFmtId="164" fontId="25" fillId="2" borderId="0" xfId="1" applyNumberFormat="1" applyFont="1" applyFill="1" applyBorder="1" applyAlignment="1"/>
    <xf numFmtId="166" fontId="4" fillId="2" borderId="0" xfId="1" applyNumberFormat="1" applyFont="1" applyFill="1" applyBorder="1" applyAlignment="1"/>
    <xf numFmtId="164" fontId="24" fillId="4" borderId="5" xfId="1" applyNumberFormat="1" applyFont="1" applyFill="1" applyBorder="1" applyAlignment="1">
      <alignment horizontal="center"/>
    </xf>
    <xf numFmtId="164" fontId="25" fillId="2" borderId="5" xfId="1" applyNumberFormat="1" applyFont="1" applyFill="1" applyBorder="1" applyAlignment="1">
      <alignment horizontal="center"/>
    </xf>
    <xf numFmtId="0" fontId="26" fillId="2" borderId="0" xfId="3" applyFont="1" applyFill="1" applyBorder="1" applyAlignment="1"/>
    <xf numFmtId="0" fontId="26" fillId="2" borderId="0" xfId="3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/>
    </xf>
    <xf numFmtId="164" fontId="4" fillId="4" borderId="0" xfId="1" quotePrefix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164" fontId="24" fillId="4" borderId="0" xfId="1" applyNumberFormat="1" applyFont="1" applyFill="1" applyBorder="1" applyAlignment="1">
      <alignment horizontal="center"/>
    </xf>
    <xf numFmtId="0" fontId="4" fillId="2" borderId="0" xfId="3" applyFont="1" applyFill="1" applyBorder="1" applyAlignment="1"/>
    <xf numFmtId="0" fontId="25" fillId="2" borderId="0" xfId="3" applyFont="1" applyFill="1" applyBorder="1" applyAlignment="1">
      <alignment vertical="center"/>
    </xf>
    <xf numFmtId="164" fontId="4" fillId="4" borderId="5" xfId="1" applyNumberFormat="1" applyFont="1" applyFill="1" applyBorder="1" applyAlignment="1">
      <alignment horizontal="center"/>
    </xf>
    <xf numFmtId="164" fontId="3" fillId="2" borderId="0" xfId="1" quotePrefix="1" applyNumberFormat="1" applyFont="1" applyFill="1" applyBorder="1" applyAlignment="1">
      <alignment horizontal="center"/>
    </xf>
    <xf numFmtId="0" fontId="3" fillId="2" borderId="0" xfId="4" applyFont="1" applyFill="1" applyBorder="1" applyAlignment="1"/>
    <xf numFmtId="164" fontId="32" fillId="2" borderId="5" xfId="1" applyNumberFormat="1" applyFont="1" applyFill="1" applyBorder="1" applyAlignment="1">
      <alignment horizontal="center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164" fontId="24" fillId="2" borderId="0" xfId="1" applyNumberFormat="1" applyFont="1" applyFill="1" applyBorder="1" applyAlignment="1">
      <alignment horizontal="center"/>
    </xf>
    <xf numFmtId="0" fontId="25" fillId="2" borderId="0" xfId="4" applyFont="1" applyFill="1" applyBorder="1" applyAlignment="1"/>
    <xf numFmtId="0" fontId="25" fillId="2" borderId="0" xfId="4" applyFont="1" applyFill="1" applyBorder="1" applyAlignment="1">
      <alignment vertical="center"/>
    </xf>
    <xf numFmtId="0" fontId="16" fillId="2" borderId="0" xfId="4" applyFont="1" applyFill="1" applyBorder="1" applyAlignment="1"/>
    <xf numFmtId="0" fontId="4" fillId="2" borderId="0" xfId="6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0" fontId="26" fillId="2" borderId="0" xfId="4" applyFont="1" applyFill="1" applyBorder="1" applyAlignment="1"/>
    <xf numFmtId="0" fontId="26" fillId="2" borderId="0" xfId="4" applyFont="1" applyFill="1" applyBorder="1" applyAlignment="1">
      <alignment vertical="center"/>
    </xf>
    <xf numFmtId="164" fontId="30" fillId="5" borderId="0" xfId="1" quotePrefix="1" applyNumberFormat="1" applyFont="1" applyFill="1" applyBorder="1" applyAlignment="1">
      <alignment horizontal="center"/>
    </xf>
    <xf numFmtId="164" fontId="30" fillId="5" borderId="5" xfId="1" quotePrefix="1" applyNumberFormat="1" applyFont="1" applyFill="1" applyBorder="1" applyAlignment="1">
      <alignment horizontal="center"/>
    </xf>
    <xf numFmtId="164" fontId="3" fillId="4" borderId="5" xfId="1" quotePrefix="1" applyNumberFormat="1" applyFont="1" applyFill="1" applyBorder="1" applyAlignment="1">
      <alignment horizontal="center"/>
    </xf>
    <xf numFmtId="0" fontId="3" fillId="2" borderId="0" xfId="3" applyFont="1" applyFill="1" applyBorder="1" applyAlignment="1"/>
    <xf numFmtId="164" fontId="4" fillId="4" borderId="5" xfId="1" quotePrefix="1" applyNumberFormat="1" applyFont="1" applyFill="1" applyBorder="1" applyAlignment="1">
      <alignment horizontal="center"/>
    </xf>
    <xf numFmtId="166" fontId="25" fillId="2" borderId="0" xfId="1" applyNumberFormat="1" applyFont="1" applyFill="1" applyBorder="1" applyAlignment="1">
      <alignment horizontal="right"/>
    </xf>
    <xf numFmtId="164" fontId="31" fillId="5" borderId="0" xfId="1" quotePrefix="1" applyNumberFormat="1" applyFont="1" applyFill="1" applyBorder="1" applyAlignment="1">
      <alignment horizontal="center"/>
    </xf>
    <xf numFmtId="164" fontId="31" fillId="5" borderId="5" xfId="1" quotePrefix="1" applyNumberFormat="1" applyFont="1" applyFill="1" applyBorder="1" applyAlignment="1">
      <alignment horizontal="center"/>
    </xf>
    <xf numFmtId="0" fontId="27" fillId="2" borderId="0" xfId="0" applyFont="1" applyFill="1" applyBorder="1" applyAlignment="1"/>
    <xf numFmtId="1" fontId="2" fillId="2" borderId="0" xfId="4" quotePrefix="1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/>
    <xf numFmtId="164" fontId="31" fillId="5" borderId="0" xfId="0" applyNumberFormat="1" applyFont="1" applyFill="1" applyBorder="1" applyAlignment="1"/>
    <xf numFmtId="164" fontId="16" fillId="4" borderId="0" xfId="1" quotePrefix="1" applyNumberFormat="1" applyFont="1" applyFill="1" applyBorder="1" applyAlignment="1">
      <alignment horizontal="center"/>
    </xf>
    <xf numFmtId="164" fontId="16" fillId="4" borderId="5" xfId="1" quotePrefix="1" applyNumberFormat="1" applyFont="1" applyFill="1" applyBorder="1" applyAlignment="1">
      <alignment horizontal="center"/>
    </xf>
    <xf numFmtId="164" fontId="20" fillId="0" borderId="15" xfId="1" quotePrefix="1" applyNumberFormat="1" applyFont="1" applyFill="1" applyBorder="1" applyAlignment="1">
      <alignment horizontal="center"/>
    </xf>
    <xf numFmtId="164" fontId="20" fillId="2" borderId="0" xfId="1" quotePrefix="1" applyNumberFormat="1" applyFont="1" applyFill="1" applyBorder="1" applyAlignment="1">
      <alignment horizontal="center"/>
    </xf>
    <xf numFmtId="164" fontId="12" fillId="2" borderId="7" xfId="1" quotePrefix="1" applyNumberFormat="1" applyFont="1" applyFill="1" applyBorder="1" applyAlignment="1">
      <alignment horizontal="center"/>
    </xf>
    <xf numFmtId="164" fontId="12" fillId="2" borderId="6" xfId="1" quotePrefix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/>
    <xf numFmtId="164" fontId="5" fillId="2" borderId="0" xfId="0" applyNumberFormat="1" applyFont="1" applyFill="1" applyBorder="1" applyAlignment="1"/>
    <xf numFmtId="9" fontId="2" fillId="2" borderId="0" xfId="2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/>
    <xf numFmtId="165" fontId="4" fillId="2" borderId="0" xfId="4" quotePrefix="1" applyNumberFormat="1" applyFont="1" applyFill="1" applyBorder="1" applyAlignment="1">
      <alignment horizontal="center"/>
    </xf>
    <xf numFmtId="164" fontId="12" fillId="2" borderId="8" xfId="1" quotePrefix="1" applyNumberFormat="1" applyFont="1" applyFill="1" applyBorder="1" applyAlignment="1">
      <alignment horizontal="center" vertical="center"/>
    </xf>
    <xf numFmtId="164" fontId="12" fillId="2" borderId="9" xfId="1" quotePrefix="1" applyNumberFormat="1" applyFont="1" applyFill="1" applyBorder="1" applyAlignment="1">
      <alignment horizontal="center" vertical="center"/>
    </xf>
    <xf numFmtId="164" fontId="12" fillId="2" borderId="10" xfId="1" quotePrefix="1" applyNumberFormat="1" applyFont="1" applyFill="1" applyBorder="1" applyAlignment="1">
      <alignment horizontal="center" vertical="center"/>
    </xf>
    <xf numFmtId="164" fontId="12" fillId="2" borderId="9" xfId="1" quotePrefix="1" applyNumberFormat="1" applyFont="1" applyFill="1" applyBorder="1" applyAlignment="1">
      <alignment horizontal="center"/>
    </xf>
    <xf numFmtId="164" fontId="12" fillId="2" borderId="10" xfId="1" quotePrefix="1" applyNumberFormat="1" applyFont="1" applyFill="1" applyBorder="1" applyAlignment="1">
      <alignment horizontal="center"/>
    </xf>
    <xf numFmtId="164" fontId="12" fillId="2" borderId="8" xfId="1" quotePrefix="1" applyNumberFormat="1" applyFont="1" applyFill="1" applyBorder="1" applyAlignment="1">
      <alignment horizontal="center"/>
    </xf>
    <xf numFmtId="164" fontId="12" fillId="2" borderId="16" xfId="1" quotePrefix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/>
    <xf numFmtId="166" fontId="2" fillId="2" borderId="0" xfId="4" quotePrefix="1" applyNumberFormat="1" applyFont="1" applyFill="1" applyBorder="1" applyAlignment="1">
      <alignment horizontal="center"/>
    </xf>
    <xf numFmtId="0" fontId="2" fillId="3" borderId="13" xfId="0" applyFont="1" applyFill="1" applyBorder="1" applyAlignment="1"/>
    <xf numFmtId="0" fontId="33" fillId="2" borderId="0" xfId="0" applyFont="1" applyFill="1" applyBorder="1" applyAlignment="1"/>
    <xf numFmtId="0" fontId="16" fillId="2" borderId="0" xfId="3" applyFont="1" applyFill="1" applyBorder="1" applyAlignment="1">
      <alignment wrapText="1"/>
    </xf>
    <xf numFmtId="164" fontId="12" fillId="2" borderId="0" xfId="1" quotePrefix="1" applyNumberFormat="1" applyFont="1" applyFill="1" applyBorder="1" applyAlignment="1">
      <alignment horizontal="center" vertical="center"/>
    </xf>
    <xf numFmtId="164" fontId="12" fillId="2" borderId="0" xfId="1" quotePrefix="1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/>
    <xf numFmtId="164" fontId="5" fillId="2" borderId="23" xfId="0" applyNumberFormat="1" applyFont="1" applyFill="1" applyBorder="1" applyAlignment="1"/>
    <xf numFmtId="164" fontId="5" fillId="2" borderId="24" xfId="0" applyNumberFormat="1" applyFont="1" applyFill="1" applyBorder="1" applyAlignment="1"/>
    <xf numFmtId="0" fontId="2" fillId="2" borderId="24" xfId="0" applyFont="1" applyFill="1" applyBorder="1" applyAlignment="1"/>
    <xf numFmtId="164" fontId="33" fillId="2" borderId="17" xfId="0" applyNumberFormat="1" applyFont="1" applyFill="1" applyBorder="1" applyAlignment="1"/>
    <xf numFmtId="164" fontId="5" fillId="2" borderId="17" xfId="0" applyNumberFormat="1" applyFont="1" applyFill="1" applyBorder="1" applyAlignment="1"/>
    <xf numFmtId="164" fontId="5" fillId="2" borderId="18" xfId="0" applyNumberFormat="1" applyFont="1" applyFill="1" applyBorder="1" applyAlignment="1"/>
    <xf numFmtId="164" fontId="5" fillId="2" borderId="19" xfId="0" applyNumberFormat="1" applyFont="1" applyFill="1" applyBorder="1" applyAlignment="1"/>
    <xf numFmtId="164" fontId="33" fillId="2" borderId="22" xfId="0" applyNumberFormat="1" applyFont="1" applyFill="1" applyBorder="1" applyAlignment="1"/>
    <xf numFmtId="0" fontId="5" fillId="2" borderId="8" xfId="0" applyFont="1" applyFill="1" applyBorder="1" applyAlignment="1"/>
    <xf numFmtId="164" fontId="5" fillId="2" borderId="10" xfId="0" applyNumberFormat="1" applyFont="1" applyFill="1" applyBorder="1" applyAlignment="1"/>
    <xf numFmtId="164" fontId="3" fillId="2" borderId="0" xfId="1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33">
    <cellStyle name="Comma" xfId="1" builtinId="3"/>
    <cellStyle name="Comma 2" xfId="7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5" builtinId="8"/>
    <cellStyle name="Migliaia 2" xfId="8"/>
    <cellStyle name="Migliaia 3" xfId="9"/>
    <cellStyle name="Normal" xfId="0" builtinId="0"/>
    <cellStyle name="Normal 2" xfId="3"/>
    <cellStyle name="Normal_Fatturato Offensiva 2008-2012" xfId="4"/>
    <cellStyle name="Normale 2" xfId="6"/>
    <cellStyle name="Normale 3" xfId="10"/>
    <cellStyle name="Normale_Elenco Fatture" xfId="32"/>
    <cellStyle name="Percent" xfId="2" builtinId="5"/>
    <cellStyle name="Percentuale 2" xfId="11"/>
  </cellStyles>
  <dxfs count="3"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iancarlo\AppData\Local\Temp\Client%20Overview_list_2015013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1786.639996180558" createdVersion="4" refreshedVersion="4" minRefreshableVersion="3" recordCount="54">
  <cacheSource type="worksheet">
    <worksheetSource ref="B3:O57" sheet="Customers 2014 Split" r:id="rId2"/>
  </cacheSource>
  <cacheFields count="14">
    <cacheField name="#" numFmtId="0">
      <sharedItems containsSemiMixedTypes="0" containsString="0" containsNumber="1" containsInteger="1" minValue="1" maxValue="61" count="54">
        <n v="1"/>
        <n v="2"/>
        <n v="3"/>
        <n v="4"/>
        <n v="6"/>
        <n v="8"/>
        <n v="9"/>
        <n v="10"/>
        <n v="11"/>
        <n v="13"/>
        <n v="14"/>
        <n v="15"/>
        <n v="16"/>
        <n v="19"/>
        <n v="20"/>
        <n v="21"/>
        <n v="22"/>
        <n v="23"/>
        <n v="24"/>
        <n v="25"/>
        <n v="26"/>
        <n v="27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</sharedItems>
    </cacheField>
    <cacheField name="Customer" numFmtId="0">
      <sharedItems/>
    </cacheField>
    <cacheField name="Country" numFmtId="0">
      <sharedItems count="33">
        <s v="Italy"/>
        <s v="Spain"/>
        <s v="Singapore"/>
        <s v="Hungary"/>
        <s v="Morocco"/>
        <s v="Malaysia"/>
        <s v="Saudi"/>
        <s v="Luxemburg"/>
        <s v="Mexico"/>
        <s v="Czech Rep. "/>
        <s v="Egypt"/>
        <s v="USA"/>
        <s v="Oman"/>
        <s v="Panama"/>
        <s v="Turkey"/>
        <s v="UAE"/>
        <s v="Uzbekistan"/>
        <s v="Nigeria"/>
        <s v="Ethiopia"/>
        <s v="Sudan"/>
        <s v="Russia"/>
        <s v="Kazakistan"/>
        <s v="S. Korea"/>
        <s v="Poland"/>
        <s v="Adjerbaijan NSS"/>
        <s v="Mongolia"/>
        <s v="Thailand"/>
        <s v="Ecuador"/>
        <s v="Colombia"/>
        <s v="Cyprus"/>
        <s v="Bahrein"/>
        <s v="Mexico "/>
        <s v="Honduras"/>
      </sharedItems>
    </cacheField>
    <cacheField name="KAM" numFmtId="0">
      <sharedItems/>
    </cacheField>
    <cacheField name="Mail Contact" numFmtId="0">
      <sharedItems containsBlank="1"/>
    </cacheField>
    <cacheField name="Mail Contact 2" numFmtId="0">
      <sharedItems containsBlank="1"/>
    </cacheField>
    <cacheField name="Code" numFmtId="0">
      <sharedItems containsBlank="1"/>
    </cacheField>
    <cacheField name="Area" numFmtId="0">
      <sharedItems count="5">
        <s v="Europe"/>
        <s v="APAC"/>
        <s v="MEA"/>
        <s v="LATAM"/>
        <s v="North America"/>
      </sharedItems>
    </cacheField>
    <cacheField name="Agency" numFmtId="0">
      <sharedItems containsBlank="1"/>
    </cacheField>
    <cacheField name="Channel or Direct" numFmtId="0">
      <sharedItems containsBlank="1"/>
    </cacheField>
    <cacheField name="Partner  / Fulfillment Vehicle" numFmtId="0">
      <sharedItems containsBlank="1"/>
    </cacheField>
    <cacheField name="Total # Targets" numFmtId="0">
      <sharedItems containsBlank="1" containsMixedTypes="1" containsNumber="1" containsInteger="1" minValue="5" maxValue="2000"/>
    </cacheField>
    <cacheField name="Year Bought First RCS" numFmtId="165">
      <sharedItems/>
    </cacheField>
    <cacheField name="Total _x000a_Client Revenues" numFmtId="164">
      <sharedItems containsSemiMixedTypes="0" containsString="0" containsNumber="1" minValue="0" maxValue="179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olizia Postale"/>
    <x v="0"/>
    <s v="Bettini"/>
    <s v="simone.tacconi@interno.it"/>
    <m/>
    <s v="PP"/>
    <x v="0"/>
    <s v="LEA"/>
    <s v="Direct"/>
    <s v="-"/>
    <s v="unlimited"/>
    <s v="2004"/>
    <n v="800166.2"/>
  </r>
  <r>
    <x v="1"/>
    <s v="CNI"/>
    <x v="1"/>
    <s v="Bettini"/>
    <s v="netsec@areatec.com"/>
    <m/>
    <s v="CNI / CNI-old, Prod, Test"/>
    <x v="0"/>
    <s v="Intelligence"/>
    <s v="Direct"/>
    <s v="-"/>
    <s v="unlimited"/>
    <s v="2006"/>
    <n v="538000"/>
  </r>
  <r>
    <x v="2"/>
    <s v="IDA SGP"/>
    <x v="2"/>
    <s v="Maglietta"/>
    <s v="angsk@pcs-security.com"/>
    <s v="stewart_yong@pcs-security.com"/>
    <s v="IDA"/>
    <x v="1"/>
    <s v="Intelligence"/>
    <s v="Direct "/>
    <s v="PCS"/>
    <s v="unlimited"/>
    <s v="2008"/>
    <n v="1107800.3333333333"/>
  </r>
  <r>
    <x v="3"/>
    <s v="Information Office"/>
    <x v="3"/>
    <s v="Luppi"/>
    <s v="dankovicsjanos@gmail.com"/>
    <m/>
    <s v="MKIH"/>
    <x v="0"/>
    <s v="Intelligence"/>
    <s v="Direct"/>
    <s v="-"/>
    <n v="50"/>
    <s v="2008"/>
    <n v="794000"/>
  </r>
  <r>
    <x v="4"/>
    <s v="CSDN"/>
    <x v="4"/>
    <s v="Maanna"/>
    <s v="Adib_samir@hotmail.com"/>
    <s v="tskalli@hotmail.com"/>
    <s v="CSDN"/>
    <x v="2"/>
    <s v="Intelligence"/>
    <s v="Direct"/>
    <s v="Al Fahad "/>
    <n v="300"/>
    <s v="2009"/>
    <n v="1796050"/>
  </r>
  <r>
    <x v="5"/>
    <s v="Italy - DA - Rental"/>
    <x v="0"/>
    <s v="Bettini"/>
    <s v="macsalva@tin.it"/>
    <m/>
    <s v="CSH"/>
    <x v="0"/>
    <s v="Other"/>
    <s v="Direct"/>
    <s v="C.S.H."/>
    <n v="80"/>
    <s v="2009"/>
    <n v="543250"/>
  </r>
  <r>
    <x v="6"/>
    <s v="MACC"/>
    <x v="5"/>
    <s v="Maglietta"/>
    <s v="zuriana@miliserv.com.my"/>
    <s v="kamarulzamani@miliserv.com"/>
    <s v="MACC"/>
    <x v="1"/>
    <s v="Intelligence"/>
    <s v="Channel "/>
    <s v="Miliserv"/>
    <n v="30"/>
    <s v="2009"/>
    <n v="579123"/>
  </r>
  <r>
    <x v="7"/>
    <s v="PCM"/>
    <x v="0"/>
    <s v="Bettini"/>
    <s v="mauro.sorrento@gmail.it"/>
    <m/>
    <s v="PCIT"/>
    <x v="0"/>
    <s v="Intelligence"/>
    <s v="Direct "/>
    <s v="-"/>
    <s v="unlimited (partially)"/>
    <s v="2009"/>
    <n v="661175.48"/>
  </r>
  <r>
    <x v="8"/>
    <s v="SSNS - Ungheria"/>
    <x v="3"/>
    <s v="Luppi"/>
    <s v="balogh.peter@nbsz.gov.hu"/>
    <m/>
    <s v="SSNS"/>
    <x v="0"/>
    <s v="Intelligence"/>
    <s v="Direct "/>
    <s v="-"/>
    <n v="50"/>
    <s v="2009"/>
    <n v="947000"/>
  </r>
  <r>
    <x v="9"/>
    <s v="CC - Italy"/>
    <x v="0"/>
    <s v="Bettini"/>
    <s v="gabrieliraf@gmail.com"/>
    <s v="andrea.raffaelli@carabinieri.it"/>
    <s v="ROS"/>
    <x v="0"/>
    <s v="LEA"/>
    <s v="Direct"/>
    <s v="-"/>
    <n v="20"/>
    <s v="2010"/>
    <n v="437271.68"/>
  </r>
  <r>
    <x v="10"/>
    <s v="GIP Saudi"/>
    <x v="6"/>
    <s v="Maanna"/>
    <s v="albwardy@gmail.com"/>
    <m/>
    <s v="GIP"/>
    <x v="2"/>
    <s v="Intelligence"/>
    <s v="Direct "/>
    <s v="AECOM/Net. Rev."/>
    <n v="50"/>
    <s v="2010"/>
    <n v="570000"/>
  </r>
  <r>
    <x v="11"/>
    <s v="IR Authorities (Condor)"/>
    <x v="7"/>
    <s v="Bettini"/>
    <s v="sith@lea-consult.de"/>
    <m/>
    <s v="INTECH-CONDOR"/>
    <x v="0"/>
    <s v="Other"/>
    <s v="Channel"/>
    <s v="Intech"/>
    <n v="20"/>
    <s v="2010"/>
    <n v="408000"/>
  </r>
  <r>
    <x v="12"/>
    <s v="La Dependencia y/o Cisen"/>
    <x v="8"/>
    <s v="Velasco"/>
    <s v="areyes@entermas.net"/>
    <s v="rvillegas@entermas.net"/>
    <s v="SEGOB"/>
    <x v="3"/>
    <s v="Intelligence"/>
    <s v="Direct "/>
    <s v="-"/>
    <n v="140"/>
    <s v="2010"/>
    <n v="1185000"/>
  </r>
  <r>
    <x v="13"/>
    <s v="UZC "/>
    <x v="9"/>
    <s v="Luppi"/>
    <s v="Tomas.Hlavsa@bull.cz"/>
    <m/>
    <s v="UZC"/>
    <x v="0"/>
    <s v="LEA"/>
    <s v="Channel "/>
    <s v="Bull"/>
    <n v="25"/>
    <s v="2010"/>
    <n v="569879"/>
  </r>
  <r>
    <x v="14"/>
    <s v="Egypt - MOD"/>
    <x v="10"/>
    <s v="Maanna"/>
    <s v="Mohamed.Moniem@gnsegroup.com"/>
    <m/>
    <s v="GNSE"/>
    <x v="2"/>
    <s v="Other"/>
    <s v="Channel "/>
    <s v="GNSE Egypt"/>
    <n v="20"/>
    <s v="2011"/>
    <n v="468000"/>
  </r>
  <r>
    <x v="15"/>
    <s v="FBI"/>
    <x v="11"/>
    <s v="Velasco"/>
    <s v="one.lal2010@gmail.com"/>
    <m/>
    <s v="PHOEBE 1phoebe-01, -02, -03, Test"/>
    <x v="4"/>
    <s v="LEA"/>
    <s v="Channel "/>
    <s v="CICOM USA "/>
    <n v="35"/>
    <s v="2011"/>
    <n v="578000"/>
  </r>
  <r>
    <x v="16"/>
    <s v="Oman - Intelligence"/>
    <x v="12"/>
    <s v="Maanna"/>
    <s v="almuatasim.albahri@gmail.com"/>
    <m/>
    <s v="ORF"/>
    <x v="2"/>
    <s v="Intelligence"/>
    <s v="Direct "/>
    <s v="Excellence Tech"/>
    <n v="20"/>
    <s v="2011"/>
    <n v="400000"/>
  </r>
  <r>
    <x v="17"/>
    <s v="President Security "/>
    <x v="13"/>
    <s v="Velasco"/>
    <s v="hardila@robotec.com"/>
    <s v="teofilo@solucionesdetecnologia.com"/>
    <s v="PANP"/>
    <x v="3"/>
    <s v="Intelligence"/>
    <s v="Channel "/>
    <s v="Robotec / Theola"/>
    <n v="40"/>
    <s v="2011"/>
    <n v="750000"/>
  </r>
  <r>
    <x v="18"/>
    <s v="Turkish National Police"/>
    <x v="14"/>
    <s v="Maanna"/>
    <s v="akocak005@gmail.com"/>
    <m/>
    <s v="TNP"/>
    <x v="0"/>
    <s v="LEA"/>
    <s v="Direct "/>
    <s v="-"/>
    <n v="50"/>
    <s v="2011"/>
    <n v="440000"/>
  </r>
  <r>
    <x v="19"/>
    <s v="UAE - MOI"/>
    <x v="15"/>
    <s v="Luppi"/>
    <s v="mbaier@cyberpointllc.com"/>
    <m/>
    <s v="MOI"/>
    <x v="2"/>
    <s v="LEA"/>
    <s v="Channel"/>
    <s v="Cyberpoint International"/>
    <n v="15"/>
    <s v="2011"/>
    <n v="634500"/>
  </r>
  <r>
    <x v="20"/>
    <s v="NSS"/>
    <x v="16"/>
    <s v="Luppi"/>
    <s v="i.eugene@itt.uz"/>
    <s v="dbi@itt.uz"/>
    <s v="NSS"/>
    <x v="1"/>
    <s v="Intelligence"/>
    <s v="Channel - NICE"/>
    <s v="NICE "/>
    <n v="25"/>
    <s v="2011"/>
    <n v="486800"/>
  </r>
  <r>
    <x v="21"/>
    <s v="DOD"/>
    <x v="11"/>
    <s v="Velasco"/>
    <m/>
    <m/>
    <s v="DOD"/>
    <x v="4"/>
    <s v="LEA"/>
    <s v="Channel "/>
    <s v="CICOM USA "/>
    <n v="10"/>
    <s v="2011"/>
    <n v="190000"/>
  </r>
  <r>
    <x v="22"/>
    <s v="Bayelsa State Government"/>
    <x v="17"/>
    <s v="Luppi"/>
    <s v="thorbruegge@yahoo.com"/>
    <s v="hanan@skylinksltd.com"/>
    <s v="BSGO"/>
    <x v="2"/>
    <s v="Intelligence"/>
    <s v="Channel - NICE"/>
    <s v="V&amp;V Nigeria"/>
    <n v="10"/>
    <s v="2012"/>
    <n v="450000"/>
  </r>
  <r>
    <x v="23"/>
    <s v="Estado del Mexico"/>
    <x v="8"/>
    <s v="Velasco"/>
    <m/>
    <m/>
    <s v="PGJ MEX"/>
    <x v="3"/>
    <s v="LEA"/>
    <s v="Channel "/>
    <s v="DTXT"/>
    <n v="100"/>
    <s v="2012"/>
    <n v="783000"/>
  </r>
  <r>
    <x v="24"/>
    <s v="Information Network Security Agency"/>
    <x v="18"/>
    <s v="Luppi"/>
    <s v="biniamtewolde@yahoo.com"/>
    <m/>
    <s v="INSA"/>
    <x v="2"/>
    <s v="Intelligence"/>
    <s v="Channel - NICE"/>
    <s v="NICE "/>
    <n v="150"/>
    <s v="2012"/>
    <n v="710000"/>
  </r>
  <r>
    <x v="25"/>
    <s v="State security (Falcon)"/>
    <x v="7"/>
    <s v="Bettini"/>
    <s v="sith@lea-consult.de"/>
    <m/>
    <s v="INTECH-FALCON"/>
    <x v="0"/>
    <s v="Other"/>
    <s v="Channel"/>
    <s v="Intech"/>
    <n v="5"/>
    <s v="2012"/>
    <n v="227999.66666666666"/>
  </r>
  <r>
    <x v="26"/>
    <s v="Italy - DA - Rental"/>
    <x v="0"/>
    <s v="Bettini"/>
    <s v="ferdinando.dalessandro@siospa.it"/>
    <s v="vittorio.nardone@siospa.it"/>
    <s v="SIO"/>
    <x v="0"/>
    <s v="Other"/>
    <s v="Direct"/>
    <s v="SIO SPA"/>
    <n v="30"/>
    <s v="2012"/>
    <n v="443000"/>
  </r>
  <r>
    <x v="27"/>
    <s v="MAL - MI"/>
    <x v="5"/>
    <s v="Maglietta"/>
    <m/>
    <m/>
    <s v="MYMI"/>
    <x v="1"/>
    <s v="Intelligence"/>
    <s v="Channel "/>
    <s v="Charmco"/>
    <n v="25"/>
    <s v="2012"/>
    <n v="460000"/>
  </r>
  <r>
    <x v="28"/>
    <s v="Morocco - DST"/>
    <x v="4"/>
    <s v="Maanna"/>
    <s v="Faical.Tanarhte@fssys.ma"/>
    <m/>
    <s v="AlFahad"/>
    <x v="2"/>
    <s v="Intelligence"/>
    <s v="Channel "/>
    <s v="Al Fahad "/>
    <n v="2000"/>
    <s v="2012"/>
    <n v="1037500"/>
  </r>
  <r>
    <x v="29"/>
    <s v="NISS - National Intelligence and Security Services"/>
    <x v="19"/>
    <s v="Maanna"/>
    <m/>
    <m/>
    <s v="NISS01-02"/>
    <x v="2"/>
    <s v="Intelligence"/>
    <s v="Direct "/>
    <s v="-"/>
    <n v="240"/>
    <s v="2012"/>
    <n v="960000"/>
  </r>
  <r>
    <x v="30"/>
    <s v="Russia - KVANT"/>
    <x v="20"/>
    <s v="Bettini"/>
    <s v="kachalin@advancedmonitoring.ru"/>
    <s v="KachalinAI@infotecs.ru"/>
    <s v="KVANT"/>
    <x v="0"/>
    <s v="Intelligence"/>
    <s v="Channel "/>
    <s v="Infotecs"/>
    <n v="25"/>
    <s v="2012"/>
    <n v="451017"/>
  </r>
  <r>
    <x v="31"/>
    <s v="Saudi  - GID"/>
    <x v="6"/>
    <s v="Maanna"/>
    <m/>
    <m/>
    <s v="TCC-GID"/>
    <x v="2"/>
    <s v="LEA"/>
    <s v="Direct"/>
    <s v="TCC"/>
    <n v="200"/>
    <s v="2012"/>
    <n v="609000"/>
  </r>
  <r>
    <x v="32"/>
    <s v="SIS of NSC"/>
    <x v="21"/>
    <s v="Luppi"/>
    <s v="askar.nurgazinov@gmail.com"/>
    <m/>
    <s v="KNB"/>
    <x v="1"/>
    <s v="Intelligence"/>
    <s v="Direct "/>
    <s v="-"/>
    <n v="110"/>
    <s v="2012"/>
    <n v="793750"/>
  </r>
  <r>
    <x v="33"/>
    <s v="The 5163 Army Division"/>
    <x v="22"/>
    <s v="Maglietta"/>
    <s v="devilangel1004@gmail.com"/>
    <m/>
    <s v="SKA"/>
    <x v="1"/>
    <s v="Other"/>
    <s v="Channel "/>
    <s v="Nanatech"/>
    <n v="20"/>
    <s v="2012"/>
    <n v="540700"/>
  </r>
  <r>
    <x v="34"/>
    <s v="UAE - Intelligence"/>
    <x v="15"/>
    <s v="Maanna"/>
    <m/>
    <m/>
    <s v="UAEAF"/>
    <x v="2"/>
    <s v="Other"/>
    <s v="Direct"/>
    <s v="Mauqah Technology"/>
    <n v="1100"/>
    <s v="2012"/>
    <n v="1112500"/>
  </r>
  <r>
    <x v="35"/>
    <s v="DEA"/>
    <x v="11"/>
    <s v="Velasco"/>
    <m/>
    <m/>
    <s v="KATIE-1"/>
    <x v="4"/>
    <s v="Other"/>
    <s v="Channel "/>
    <s v="CICOM USA "/>
    <n v="10"/>
    <s v="2012"/>
    <n v="475269.02866488107"/>
  </r>
  <r>
    <x v="36"/>
    <s v="CBA Poland"/>
    <x v="23"/>
    <s v="Luppi"/>
    <s v="cba170@cba.gov.pl"/>
    <m/>
    <s v="CBA"/>
    <x v="0"/>
    <s v="LEA"/>
    <s v="Direct"/>
    <s v="-"/>
    <n v="10"/>
    <s v="2012"/>
    <n v="213600"/>
  </r>
  <r>
    <x v="37"/>
    <s v="MOD Saudi"/>
    <x v="6"/>
    <s v="Maanna"/>
    <m/>
    <m/>
    <s v="MOD"/>
    <x v="2"/>
    <s v="Other"/>
    <s v="Direct"/>
    <s v="Al Yamamah Engineering Systems Solutions"/>
    <n v="1000"/>
    <s v="2013"/>
    <n v="1099200"/>
  </r>
  <r>
    <x v="38"/>
    <s v="PMO"/>
    <x v="5"/>
    <s v="Maglietta"/>
    <s v="iskandar9116@gmail.com"/>
    <m/>
    <s v="PMO"/>
    <x v="1"/>
    <s v="Intelligence"/>
    <s v="Channel "/>
    <s v="Miliserv"/>
    <n v="40"/>
    <s v="2013"/>
    <n v="520000"/>
  </r>
  <r>
    <x v="39"/>
    <s v="Estado de Qeretaro"/>
    <x v="8"/>
    <s v="Velasco"/>
    <s v="jaime@tevatec.com"/>
    <s v="edgar@tevatec.com"/>
    <s v="EDQ"/>
    <x v="3"/>
    <s v="LEA"/>
    <s v="Channel "/>
    <s v="TEVA"/>
    <n v="5"/>
    <s v="2013"/>
    <n v="304253.4064197531"/>
  </r>
  <r>
    <x v="40"/>
    <s v="Azerbajan NS"/>
    <x v="24"/>
    <s v="Luppi"/>
    <s v="testwizard003@gmail.com"/>
    <m/>
    <s v="AZSN"/>
    <x v="0"/>
    <s v="Intelligence"/>
    <s v="Channel"/>
    <s v="NICE / Horizon"/>
    <n v="10"/>
    <s v="2013"/>
    <n v="349000"/>
  </r>
  <r>
    <x v="41"/>
    <s v="Governo de Puebla"/>
    <x v="8"/>
    <s v="Velasco"/>
    <s v="soporteuiamx@gmail.com"/>
    <m/>
    <s v="GEDP"/>
    <x v="3"/>
    <s v="Other"/>
    <s v="Channel"/>
    <s v="SYM SERVICIOS INTEGRALES, S.A. DE C.V."/>
    <n v="10"/>
    <s v="2013"/>
    <n v="313301.27"/>
  </r>
  <r>
    <x v="42"/>
    <s v="Governo de Campeche"/>
    <x v="8"/>
    <s v="Velasco"/>
    <s v="comunicacionesmx2013@gmail.com"/>
    <m/>
    <s v="SDUC"/>
    <x v="3"/>
    <s v="Other"/>
    <s v="Channel"/>
    <s v="SYM SERVICIOS INTEGRALES, S.A. DE C.V."/>
    <n v="25"/>
    <s v="2013"/>
    <n v="386296.3"/>
  </r>
  <r>
    <x v="43"/>
    <s v="AC Mongolia"/>
    <x v="25"/>
    <s v="Maglietta"/>
    <s v="ulziibadrakh@iaac.mn khembayar@iaac.mn    "/>
    <s v="     davaa.shurik@gmail.com_x000a_erkhemee.iooii@gmail.com "/>
    <s v="MOACA"/>
    <x v="1"/>
    <s v="Intelligence"/>
    <s v="Direct"/>
    <m/>
    <n v="200"/>
    <s v="2013"/>
    <n v="650000"/>
  </r>
  <r>
    <x v="44"/>
    <s v="Dept. of Correction Thai Police "/>
    <x v="26"/>
    <s v="Maglietta"/>
    <m/>
    <m/>
    <s v="THDOC"/>
    <x v="1"/>
    <s v="LEA"/>
    <s v="Channel"/>
    <s v="NICE / IT Absolute Company Limited"/>
    <n v="25"/>
    <s v="2013"/>
    <n v="286482.27"/>
  </r>
  <r>
    <x v="45"/>
    <s v="SENAIN"/>
    <x v="27"/>
    <s v="Velasco"/>
    <m/>
    <m/>
    <s v="SENAIN"/>
    <x v="3"/>
    <s v="LEA"/>
    <s v="Channel"/>
    <s v="Robotec / Theola"/>
    <n v="10"/>
    <s v="2013"/>
    <n v="460000"/>
  </r>
  <r>
    <x v="46"/>
    <s v="DIPOL"/>
    <x v="28"/>
    <s v="Velasco"/>
    <m/>
    <m/>
    <s v="MDNP"/>
    <x v="3"/>
    <s v="LEA"/>
    <s v="Channel"/>
    <s v="Robotec "/>
    <n v="35"/>
    <s v="2013"/>
    <n v="335000"/>
  </r>
  <r>
    <x v="47"/>
    <s v="Guardia di Finanza"/>
    <x v="0"/>
    <s v="Bettini"/>
    <m/>
    <m/>
    <s v="SCICO"/>
    <x v="0"/>
    <s v="LEA"/>
    <s v="Direct"/>
    <m/>
    <m/>
    <s v="2013"/>
    <n v="400000"/>
  </r>
  <r>
    <x v="48"/>
    <s v="Intelligence "/>
    <x v="29"/>
    <s v="Luppi"/>
    <m/>
    <m/>
    <s v="CIS"/>
    <x v="0"/>
    <s v="LEA"/>
    <s v="Direct"/>
    <m/>
    <n v="5"/>
    <s v="2013"/>
    <n v="255000"/>
  </r>
  <r>
    <x v="49"/>
    <s v="Midworld Barhein"/>
    <x v="30"/>
    <s v="Maanna"/>
    <m/>
    <m/>
    <s v="BHR"/>
    <x v="2"/>
    <s v="Intelligence"/>
    <s v="Channel"/>
    <s v="Midworld pro"/>
    <m/>
    <s v="2013"/>
    <n v="210000"/>
  </r>
  <r>
    <x v="50"/>
    <s v="Mexico - pemx"/>
    <x v="31"/>
    <s v="Velasco"/>
    <m/>
    <m/>
    <m/>
    <x v="3"/>
    <s v="LEA "/>
    <s v="Channel"/>
    <m/>
    <m/>
    <s v="2013"/>
    <n v="321120"/>
  </r>
  <r>
    <x v="51"/>
    <s v="Malysia K"/>
    <x v="5"/>
    <s v="Maglietta"/>
    <m/>
    <m/>
    <m/>
    <x v="1"/>
    <s v="LEA"/>
    <s v="Channel"/>
    <m/>
    <m/>
    <s v="2013"/>
    <n v="0"/>
  </r>
  <r>
    <x v="52"/>
    <s v="Honduras"/>
    <x v="32"/>
    <s v="Luppi"/>
    <m/>
    <m/>
    <m/>
    <x v="3"/>
    <s v="LEA"/>
    <s v="Channel - NICE"/>
    <s v="NICE"/>
    <m/>
    <s v="2014"/>
    <n v="355000"/>
  </r>
  <r>
    <x v="53"/>
    <s v="Mex Taumalipas"/>
    <x v="8"/>
    <s v="Velasco"/>
    <m/>
    <m/>
    <m/>
    <x v="3"/>
    <m/>
    <m/>
    <s v="SYM SERVICIOS INTEGRALES, S.A. DE C.V."/>
    <m/>
    <s v="2014"/>
    <n v="16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>
  <location ref="A3:B9" firstHeaderRow="1" firstDataRow="1" firstDataCol="1"/>
  <pivotFields count="14">
    <pivotField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>
      <items count="34">
        <item x="24"/>
        <item x="30"/>
        <item x="28"/>
        <item x="29"/>
        <item x="9"/>
        <item x="27"/>
        <item x="10"/>
        <item x="18"/>
        <item x="32"/>
        <item x="3"/>
        <item x="0"/>
        <item x="21"/>
        <item x="7"/>
        <item x="5"/>
        <item x="8"/>
        <item x="31"/>
        <item x="25"/>
        <item x="4"/>
        <item x="17"/>
        <item x="12"/>
        <item x="13"/>
        <item x="23"/>
        <item x="20"/>
        <item x="22"/>
        <item x="6"/>
        <item x="2"/>
        <item x="1"/>
        <item x="19"/>
        <item x="26"/>
        <item x="14"/>
        <item x="15"/>
        <item x="11"/>
        <item x="16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64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ctive Customer" fld="1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2"/>
  <sheetViews>
    <sheetView workbookViewId="0">
      <selection activeCell="B4" sqref="B4"/>
    </sheetView>
  </sheetViews>
  <sheetFormatPr defaultColWidth="8.85546875" defaultRowHeight="15"/>
  <cols>
    <col min="1" max="1" width="12.85546875" style="1" customWidth="1"/>
    <col min="2" max="2" width="18.42578125" style="2" customWidth="1"/>
    <col min="3" max="3" width="15.5703125" style="1" bestFit="1" customWidth="1"/>
    <col min="4" max="8" width="2" style="1" customWidth="1"/>
    <col min="9" max="55" width="3" style="1" customWidth="1"/>
    <col min="56" max="56" width="10.7109375" style="1" bestFit="1" customWidth="1"/>
    <col min="57" max="16384" width="8.85546875" style="1"/>
  </cols>
  <sheetData>
    <row r="3" spans="1:3">
      <c r="A3" s="1" t="s">
        <v>326</v>
      </c>
      <c r="B3" s="7" t="s">
        <v>325</v>
      </c>
      <c r="C3" s="9" t="s">
        <v>327</v>
      </c>
    </row>
    <row r="4" spans="1:3">
      <c r="A4" s="8" t="s">
        <v>48</v>
      </c>
      <c r="B4" s="7">
        <v>10</v>
      </c>
      <c r="C4" s="1">
        <v>1</v>
      </c>
    </row>
    <row r="5" spans="1:3">
      <c r="A5" s="8" t="s">
        <v>32</v>
      </c>
      <c r="B5" s="7">
        <v>17</v>
      </c>
      <c r="C5" s="1">
        <v>2</v>
      </c>
    </row>
    <row r="6" spans="1:3">
      <c r="A6" s="8" t="s">
        <v>102</v>
      </c>
      <c r="B6" s="7">
        <v>11</v>
      </c>
      <c r="C6" s="1">
        <v>3</v>
      </c>
    </row>
    <row r="7" spans="1:3">
      <c r="A7" s="8" t="s">
        <v>61</v>
      </c>
      <c r="B7" s="7">
        <v>13</v>
      </c>
      <c r="C7" s="1">
        <v>1</v>
      </c>
    </row>
    <row r="8" spans="1:3">
      <c r="A8" s="8" t="s">
        <v>118</v>
      </c>
      <c r="B8" s="7">
        <v>3</v>
      </c>
    </row>
    <row r="9" spans="1:3">
      <c r="A9" s="8" t="s">
        <v>324</v>
      </c>
      <c r="B9" s="7">
        <v>54</v>
      </c>
      <c r="C9" s="10">
        <f>+SUM(C4:C8)</f>
        <v>7</v>
      </c>
    </row>
    <row r="10" spans="1:3">
      <c r="B10" s="1"/>
    </row>
    <row r="11" spans="1:3">
      <c r="B11" s="1"/>
    </row>
    <row r="12" spans="1:3">
      <c r="B12" s="1"/>
    </row>
    <row r="13" spans="1:3">
      <c r="B13" s="1"/>
    </row>
    <row r="14" spans="1:3">
      <c r="B14" s="1"/>
    </row>
    <row r="15" spans="1:3">
      <c r="B15" s="1"/>
    </row>
    <row r="16" spans="1:3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37"/>
  <sheetViews>
    <sheetView showGridLines="0" tabSelected="1" zoomScale="60" zoomScaleNormal="60" workbookViewId="0">
      <pane xSplit="5" ySplit="3" topLeftCell="Q4" activePane="bottomRight" state="frozen"/>
      <selection pane="topRight" activeCell="E1" sqref="E1"/>
      <selection pane="bottomLeft" activeCell="A4" sqref="A4"/>
      <selection pane="bottomRight" activeCell="AC30" sqref="AC30"/>
    </sheetView>
  </sheetViews>
  <sheetFormatPr defaultColWidth="8.7109375" defaultRowHeight="15.75" outlineLevelCol="1"/>
  <cols>
    <col min="1" max="1" width="2.7109375" style="5" customWidth="1"/>
    <col min="2" max="2" width="6.85546875" style="5" bestFit="1" customWidth="1"/>
    <col min="3" max="3" width="35.85546875" style="5" bestFit="1" customWidth="1" collapsed="1"/>
    <col min="4" max="4" width="41.28515625" style="5" customWidth="1"/>
    <col min="5" max="5" width="17.42578125" style="5" bestFit="1" customWidth="1"/>
    <col min="6" max="6" width="17.42578125" style="5" customWidth="1"/>
    <col min="7" max="7" width="45.140625" style="5" hidden="1" customWidth="1" outlineLevel="1"/>
    <col min="8" max="8" width="37.140625" style="5" hidden="1" customWidth="1" outlineLevel="1"/>
    <col min="9" max="9" width="15.140625" style="5" hidden="1" customWidth="1" outlineLevel="1"/>
    <col min="10" max="10" width="12.28515625" style="5" hidden="1" customWidth="1" outlineLevel="1"/>
    <col min="11" max="11" width="21.7109375" style="5" hidden="1" customWidth="1" outlineLevel="1"/>
    <col min="12" max="12" width="26.7109375" style="5" hidden="1" customWidth="1" outlineLevel="1"/>
    <col min="13" max="13" width="21.42578125" style="5" hidden="1" customWidth="1" outlineLevel="1"/>
    <col min="14" max="14" width="19.42578125" style="16" customWidth="1" collapsed="1"/>
    <col min="15" max="15" width="19.140625" style="18" customWidth="1"/>
    <col min="16" max="16" width="21" style="18" customWidth="1"/>
    <col min="17" max="17" width="35.140625" style="5" bestFit="1" customWidth="1"/>
    <col min="18" max="18" width="20.42578125" style="5" hidden="1" customWidth="1" outlineLevel="1"/>
    <col min="19" max="19" width="15.7109375" style="5" bestFit="1" customWidth="1" collapsed="1"/>
    <col min="20" max="20" width="15.7109375" style="5" bestFit="1" customWidth="1"/>
    <col min="21" max="21" width="26.5703125" style="5" bestFit="1" customWidth="1"/>
    <col min="22" max="22" width="30.140625" style="17" bestFit="1" customWidth="1"/>
    <col min="23" max="23" width="27.5703125" style="17" customWidth="1" outlineLevel="1"/>
    <col min="24" max="24" width="19.42578125" style="17" customWidth="1" outlineLevel="1"/>
    <col min="25" max="25" width="18.7109375" style="17" bestFit="1" customWidth="1" outlineLevel="1"/>
    <col min="26" max="26" width="21.5703125" style="5" customWidth="1" outlineLevel="1"/>
    <col min="27" max="27" width="18.28515625" style="5" bestFit="1" customWidth="1"/>
    <col min="28" max="28" width="36.28515625" style="5" bestFit="1" customWidth="1"/>
    <col min="29" max="29" width="19.5703125" style="5" bestFit="1" customWidth="1"/>
    <col min="30" max="30" width="23.28515625" style="5" bestFit="1" customWidth="1"/>
    <col min="31" max="31" width="38.28515625" style="5" customWidth="1" outlineLevel="1"/>
    <col min="32" max="32" width="23.140625" style="5" customWidth="1" outlineLevel="1"/>
    <col min="33" max="33" width="23.28515625" style="5" bestFit="1" customWidth="1"/>
    <col min="34" max="34" width="12.7109375" style="5" customWidth="1" outlineLevel="1"/>
    <col min="35" max="35" width="23.140625" style="5" customWidth="1" outlineLevel="1"/>
    <col min="36" max="36" width="23.28515625" style="5" bestFit="1" customWidth="1"/>
    <col min="37" max="37" width="12.7109375" style="5" customWidth="1" outlineLevel="1" collapsed="1"/>
    <col min="38" max="38" width="27" style="5" customWidth="1" outlineLevel="1" collapsed="1"/>
    <col min="39" max="39" width="28.140625" style="5" customWidth="1"/>
    <col min="40" max="40" width="14.7109375" style="5" customWidth="1" outlineLevel="1"/>
    <col min="41" max="41" width="34.7109375" style="5" customWidth="1" outlineLevel="1" collapsed="1"/>
    <col min="42" max="42" width="19" style="5" customWidth="1"/>
    <col min="43" max="43" width="16" style="5" hidden="1" customWidth="1" outlineLevel="1"/>
    <col min="44" max="44" width="34.140625" style="5" hidden="1" customWidth="1" outlineLevel="1"/>
    <col min="45" max="45" width="37.7109375" style="5" bestFit="1" customWidth="1" collapsed="1"/>
    <col min="46" max="46" width="13.42578125" style="5" customWidth="1"/>
    <col min="47" max="47" width="8.140625" style="18" hidden="1" customWidth="1" outlineLevel="1"/>
    <col min="48" max="48" width="8.7109375" style="5" hidden="1" customWidth="1" outlineLevel="1"/>
    <col min="49" max="49" width="25" style="5" hidden="1" customWidth="1" outlineLevel="1"/>
    <col min="50" max="50" width="24.28515625" style="5" hidden="1" customWidth="1" outlineLevel="1"/>
    <col min="51" max="51" width="8.7109375" style="5" collapsed="1"/>
    <col min="52" max="16384" width="8.7109375" style="5"/>
  </cols>
  <sheetData>
    <row r="1" spans="1:60" ht="16.5" thickBot="1">
      <c r="O1" s="5"/>
      <c r="P1" s="5"/>
      <c r="V1" s="5"/>
      <c r="W1" s="5"/>
      <c r="X1" s="5"/>
      <c r="Y1" s="5"/>
      <c r="AA1" s="17"/>
      <c r="AD1" s="17"/>
      <c r="AE1" s="17"/>
      <c r="AF1" s="17"/>
      <c r="AG1" s="17"/>
      <c r="AU1" s="5"/>
      <c r="AZ1" s="18"/>
      <c r="BA1" s="18"/>
      <c r="BC1" s="18"/>
    </row>
    <row r="2" spans="1:60" ht="20.25" thickBot="1">
      <c r="D2" s="19"/>
      <c r="O2" s="5"/>
      <c r="P2" s="5"/>
      <c r="S2" s="20" t="s">
        <v>362</v>
      </c>
      <c r="T2" s="20" t="s">
        <v>362</v>
      </c>
      <c r="U2" s="20" t="s">
        <v>362</v>
      </c>
      <c r="V2" s="151" t="s">
        <v>308</v>
      </c>
      <c r="W2" s="152"/>
      <c r="X2" s="152"/>
      <c r="Y2" s="152"/>
      <c r="Z2" s="153"/>
      <c r="AA2" s="154" t="s">
        <v>319</v>
      </c>
      <c r="AB2" s="155"/>
      <c r="AC2" s="156"/>
      <c r="AE2" s="19" t="s">
        <v>281</v>
      </c>
      <c r="AF2" s="20" t="s">
        <v>354</v>
      </c>
      <c r="AH2" s="19" t="s">
        <v>281</v>
      </c>
      <c r="AI2" s="20" t="s">
        <v>286</v>
      </c>
      <c r="AU2" s="5"/>
      <c r="AZ2" s="18"/>
      <c r="BA2" s="18"/>
      <c r="BC2" s="18"/>
    </row>
    <row r="3" spans="1:60" ht="31.5">
      <c r="B3" s="21" t="s">
        <v>0</v>
      </c>
      <c r="C3" s="21" t="s">
        <v>5</v>
      </c>
      <c r="D3" s="21" t="s">
        <v>1</v>
      </c>
      <c r="E3" s="21" t="s">
        <v>2</v>
      </c>
      <c r="F3" s="21" t="s">
        <v>302</v>
      </c>
      <c r="G3" s="21" t="s">
        <v>3</v>
      </c>
      <c r="H3" s="21" t="s">
        <v>4</v>
      </c>
      <c r="I3" s="21" t="s">
        <v>6</v>
      </c>
      <c r="J3" s="21" t="s">
        <v>7</v>
      </c>
      <c r="K3" s="21" t="s">
        <v>8</v>
      </c>
      <c r="L3" s="21" t="s">
        <v>9</v>
      </c>
      <c r="M3" s="22" t="s">
        <v>10</v>
      </c>
      <c r="N3" s="21" t="s">
        <v>11</v>
      </c>
      <c r="O3" s="23" t="s">
        <v>16</v>
      </c>
      <c r="P3" s="23" t="s">
        <v>17</v>
      </c>
      <c r="Q3" s="23" t="s">
        <v>12</v>
      </c>
      <c r="R3" s="23" t="s">
        <v>285</v>
      </c>
      <c r="S3" s="24">
        <v>2018</v>
      </c>
      <c r="T3" s="24">
        <v>2017</v>
      </c>
      <c r="U3" s="24">
        <v>2016</v>
      </c>
      <c r="V3" s="25" t="s">
        <v>356</v>
      </c>
      <c r="W3" s="26" t="s">
        <v>304</v>
      </c>
      <c r="X3" s="26" t="s">
        <v>305</v>
      </c>
      <c r="Y3" s="26" t="s">
        <v>306</v>
      </c>
      <c r="Z3" s="27" t="s">
        <v>307</v>
      </c>
      <c r="AA3" s="28" t="s">
        <v>357</v>
      </c>
      <c r="AB3" s="29" t="s">
        <v>358</v>
      </c>
      <c r="AC3" s="30" t="s">
        <v>359</v>
      </c>
      <c r="AD3" s="31" t="s">
        <v>287</v>
      </c>
      <c r="AE3" s="124" t="s">
        <v>361</v>
      </c>
      <c r="AF3" s="32" t="s">
        <v>288</v>
      </c>
      <c r="AG3" s="31" t="s">
        <v>300</v>
      </c>
      <c r="AH3" s="33" t="s">
        <v>289</v>
      </c>
      <c r="AI3" s="34" t="s">
        <v>290</v>
      </c>
      <c r="AJ3" s="34" t="s">
        <v>291</v>
      </c>
      <c r="AK3" s="33" t="s">
        <v>292</v>
      </c>
      <c r="AL3" s="33" t="s">
        <v>293</v>
      </c>
      <c r="AM3" s="34" t="s">
        <v>294</v>
      </c>
      <c r="AN3" s="33" t="s">
        <v>295</v>
      </c>
      <c r="AO3" s="33" t="s">
        <v>296</v>
      </c>
      <c r="AP3" s="34" t="s">
        <v>297</v>
      </c>
      <c r="AQ3" s="33" t="s">
        <v>298</v>
      </c>
      <c r="AR3" s="33" t="s">
        <v>299</v>
      </c>
      <c r="AS3" s="35" t="s">
        <v>15</v>
      </c>
      <c r="AT3" s="23" t="s">
        <v>18</v>
      </c>
      <c r="AU3" s="23" t="s">
        <v>19</v>
      </c>
      <c r="AV3" s="23" t="s">
        <v>20</v>
      </c>
      <c r="AW3" s="23" t="s">
        <v>21</v>
      </c>
      <c r="AX3" s="23" t="s">
        <v>22</v>
      </c>
      <c r="AY3" s="23" t="s">
        <v>23</v>
      </c>
      <c r="AZ3" s="36" t="s">
        <v>24</v>
      </c>
      <c r="BA3" s="36" t="s">
        <v>25</v>
      </c>
      <c r="BB3" s="23" t="s">
        <v>26</v>
      </c>
      <c r="BC3" s="36" t="s">
        <v>27</v>
      </c>
      <c r="BH3" s="5" t="s">
        <v>328</v>
      </c>
    </row>
    <row r="4" spans="1:60">
      <c r="A4" s="11"/>
      <c r="B4" s="37">
        <v>1</v>
      </c>
      <c r="C4" s="37" t="s">
        <v>31</v>
      </c>
      <c r="D4" s="38" t="s">
        <v>28</v>
      </c>
      <c r="E4" s="37" t="s">
        <v>29</v>
      </c>
      <c r="F4" s="37" t="s">
        <v>267</v>
      </c>
      <c r="G4" s="39" t="s">
        <v>30</v>
      </c>
      <c r="H4" s="39"/>
      <c r="I4" s="37" t="s">
        <v>32</v>
      </c>
      <c r="J4" s="37" t="s">
        <v>33</v>
      </c>
      <c r="K4" s="37" t="s">
        <v>34</v>
      </c>
      <c r="L4" s="40" t="s">
        <v>35</v>
      </c>
      <c r="M4" s="41" t="s">
        <v>36</v>
      </c>
      <c r="N4" s="42" t="s">
        <v>37</v>
      </c>
      <c r="O4" s="43">
        <v>42185</v>
      </c>
      <c r="P4" s="44">
        <v>100000</v>
      </c>
      <c r="Q4" s="45">
        <f>SUM(S4,T4,U4,AA4,AD4,AG4,AJ4,AM4,AP4,AS4)</f>
        <v>808833.2</v>
      </c>
      <c r="R4" s="46" t="e">
        <f>+Q4*#REF!</f>
        <v>#REF!</v>
      </c>
      <c r="S4" s="47"/>
      <c r="T4" s="47"/>
      <c r="U4" s="47"/>
      <c r="V4" s="48">
        <f t="shared" ref="V4:V66" si="0">+SUM(W4:Z4)</f>
        <v>50000</v>
      </c>
      <c r="W4" s="49"/>
      <c r="X4" s="49"/>
      <c r="Y4" s="49">
        <v>50000</v>
      </c>
      <c r="Z4" s="50"/>
      <c r="AA4" s="51">
        <f t="shared" ref="AA4:AA66" si="1">+AB4+AC4</f>
        <v>8667</v>
      </c>
      <c r="AB4" s="52"/>
      <c r="AC4" s="53">
        <v>8667</v>
      </c>
      <c r="AD4" s="54">
        <f>+AE4+AF4</f>
        <v>17333.2</v>
      </c>
      <c r="AE4" s="55">
        <v>0</v>
      </c>
      <c r="AF4" s="56">
        <f>43333/5*2</f>
        <v>17333.2</v>
      </c>
      <c r="AG4" s="57">
        <f t="shared" ref="AG4:AG58" si="2">+AH4+AI4</f>
        <v>17333</v>
      </c>
      <c r="AH4" s="58"/>
      <c r="AI4" s="59">
        <v>17333</v>
      </c>
      <c r="AJ4" s="60">
        <f t="shared" ref="AJ4:AJ52" si="3">+AK4+AL4</f>
        <v>229000</v>
      </c>
      <c r="AK4" s="61">
        <v>133667</v>
      </c>
      <c r="AL4" s="62">
        <v>95333</v>
      </c>
      <c r="AM4" s="60">
        <f t="shared" ref="AM4:AM52" si="4">+AN4+AO4</f>
        <v>0</v>
      </c>
      <c r="AN4" s="61">
        <v>0</v>
      </c>
      <c r="AO4" s="62">
        <v>0</v>
      </c>
      <c r="AP4" s="60">
        <f t="shared" ref="AP4:AP52" si="5">+AQ4+AR4</f>
        <v>0</v>
      </c>
      <c r="AQ4" s="61">
        <v>0</v>
      </c>
      <c r="AR4" s="62">
        <v>0</v>
      </c>
      <c r="AS4" s="63">
        <v>536500</v>
      </c>
      <c r="AT4" s="44" t="s">
        <v>165</v>
      </c>
      <c r="AU4" s="46"/>
      <c r="AX4" s="64"/>
      <c r="AY4" s="65"/>
      <c r="AZ4" s="44"/>
      <c r="BA4" s="44"/>
      <c r="BB4" s="46"/>
      <c r="BC4" s="66"/>
    </row>
    <row r="5" spans="1:60">
      <c r="A5" s="12"/>
      <c r="B5" s="37">
        <v>2</v>
      </c>
      <c r="C5" s="37" t="s">
        <v>284</v>
      </c>
      <c r="D5" s="38" t="s">
        <v>38</v>
      </c>
      <c r="E5" s="37" t="s">
        <v>39</v>
      </c>
      <c r="F5" s="37" t="s">
        <v>267</v>
      </c>
      <c r="G5" s="39" t="s">
        <v>40</v>
      </c>
      <c r="H5" s="39"/>
      <c r="I5" s="37" t="s">
        <v>32</v>
      </c>
      <c r="J5" s="37" t="s">
        <v>41</v>
      </c>
      <c r="K5" s="17" t="s">
        <v>34</v>
      </c>
      <c r="L5" s="40" t="s">
        <v>35</v>
      </c>
      <c r="M5" s="41" t="s">
        <v>36</v>
      </c>
      <c r="N5" s="42" t="s">
        <v>42</v>
      </c>
      <c r="O5" s="67">
        <v>41974</v>
      </c>
      <c r="P5" s="44">
        <v>52000</v>
      </c>
      <c r="Q5" s="45">
        <f t="shared" ref="Q5:Q68" si="6">SUM(S5,T5,U5,AA5,AD5,AG5,AJ5,AM5,AP5,AS5)</f>
        <v>538000</v>
      </c>
      <c r="R5" s="46" t="e">
        <f>+Q5*#REF!</f>
        <v>#REF!</v>
      </c>
      <c r="S5" s="46"/>
      <c r="T5" s="46"/>
      <c r="U5" s="46"/>
      <c r="V5" s="48">
        <f t="shared" si="0"/>
        <v>0</v>
      </c>
      <c r="W5" s="49"/>
      <c r="X5" s="49"/>
      <c r="Y5" s="49"/>
      <c r="Z5" s="50"/>
      <c r="AA5" s="51">
        <f t="shared" si="1"/>
        <v>0</v>
      </c>
      <c r="AB5" s="52"/>
      <c r="AC5" s="68"/>
      <c r="AD5" s="54">
        <f t="shared" ref="V5:AD67" si="7">+AE5+AF5</f>
        <v>0</v>
      </c>
      <c r="AE5" s="55">
        <v>0</v>
      </c>
      <c r="AF5" s="56">
        <v>0</v>
      </c>
      <c r="AG5" s="57">
        <f t="shared" si="2"/>
        <v>0</v>
      </c>
      <c r="AH5" s="58"/>
      <c r="AI5" s="69"/>
      <c r="AJ5" s="60">
        <f t="shared" si="3"/>
        <v>0</v>
      </c>
      <c r="AK5" s="61">
        <v>0</v>
      </c>
      <c r="AL5" s="62">
        <v>0</v>
      </c>
      <c r="AM5" s="60">
        <f t="shared" si="4"/>
        <v>67500</v>
      </c>
      <c r="AN5" s="62">
        <v>27500</v>
      </c>
      <c r="AO5" s="62">
        <v>40000</v>
      </c>
      <c r="AP5" s="60">
        <f t="shared" si="5"/>
        <v>164500</v>
      </c>
      <c r="AQ5" s="61">
        <f>72000+34500</f>
        <v>106500</v>
      </c>
      <c r="AR5" s="62">
        <f>23000+17500+17500</f>
        <v>58000</v>
      </c>
      <c r="AS5" s="63">
        <f>198000+108000</f>
        <v>306000</v>
      </c>
      <c r="AT5" s="44" t="s">
        <v>165</v>
      </c>
      <c r="AU5" s="46"/>
      <c r="AX5" s="17"/>
      <c r="AY5" s="17"/>
      <c r="AZ5" s="44"/>
      <c r="BA5" s="44"/>
      <c r="BB5" s="46"/>
      <c r="BC5" s="66"/>
    </row>
    <row r="6" spans="1:60">
      <c r="A6" s="13"/>
      <c r="B6" s="37">
        <v>3</v>
      </c>
      <c r="C6" s="37" t="s">
        <v>47</v>
      </c>
      <c r="D6" s="38" t="s">
        <v>43</v>
      </c>
      <c r="E6" s="37" t="s">
        <v>44</v>
      </c>
      <c r="F6" s="37" t="s">
        <v>270</v>
      </c>
      <c r="G6" s="39" t="s">
        <v>45</v>
      </c>
      <c r="H6" s="39" t="s">
        <v>46</v>
      </c>
      <c r="I6" s="37" t="s">
        <v>48</v>
      </c>
      <c r="J6" s="37" t="s">
        <v>41</v>
      </c>
      <c r="K6" s="37" t="s">
        <v>49</v>
      </c>
      <c r="L6" s="70" t="s">
        <v>50</v>
      </c>
      <c r="M6" s="71" t="s">
        <v>36</v>
      </c>
      <c r="N6" s="42" t="s">
        <v>51</v>
      </c>
      <c r="O6" s="67">
        <v>42036</v>
      </c>
      <c r="P6" s="44">
        <v>89000</v>
      </c>
      <c r="Q6" s="45">
        <f t="shared" si="6"/>
        <v>1136967</v>
      </c>
      <c r="R6" s="46" t="e">
        <f>+Q6*#REF!</f>
        <v>#REF!</v>
      </c>
      <c r="S6" s="47"/>
      <c r="T6" s="47"/>
      <c r="U6" s="47"/>
      <c r="V6" s="48">
        <f t="shared" si="0"/>
        <v>73000</v>
      </c>
      <c r="W6" s="49"/>
      <c r="X6" s="49">
        <v>65000</v>
      </c>
      <c r="Y6" s="49">
        <v>8000</v>
      </c>
      <c r="Z6" s="50"/>
      <c r="AA6" s="51">
        <f t="shared" si="1"/>
        <v>20667</v>
      </c>
      <c r="AB6" s="52"/>
      <c r="AC6" s="53">
        <v>20667</v>
      </c>
      <c r="AD6" s="54">
        <f t="shared" si="7"/>
        <v>97500</v>
      </c>
      <c r="AE6" s="55">
        <v>0</v>
      </c>
      <c r="AF6" s="56">
        <f>75000+22500</f>
        <v>97500</v>
      </c>
      <c r="AG6" s="57">
        <f t="shared" si="2"/>
        <v>126500</v>
      </c>
      <c r="AH6" s="61"/>
      <c r="AI6" s="72">
        <f>119000+9000/12*10</f>
        <v>126500</v>
      </c>
      <c r="AJ6" s="60">
        <f t="shared" si="3"/>
        <v>99600</v>
      </c>
      <c r="AK6" s="61">
        <v>0</v>
      </c>
      <c r="AL6" s="62">
        <v>99600</v>
      </c>
      <c r="AM6" s="60">
        <f t="shared" si="4"/>
        <v>180700</v>
      </c>
      <c r="AN6" s="61">
        <v>49500</v>
      </c>
      <c r="AO6" s="62">
        <v>131200</v>
      </c>
      <c r="AP6" s="60">
        <f t="shared" si="5"/>
        <v>216000</v>
      </c>
      <c r="AQ6" s="61">
        <v>216000</v>
      </c>
      <c r="AR6" s="62">
        <v>0</v>
      </c>
      <c r="AS6" s="63">
        <v>396000</v>
      </c>
      <c r="AT6" s="44" t="s">
        <v>52</v>
      </c>
      <c r="AU6" s="46"/>
      <c r="AX6" s="17"/>
      <c r="AY6" s="17"/>
      <c r="AZ6" s="44"/>
      <c r="BA6" s="44"/>
      <c r="BB6" s="46"/>
      <c r="BC6" s="66"/>
    </row>
    <row r="7" spans="1:60">
      <c r="A7" s="11"/>
      <c r="B7" s="37">
        <v>4</v>
      </c>
      <c r="C7" s="37" t="s">
        <v>56</v>
      </c>
      <c r="D7" s="38" t="s">
        <v>53</v>
      </c>
      <c r="E7" s="37" t="s">
        <v>54</v>
      </c>
      <c r="F7" s="37" t="s">
        <v>271</v>
      </c>
      <c r="G7" s="39" t="s">
        <v>55</v>
      </c>
      <c r="H7" s="39"/>
      <c r="I7" s="37" t="s">
        <v>32</v>
      </c>
      <c r="J7" s="37" t="s">
        <v>41</v>
      </c>
      <c r="K7" s="17" t="s">
        <v>95</v>
      </c>
      <c r="L7" s="64" t="s">
        <v>355</v>
      </c>
      <c r="M7" s="41">
        <v>50</v>
      </c>
      <c r="N7" s="42" t="s">
        <v>51</v>
      </c>
      <c r="O7" s="43">
        <v>42339</v>
      </c>
      <c r="P7" s="66">
        <v>41000</v>
      </c>
      <c r="Q7" s="45">
        <f t="shared" si="6"/>
        <v>885000</v>
      </c>
      <c r="R7" s="46" t="e">
        <f>+Q7*#REF!</f>
        <v>#REF!</v>
      </c>
      <c r="S7" s="46"/>
      <c r="T7" s="46"/>
      <c r="U7" s="46"/>
      <c r="V7" s="48">
        <f t="shared" si="0"/>
        <v>0</v>
      </c>
      <c r="W7" s="49"/>
      <c r="X7" s="49"/>
      <c r="Y7" s="49"/>
      <c r="Z7" s="50"/>
      <c r="AA7" s="51">
        <f t="shared" si="1"/>
        <v>91000</v>
      </c>
      <c r="AB7" s="73"/>
      <c r="AC7" s="53">
        <v>91000</v>
      </c>
      <c r="AD7" s="54">
        <f t="shared" si="7"/>
        <v>63000</v>
      </c>
      <c r="AE7" s="55">
        <v>22000</v>
      </c>
      <c r="AF7" s="56">
        <v>41000</v>
      </c>
      <c r="AG7" s="57">
        <f t="shared" si="2"/>
        <v>156000</v>
      </c>
      <c r="AH7" s="61">
        <v>115000</v>
      </c>
      <c r="AI7" s="59">
        <v>41000</v>
      </c>
      <c r="AJ7" s="60">
        <f t="shared" si="3"/>
        <v>0</v>
      </c>
      <c r="AK7" s="61">
        <v>0</v>
      </c>
      <c r="AL7" s="62">
        <v>0</v>
      </c>
      <c r="AM7" s="60">
        <f t="shared" si="4"/>
        <v>41000</v>
      </c>
      <c r="AN7" s="61">
        <v>0</v>
      </c>
      <c r="AO7" s="62">
        <v>41000</v>
      </c>
      <c r="AP7" s="60">
        <f t="shared" si="5"/>
        <v>83000</v>
      </c>
      <c r="AQ7" s="61">
        <v>41000</v>
      </c>
      <c r="AR7" s="62">
        <v>42000</v>
      </c>
      <c r="AS7" s="63">
        <f>410000+41000</f>
        <v>451000</v>
      </c>
      <c r="AT7" s="66" t="s">
        <v>52</v>
      </c>
      <c r="AU7" s="46"/>
      <c r="AX7" s="17"/>
      <c r="AY7" s="17"/>
      <c r="AZ7" s="44"/>
      <c r="BA7" s="44"/>
      <c r="BB7" s="46"/>
      <c r="BC7" s="66"/>
      <c r="BD7" s="17"/>
      <c r="BE7" s="44"/>
    </row>
    <row r="8" spans="1:60">
      <c r="A8" s="12"/>
      <c r="B8" s="37">
        <v>6</v>
      </c>
      <c r="C8" s="37" t="s">
        <v>57</v>
      </c>
      <c r="D8" s="38" t="s">
        <v>57</v>
      </c>
      <c r="E8" s="37" t="s">
        <v>58</v>
      </c>
      <c r="F8" s="37" t="s">
        <v>269</v>
      </c>
      <c r="G8" s="39" t="s">
        <v>59</v>
      </c>
      <c r="H8" s="39" t="s">
        <v>60</v>
      </c>
      <c r="I8" s="37" t="s">
        <v>61</v>
      </c>
      <c r="J8" s="37" t="s">
        <v>41</v>
      </c>
      <c r="K8" s="17" t="s">
        <v>34</v>
      </c>
      <c r="L8" s="64" t="s">
        <v>176</v>
      </c>
      <c r="M8" s="41">
        <v>300</v>
      </c>
      <c r="N8" s="42" t="s">
        <v>62</v>
      </c>
      <c r="O8" s="67">
        <v>42005</v>
      </c>
      <c r="P8" s="44">
        <v>140000</v>
      </c>
      <c r="Q8" s="45">
        <f t="shared" si="6"/>
        <v>1936050</v>
      </c>
      <c r="R8" s="46" t="e">
        <f>+Q8*#REF!</f>
        <v>#REF!</v>
      </c>
      <c r="S8" s="74"/>
      <c r="T8" s="74"/>
      <c r="U8" s="74"/>
      <c r="V8" s="48">
        <f t="shared" si="0"/>
        <v>0</v>
      </c>
      <c r="W8" s="49"/>
      <c r="X8" s="49"/>
      <c r="Y8" s="49"/>
      <c r="Z8" s="50"/>
      <c r="AA8" s="51">
        <f t="shared" si="1"/>
        <v>140000</v>
      </c>
      <c r="AB8" s="75"/>
      <c r="AC8" s="53">
        <v>140000</v>
      </c>
      <c r="AD8" s="54">
        <f t="shared" si="7"/>
        <v>74800</v>
      </c>
      <c r="AE8" s="55">
        <v>74800</v>
      </c>
      <c r="AF8" s="56"/>
      <c r="AG8" s="57">
        <f t="shared" si="2"/>
        <v>961250</v>
      </c>
      <c r="AH8" s="61">
        <f>861250+25000</f>
        <v>886250</v>
      </c>
      <c r="AI8" s="72">
        <v>75000</v>
      </c>
      <c r="AJ8" s="60">
        <f t="shared" si="3"/>
        <v>0</v>
      </c>
      <c r="AK8" s="61">
        <v>0</v>
      </c>
      <c r="AL8" s="62">
        <v>0</v>
      </c>
      <c r="AM8" s="60">
        <f t="shared" si="4"/>
        <v>100000</v>
      </c>
      <c r="AN8" s="62">
        <v>65000</v>
      </c>
      <c r="AO8" s="62">
        <v>35000</v>
      </c>
      <c r="AP8" s="60">
        <f t="shared" si="5"/>
        <v>260000</v>
      </c>
      <c r="AQ8" s="61">
        <v>208000</v>
      </c>
      <c r="AR8" s="62">
        <v>52000</v>
      </c>
      <c r="AS8" s="63">
        <f>250000+150000</f>
        <v>400000</v>
      </c>
      <c r="AT8" s="44" t="s">
        <v>52</v>
      </c>
      <c r="AU8" s="46"/>
      <c r="AZ8" s="18"/>
      <c r="BA8" s="18"/>
      <c r="BB8" s="46"/>
      <c r="BC8" s="66"/>
      <c r="BD8" s="17"/>
      <c r="BE8" s="44"/>
    </row>
    <row r="9" spans="1:60">
      <c r="A9" s="13"/>
      <c r="B9" s="37">
        <v>8</v>
      </c>
      <c r="C9" s="37" t="s">
        <v>65</v>
      </c>
      <c r="D9" s="38" t="s">
        <v>63</v>
      </c>
      <c r="E9" s="37" t="s">
        <v>29</v>
      </c>
      <c r="F9" s="37" t="s">
        <v>267</v>
      </c>
      <c r="G9" s="39" t="s">
        <v>64</v>
      </c>
      <c r="H9" s="39"/>
      <c r="I9" s="37" t="s">
        <v>32</v>
      </c>
      <c r="J9" s="37" t="s">
        <v>66</v>
      </c>
      <c r="K9" s="76" t="s">
        <v>34</v>
      </c>
      <c r="L9" s="37" t="s">
        <v>67</v>
      </c>
      <c r="M9" s="77">
        <v>80</v>
      </c>
      <c r="N9" s="42" t="s">
        <v>62</v>
      </c>
      <c r="O9" s="67">
        <v>42005</v>
      </c>
      <c r="P9" s="44">
        <v>50000</v>
      </c>
      <c r="Q9" s="45">
        <f t="shared" si="6"/>
        <v>628250</v>
      </c>
      <c r="R9" s="46" t="e">
        <f>+Q9*#REF!</f>
        <v>#REF!</v>
      </c>
      <c r="S9" s="46"/>
      <c r="T9" s="46"/>
      <c r="U9" s="46"/>
      <c r="V9" s="48">
        <f t="shared" si="0"/>
        <v>0</v>
      </c>
      <c r="W9" s="49"/>
      <c r="X9" s="49"/>
      <c r="Y9" s="49"/>
      <c r="Z9" s="50"/>
      <c r="AA9" s="51">
        <f t="shared" si="1"/>
        <v>85000</v>
      </c>
      <c r="AB9" s="73"/>
      <c r="AC9" s="78">
        <v>85000</v>
      </c>
      <c r="AD9" s="54">
        <f t="shared" si="7"/>
        <v>45000</v>
      </c>
      <c r="AE9" s="55">
        <v>0</v>
      </c>
      <c r="AF9" s="56">
        <v>45000</v>
      </c>
      <c r="AG9" s="57">
        <f t="shared" si="2"/>
        <v>45000</v>
      </c>
      <c r="AH9" s="79"/>
      <c r="AI9" s="72">
        <v>45000</v>
      </c>
      <c r="AJ9" s="60">
        <f t="shared" si="3"/>
        <v>0</v>
      </c>
      <c r="AK9" s="61">
        <v>0</v>
      </c>
      <c r="AL9" s="62">
        <v>0</v>
      </c>
      <c r="AM9" s="60">
        <f t="shared" si="4"/>
        <v>50000</v>
      </c>
      <c r="AN9" s="61">
        <v>0</v>
      </c>
      <c r="AO9" s="62">
        <v>50000</v>
      </c>
      <c r="AP9" s="60">
        <f t="shared" si="5"/>
        <v>85000</v>
      </c>
      <c r="AQ9" s="61">
        <v>69000</v>
      </c>
      <c r="AR9" s="62">
        <v>16000</v>
      </c>
      <c r="AS9" s="63">
        <f>305000+13250</f>
        <v>318250</v>
      </c>
      <c r="AT9" s="44" t="s">
        <v>52</v>
      </c>
      <c r="AU9" s="46"/>
      <c r="AX9" s="17"/>
      <c r="AY9" s="17"/>
      <c r="AZ9" s="44"/>
      <c r="BA9" s="44"/>
      <c r="BB9" s="46"/>
      <c r="BC9" s="66"/>
      <c r="BD9" s="17"/>
      <c r="BE9" s="44"/>
    </row>
    <row r="10" spans="1:60">
      <c r="A10" s="11"/>
      <c r="B10" s="37">
        <v>9</v>
      </c>
      <c r="C10" s="37" t="s">
        <v>68</v>
      </c>
      <c r="D10" s="80" t="s">
        <v>68</v>
      </c>
      <c r="E10" s="37" t="s">
        <v>69</v>
      </c>
      <c r="F10" s="37" t="s">
        <v>270</v>
      </c>
      <c r="G10" s="39" t="s">
        <v>70</v>
      </c>
      <c r="H10" s="39" t="s">
        <v>71</v>
      </c>
      <c r="I10" s="37" t="s">
        <v>48</v>
      </c>
      <c r="J10" s="37" t="s">
        <v>41</v>
      </c>
      <c r="K10" s="17" t="s">
        <v>72</v>
      </c>
      <c r="L10" s="17" t="s">
        <v>73</v>
      </c>
      <c r="M10" s="41">
        <v>30</v>
      </c>
      <c r="N10" s="42" t="s">
        <v>62</v>
      </c>
      <c r="O10" s="67">
        <v>42370</v>
      </c>
      <c r="P10" s="44">
        <v>77000</v>
      </c>
      <c r="Q10" s="45">
        <f t="shared" si="6"/>
        <v>789123</v>
      </c>
      <c r="R10" s="46" t="e">
        <f>+Q10*#REF!</f>
        <v>#REF!</v>
      </c>
      <c r="S10" s="74"/>
      <c r="T10" s="74"/>
      <c r="U10" s="74">
        <v>70000</v>
      </c>
      <c r="V10" s="48">
        <f t="shared" si="0"/>
        <v>0</v>
      </c>
      <c r="W10" s="49"/>
      <c r="X10" s="49"/>
      <c r="Y10" s="49"/>
      <c r="Z10" s="50"/>
      <c r="AA10" s="51">
        <f t="shared" si="1"/>
        <v>70000</v>
      </c>
      <c r="AB10" s="52"/>
      <c r="AC10" s="53">
        <v>70000</v>
      </c>
      <c r="AD10" s="54">
        <f t="shared" si="7"/>
        <v>70000</v>
      </c>
      <c r="AE10" s="55">
        <v>0</v>
      </c>
      <c r="AF10" s="56">
        <v>70000</v>
      </c>
      <c r="AG10" s="57">
        <f t="shared" si="2"/>
        <v>77000</v>
      </c>
      <c r="AH10" s="61"/>
      <c r="AI10" s="72">
        <f>38500*2</f>
        <v>77000</v>
      </c>
      <c r="AJ10" s="60">
        <f t="shared" si="3"/>
        <v>0</v>
      </c>
      <c r="AK10" s="61">
        <v>0</v>
      </c>
      <c r="AL10" s="62">
        <v>0</v>
      </c>
      <c r="AM10" s="60">
        <f t="shared" si="4"/>
        <v>102123</v>
      </c>
      <c r="AN10" s="61">
        <f>52123</f>
        <v>52123</v>
      </c>
      <c r="AO10" s="62">
        <v>50000</v>
      </c>
      <c r="AP10" s="60">
        <f t="shared" si="5"/>
        <v>10000</v>
      </c>
      <c r="AQ10" s="61">
        <f>10000</f>
        <v>10000</v>
      </c>
      <c r="AR10" s="62">
        <v>0</v>
      </c>
      <c r="AS10" s="63">
        <v>390000</v>
      </c>
      <c r="AT10" s="44" t="s">
        <v>52</v>
      </c>
      <c r="AU10" s="46"/>
      <c r="AX10" s="17"/>
      <c r="AY10" s="17"/>
      <c r="AZ10" s="44"/>
      <c r="BA10" s="44"/>
      <c r="BB10" s="46"/>
      <c r="BC10" s="66"/>
      <c r="BD10" s="17"/>
      <c r="BE10" s="44"/>
    </row>
    <row r="11" spans="1:60">
      <c r="A11" s="12"/>
      <c r="B11" s="37">
        <v>10</v>
      </c>
      <c r="C11" s="37" t="s">
        <v>76</v>
      </c>
      <c r="D11" s="38" t="s">
        <v>74</v>
      </c>
      <c r="E11" s="37" t="s">
        <v>29</v>
      </c>
      <c r="F11" s="37" t="s">
        <v>267</v>
      </c>
      <c r="G11" s="39" t="s">
        <v>75</v>
      </c>
      <c r="H11" s="39"/>
      <c r="I11" s="37" t="s">
        <v>32</v>
      </c>
      <c r="J11" s="37" t="s">
        <v>41</v>
      </c>
      <c r="K11" s="17" t="s">
        <v>49</v>
      </c>
      <c r="L11" s="40" t="s">
        <v>35</v>
      </c>
      <c r="M11" s="41" t="s">
        <v>77</v>
      </c>
      <c r="N11" s="42" t="s">
        <v>62</v>
      </c>
      <c r="O11" s="67">
        <v>42005</v>
      </c>
      <c r="P11" s="44">
        <v>90000</v>
      </c>
      <c r="Q11" s="45">
        <f t="shared" si="6"/>
        <v>716297.48</v>
      </c>
      <c r="R11" s="46" t="e">
        <f>+Q11*#REF!</f>
        <v>#REF!</v>
      </c>
      <c r="S11" s="46"/>
      <c r="T11" s="46"/>
      <c r="U11" s="46"/>
      <c r="V11" s="48">
        <f t="shared" si="0"/>
        <v>120000</v>
      </c>
      <c r="W11" s="49">
        <v>30000</v>
      </c>
      <c r="X11" s="49">
        <v>30000</v>
      </c>
      <c r="Y11" s="49">
        <v>30000</v>
      </c>
      <c r="Z11" s="50">
        <v>30000</v>
      </c>
      <c r="AA11" s="51">
        <f t="shared" si="1"/>
        <v>0</v>
      </c>
      <c r="AB11" s="52"/>
      <c r="AC11" s="78"/>
      <c r="AD11" s="54">
        <f t="shared" si="7"/>
        <v>82683</v>
      </c>
      <c r="AE11" s="55">
        <v>0</v>
      </c>
      <c r="AF11" s="56">
        <v>82683</v>
      </c>
      <c r="AG11" s="57">
        <f t="shared" si="2"/>
        <v>27561.48</v>
      </c>
      <c r="AH11" s="61"/>
      <c r="AI11" s="81">
        <v>27561.48</v>
      </c>
      <c r="AJ11" s="60">
        <f t="shared" si="3"/>
        <v>197720</v>
      </c>
      <c r="AK11" s="61">
        <v>197720</v>
      </c>
      <c r="AL11" s="62">
        <v>0</v>
      </c>
      <c r="AM11" s="60">
        <f t="shared" si="4"/>
        <v>33333</v>
      </c>
      <c r="AN11" s="61">
        <v>0</v>
      </c>
      <c r="AO11" s="62">
        <v>33333</v>
      </c>
      <c r="AP11" s="60">
        <f t="shared" si="5"/>
        <v>0</v>
      </c>
      <c r="AQ11" s="61">
        <v>0</v>
      </c>
      <c r="AR11" s="62">
        <v>0</v>
      </c>
      <c r="AS11" s="63">
        <v>375000</v>
      </c>
      <c r="AT11" s="44" t="s">
        <v>52</v>
      </c>
      <c r="AU11" s="46"/>
      <c r="AX11" s="17"/>
      <c r="AY11" s="65"/>
      <c r="AZ11" s="44"/>
      <c r="BA11" s="44"/>
      <c r="BB11" s="46"/>
      <c r="BC11" s="66"/>
      <c r="BD11" s="17"/>
      <c r="BE11" s="44"/>
    </row>
    <row r="12" spans="1:60">
      <c r="A12" s="13"/>
      <c r="B12" s="37">
        <v>11</v>
      </c>
      <c r="C12" s="37" t="s">
        <v>80</v>
      </c>
      <c r="D12" s="38" t="s">
        <v>78</v>
      </c>
      <c r="E12" s="37" t="s">
        <v>54</v>
      </c>
      <c r="F12" s="37" t="s">
        <v>271</v>
      </c>
      <c r="G12" s="39" t="s">
        <v>79</v>
      </c>
      <c r="H12" s="39"/>
      <c r="I12" s="37" t="s">
        <v>32</v>
      </c>
      <c r="J12" s="37" t="s">
        <v>41</v>
      </c>
      <c r="K12" s="17" t="s">
        <v>49</v>
      </c>
      <c r="L12" s="40" t="s">
        <v>35</v>
      </c>
      <c r="M12" s="41">
        <v>50</v>
      </c>
      <c r="N12" s="42" t="s">
        <v>62</v>
      </c>
      <c r="O12" s="43">
        <v>42339</v>
      </c>
      <c r="P12" s="66">
        <v>64000</v>
      </c>
      <c r="Q12" s="45">
        <f t="shared" si="6"/>
        <v>1011000</v>
      </c>
      <c r="R12" s="46" t="e">
        <f>+Q12*#REF!</f>
        <v>#REF!</v>
      </c>
      <c r="S12" s="46"/>
      <c r="T12" s="46"/>
      <c r="U12" s="46"/>
      <c r="V12" s="48">
        <f t="shared" si="0"/>
        <v>0</v>
      </c>
      <c r="W12" s="49"/>
      <c r="X12" s="49"/>
      <c r="Y12" s="49"/>
      <c r="Z12" s="50"/>
      <c r="AA12" s="51">
        <f t="shared" si="1"/>
        <v>64000</v>
      </c>
      <c r="AB12" s="52"/>
      <c r="AC12" s="53">
        <v>64000</v>
      </c>
      <c r="AD12" s="54">
        <f t="shared" si="7"/>
        <v>64000</v>
      </c>
      <c r="AE12" s="55">
        <v>0</v>
      </c>
      <c r="AF12" s="56">
        <v>64000</v>
      </c>
      <c r="AG12" s="57">
        <f t="shared" si="2"/>
        <v>64000</v>
      </c>
      <c r="AH12" s="61"/>
      <c r="AI12" s="72">
        <v>64000</v>
      </c>
      <c r="AJ12" s="60">
        <f t="shared" si="3"/>
        <v>116000</v>
      </c>
      <c r="AK12" s="61">
        <v>116000</v>
      </c>
      <c r="AL12" s="62">
        <v>0</v>
      </c>
      <c r="AM12" s="60">
        <f t="shared" si="4"/>
        <v>91000</v>
      </c>
      <c r="AN12" s="61">
        <v>32000</v>
      </c>
      <c r="AO12" s="62">
        <v>59000</v>
      </c>
      <c r="AP12" s="60">
        <f t="shared" si="5"/>
        <v>192000</v>
      </c>
      <c r="AQ12" s="61">
        <v>150000</v>
      </c>
      <c r="AR12" s="62">
        <v>42000</v>
      </c>
      <c r="AS12" s="63">
        <v>420000</v>
      </c>
      <c r="AT12" s="66" t="s">
        <v>165</v>
      </c>
      <c r="AU12" s="46"/>
      <c r="AX12" s="17"/>
      <c r="AY12" s="17"/>
      <c r="AZ12" s="44"/>
      <c r="BA12" s="44"/>
      <c r="BB12" s="46"/>
      <c r="BC12" s="66"/>
    </row>
    <row r="13" spans="1:60">
      <c r="A13" s="11"/>
      <c r="B13" s="37">
        <v>13</v>
      </c>
      <c r="C13" s="37" t="s">
        <v>84</v>
      </c>
      <c r="D13" s="38" t="s">
        <v>81</v>
      </c>
      <c r="E13" s="37" t="s">
        <v>29</v>
      </c>
      <c r="F13" s="37" t="s">
        <v>267</v>
      </c>
      <c r="G13" s="39" t="s">
        <v>82</v>
      </c>
      <c r="H13" s="39" t="s">
        <v>83</v>
      </c>
      <c r="I13" s="37" t="s">
        <v>32</v>
      </c>
      <c r="J13" s="37" t="s">
        <v>33</v>
      </c>
      <c r="K13" s="17" t="s">
        <v>34</v>
      </c>
      <c r="L13" s="40" t="s">
        <v>35</v>
      </c>
      <c r="M13" s="41">
        <v>20</v>
      </c>
      <c r="N13" s="42" t="s">
        <v>85</v>
      </c>
      <c r="O13" s="43">
        <v>42461</v>
      </c>
      <c r="P13" s="66">
        <v>50000</v>
      </c>
      <c r="Q13" s="45">
        <f t="shared" si="6"/>
        <v>497348.51</v>
      </c>
      <c r="R13" s="46" t="e">
        <f>+Q13*#REF!</f>
        <v>#REF!</v>
      </c>
      <c r="S13" s="74"/>
      <c r="T13" s="74"/>
      <c r="U13" s="74">
        <v>15000</v>
      </c>
      <c r="V13" s="48">
        <f t="shared" si="0"/>
        <v>0</v>
      </c>
      <c r="W13" s="49"/>
      <c r="X13" s="49"/>
      <c r="Y13" s="49"/>
      <c r="Z13" s="50"/>
      <c r="AA13" s="51">
        <f t="shared" si="1"/>
        <v>45507</v>
      </c>
      <c r="AB13" s="52"/>
      <c r="AC13" s="53">
        <v>45507</v>
      </c>
      <c r="AD13" s="54">
        <f t="shared" si="7"/>
        <v>44627</v>
      </c>
      <c r="AE13" s="55">
        <v>0</v>
      </c>
      <c r="AF13" s="56">
        <v>44627</v>
      </c>
      <c r="AG13" s="57">
        <f t="shared" si="2"/>
        <v>133709.51</v>
      </c>
      <c r="AH13" s="79">
        <v>103671.4</v>
      </c>
      <c r="AI13" s="59">
        <v>30038.11</v>
      </c>
      <c r="AJ13" s="60">
        <f t="shared" si="3"/>
        <v>25000</v>
      </c>
      <c r="AK13" s="61">
        <v>0</v>
      </c>
      <c r="AL13" s="62">
        <v>25000</v>
      </c>
      <c r="AM13" s="60">
        <f t="shared" si="4"/>
        <v>65505</v>
      </c>
      <c r="AN13" s="62">
        <v>65505</v>
      </c>
      <c r="AO13" s="62">
        <v>0</v>
      </c>
      <c r="AP13" s="60">
        <f t="shared" si="5"/>
        <v>168000</v>
      </c>
      <c r="AQ13" s="62">
        <f>218000-50000</f>
        <v>168000</v>
      </c>
      <c r="AR13" s="62">
        <v>0</v>
      </c>
      <c r="AS13" s="63">
        <v>0</v>
      </c>
      <c r="AT13" s="66" t="s">
        <v>52</v>
      </c>
      <c r="AU13" s="46"/>
      <c r="AX13" s="17"/>
      <c r="AY13" s="17"/>
      <c r="AZ13" s="44"/>
      <c r="BA13" s="44"/>
      <c r="BB13" s="46"/>
      <c r="BC13" s="66"/>
    </row>
    <row r="14" spans="1:60">
      <c r="A14" s="12"/>
      <c r="B14" s="37">
        <v>14</v>
      </c>
      <c r="C14" s="37" t="s">
        <v>89</v>
      </c>
      <c r="D14" s="80" t="s">
        <v>86</v>
      </c>
      <c r="E14" s="37" t="s">
        <v>87</v>
      </c>
      <c r="F14" s="37" t="s">
        <v>269</v>
      </c>
      <c r="G14" s="39" t="s">
        <v>88</v>
      </c>
      <c r="H14" s="39"/>
      <c r="I14" s="37" t="s">
        <v>61</v>
      </c>
      <c r="J14" s="37" t="s">
        <v>41</v>
      </c>
      <c r="K14" s="17" t="s">
        <v>49</v>
      </c>
      <c r="L14" s="82" t="s">
        <v>90</v>
      </c>
      <c r="M14" s="83">
        <v>50</v>
      </c>
      <c r="N14" s="42" t="s">
        <v>85</v>
      </c>
      <c r="O14" s="43">
        <v>41671</v>
      </c>
      <c r="P14" s="66">
        <v>45000</v>
      </c>
      <c r="Q14" s="45">
        <f t="shared" si="6"/>
        <v>600000</v>
      </c>
      <c r="R14" s="46" t="e">
        <f>+Q14*#REF!</f>
        <v>#REF!</v>
      </c>
      <c r="S14" s="47"/>
      <c r="T14" s="47"/>
      <c r="U14" s="47"/>
      <c r="V14" s="48">
        <f t="shared" si="0"/>
        <v>0</v>
      </c>
      <c r="W14" s="49"/>
      <c r="X14" s="49"/>
      <c r="Y14" s="49"/>
      <c r="Z14" s="50"/>
      <c r="AA14" s="51">
        <f t="shared" si="1"/>
        <v>30000</v>
      </c>
      <c r="AB14" s="52"/>
      <c r="AC14" s="53">
        <v>30000</v>
      </c>
      <c r="AD14" s="54">
        <f t="shared" si="7"/>
        <v>30000</v>
      </c>
      <c r="AE14" s="55"/>
      <c r="AF14" s="56">
        <v>30000</v>
      </c>
      <c r="AG14" s="57">
        <f t="shared" si="2"/>
        <v>115000</v>
      </c>
      <c r="AH14" s="61">
        <v>115000</v>
      </c>
      <c r="AI14" s="72"/>
      <c r="AJ14" s="60">
        <f t="shared" si="3"/>
        <v>0</v>
      </c>
      <c r="AK14" s="61">
        <v>0</v>
      </c>
      <c r="AL14" s="62">
        <v>0</v>
      </c>
      <c r="AM14" s="60">
        <f t="shared" si="4"/>
        <v>0</v>
      </c>
      <c r="AN14" s="61">
        <v>0</v>
      </c>
      <c r="AO14" s="62">
        <v>0</v>
      </c>
      <c r="AP14" s="60">
        <f t="shared" si="5"/>
        <v>425000</v>
      </c>
      <c r="AQ14" s="61">
        <v>425000</v>
      </c>
      <c r="AR14" s="62">
        <v>0</v>
      </c>
      <c r="AS14" s="63">
        <v>0</v>
      </c>
      <c r="AT14" s="66" t="s">
        <v>52</v>
      </c>
      <c r="AU14" s="46"/>
      <c r="AZ14" s="18"/>
      <c r="BA14" s="18"/>
      <c r="BB14" s="46"/>
      <c r="BC14" s="66"/>
    </row>
    <row r="15" spans="1:60">
      <c r="A15" s="13"/>
      <c r="B15" s="37">
        <v>15</v>
      </c>
      <c r="C15" s="37" t="s">
        <v>94</v>
      </c>
      <c r="D15" s="38" t="s">
        <v>91</v>
      </c>
      <c r="E15" s="37" t="s">
        <v>92</v>
      </c>
      <c r="F15" s="37" t="s">
        <v>267</v>
      </c>
      <c r="G15" s="39" t="s">
        <v>93</v>
      </c>
      <c r="H15" s="39"/>
      <c r="I15" s="37" t="s">
        <v>32</v>
      </c>
      <c r="J15" s="37" t="s">
        <v>66</v>
      </c>
      <c r="K15" s="17" t="s">
        <v>95</v>
      </c>
      <c r="L15" s="17" t="s">
        <v>96</v>
      </c>
      <c r="M15" s="41">
        <v>20</v>
      </c>
      <c r="N15" s="42" t="s">
        <v>85</v>
      </c>
      <c r="O15" s="43">
        <v>42156</v>
      </c>
      <c r="P15" s="66">
        <v>45000</v>
      </c>
      <c r="Q15" s="45">
        <f t="shared" si="6"/>
        <v>446000</v>
      </c>
      <c r="R15" s="46" t="e">
        <f>+Q15*#REF!</f>
        <v>#REF!</v>
      </c>
      <c r="S15" s="47"/>
      <c r="T15" s="47"/>
      <c r="U15" s="47"/>
      <c r="V15" s="48">
        <f t="shared" si="0"/>
        <v>35000</v>
      </c>
      <c r="W15" s="49"/>
      <c r="X15" s="49">
        <v>35000</v>
      </c>
      <c r="Y15" s="49"/>
      <c r="Z15" s="50"/>
      <c r="AA15" s="51">
        <f t="shared" si="1"/>
        <v>15833</v>
      </c>
      <c r="AB15" s="52"/>
      <c r="AC15" s="53">
        <v>15833</v>
      </c>
      <c r="AD15" s="54">
        <f t="shared" si="7"/>
        <v>51453</v>
      </c>
      <c r="AE15" s="55">
        <v>0</v>
      </c>
      <c r="AF15" s="56">
        <f>29286+22167</f>
        <v>51453</v>
      </c>
      <c r="AG15" s="57">
        <f t="shared" si="2"/>
        <v>20714</v>
      </c>
      <c r="AH15" s="61"/>
      <c r="AI15" s="72">
        <v>20714</v>
      </c>
      <c r="AJ15" s="60">
        <f t="shared" si="3"/>
        <v>168000</v>
      </c>
      <c r="AK15" s="61">
        <f>75000+55000</f>
        <v>130000</v>
      </c>
      <c r="AL15" s="62">
        <v>38000</v>
      </c>
      <c r="AM15" s="60">
        <f t="shared" si="4"/>
        <v>0</v>
      </c>
      <c r="AN15" s="61">
        <v>0</v>
      </c>
      <c r="AO15" s="62">
        <v>0</v>
      </c>
      <c r="AP15" s="60">
        <f t="shared" si="5"/>
        <v>190000</v>
      </c>
      <c r="AQ15" s="61">
        <v>190000</v>
      </c>
      <c r="AR15" s="62">
        <v>0</v>
      </c>
      <c r="AS15" s="63">
        <v>0</v>
      </c>
      <c r="AT15" s="66" t="s">
        <v>52</v>
      </c>
      <c r="AU15" s="46"/>
      <c r="AX15" s="17"/>
      <c r="AY15" s="17"/>
      <c r="AZ15" s="44"/>
      <c r="BA15" s="44"/>
      <c r="BB15" s="46"/>
      <c r="BC15" s="66"/>
    </row>
    <row r="16" spans="1:60">
      <c r="A16" s="11"/>
      <c r="B16" s="37">
        <v>16</v>
      </c>
      <c r="C16" s="37" t="s">
        <v>101</v>
      </c>
      <c r="D16" s="80" t="s">
        <v>97</v>
      </c>
      <c r="E16" s="37" t="s">
        <v>98</v>
      </c>
      <c r="F16" s="37" t="s">
        <v>268</v>
      </c>
      <c r="G16" s="39" t="s">
        <v>99</v>
      </c>
      <c r="H16" s="39" t="s">
        <v>100</v>
      </c>
      <c r="I16" s="37" t="s">
        <v>102</v>
      </c>
      <c r="J16" s="37" t="s">
        <v>41</v>
      </c>
      <c r="K16" s="17" t="s">
        <v>49</v>
      </c>
      <c r="L16" s="40" t="s">
        <v>35</v>
      </c>
      <c r="M16" s="41">
        <v>140</v>
      </c>
      <c r="N16" s="42" t="s">
        <v>85</v>
      </c>
      <c r="O16" s="43">
        <v>42005</v>
      </c>
      <c r="P16" s="66">
        <v>130000</v>
      </c>
      <c r="Q16" s="45">
        <f t="shared" si="6"/>
        <v>1185000</v>
      </c>
      <c r="R16" s="46" t="e">
        <f>+Q16*#REF!</f>
        <v>#REF!</v>
      </c>
      <c r="S16" s="46"/>
      <c r="T16" s="46"/>
      <c r="U16" s="46"/>
      <c r="V16" s="48">
        <f t="shared" si="0"/>
        <v>205000</v>
      </c>
      <c r="W16" s="49">
        <v>205000</v>
      </c>
      <c r="X16" s="49"/>
      <c r="Y16" s="49"/>
      <c r="Z16" s="50"/>
      <c r="AA16" s="51">
        <f t="shared" si="1"/>
        <v>0</v>
      </c>
      <c r="AB16" s="73"/>
      <c r="AC16" s="78"/>
      <c r="AD16" s="54">
        <f t="shared" si="7"/>
        <v>205000</v>
      </c>
      <c r="AE16" s="55">
        <v>65000</v>
      </c>
      <c r="AF16" s="56">
        <v>140000</v>
      </c>
      <c r="AG16" s="57">
        <f t="shared" si="2"/>
        <v>0</v>
      </c>
      <c r="AH16" s="79"/>
      <c r="AI16" s="72"/>
      <c r="AJ16" s="60">
        <f t="shared" si="3"/>
        <v>325000</v>
      </c>
      <c r="AK16" s="61">
        <v>195000</v>
      </c>
      <c r="AL16" s="62">
        <v>130000</v>
      </c>
      <c r="AM16" s="60">
        <f t="shared" si="4"/>
        <v>415000</v>
      </c>
      <c r="AN16" s="61">
        <v>375000</v>
      </c>
      <c r="AO16" s="62">
        <v>40000</v>
      </c>
      <c r="AP16" s="60">
        <f t="shared" si="5"/>
        <v>240000</v>
      </c>
      <c r="AQ16" s="61">
        <v>240000</v>
      </c>
      <c r="AR16" s="62">
        <v>0</v>
      </c>
      <c r="AS16" s="63">
        <v>0</v>
      </c>
      <c r="AT16" s="66" t="s">
        <v>52</v>
      </c>
      <c r="AU16" s="46"/>
      <c r="AZ16" s="18"/>
      <c r="BA16" s="18"/>
      <c r="BB16" s="18"/>
      <c r="BC16" s="18"/>
    </row>
    <row r="17" spans="1:57">
      <c r="A17" s="12"/>
      <c r="B17" s="37">
        <v>19</v>
      </c>
      <c r="C17" s="37" t="s">
        <v>106</v>
      </c>
      <c r="D17" s="38" t="s">
        <v>103</v>
      </c>
      <c r="E17" s="37" t="s">
        <v>104</v>
      </c>
      <c r="F17" s="37" t="s">
        <v>271</v>
      </c>
      <c r="G17" s="39" t="s">
        <v>105</v>
      </c>
      <c r="H17" s="39"/>
      <c r="I17" s="37" t="s">
        <v>32</v>
      </c>
      <c r="J17" s="37" t="s">
        <v>33</v>
      </c>
      <c r="K17" s="17" t="s">
        <v>72</v>
      </c>
      <c r="L17" s="17" t="s">
        <v>107</v>
      </c>
      <c r="M17" s="41">
        <v>25</v>
      </c>
      <c r="N17" s="42" t="s">
        <v>85</v>
      </c>
      <c r="O17" s="43">
        <v>42339</v>
      </c>
      <c r="P17" s="66">
        <v>55000</v>
      </c>
      <c r="Q17" s="45">
        <f t="shared" si="6"/>
        <v>689779</v>
      </c>
      <c r="R17" s="46" t="e">
        <f>+Q17*#REF!</f>
        <v>#REF!</v>
      </c>
      <c r="S17" s="47"/>
      <c r="T17" s="47"/>
      <c r="U17" s="47"/>
      <c r="V17" s="48">
        <f t="shared" si="0"/>
        <v>0</v>
      </c>
      <c r="W17" s="49"/>
      <c r="X17" s="49"/>
      <c r="Y17" s="49"/>
      <c r="Z17" s="50"/>
      <c r="AA17" s="51">
        <f t="shared" si="1"/>
        <v>119900</v>
      </c>
      <c r="AB17" s="52"/>
      <c r="AC17" s="53">
        <v>119900</v>
      </c>
      <c r="AD17" s="54">
        <f t="shared" si="7"/>
        <v>47252</v>
      </c>
      <c r="AE17" s="55"/>
      <c r="AF17" s="56">
        <v>47252</v>
      </c>
      <c r="AG17" s="57">
        <f t="shared" si="2"/>
        <v>65000</v>
      </c>
      <c r="AH17" s="61">
        <f>25000+40000</f>
        <v>65000</v>
      </c>
      <c r="AI17" s="59"/>
      <c r="AJ17" s="60">
        <f t="shared" si="3"/>
        <v>131717</v>
      </c>
      <c r="AK17" s="61">
        <f>61749.5+69967.5</f>
        <v>131717</v>
      </c>
      <c r="AL17" s="62">
        <v>0</v>
      </c>
      <c r="AM17" s="60">
        <f t="shared" si="4"/>
        <v>158110</v>
      </c>
      <c r="AN17" s="61">
        <v>102510</v>
      </c>
      <c r="AO17" s="62">
        <v>55600</v>
      </c>
      <c r="AP17" s="60">
        <f t="shared" si="5"/>
        <v>167800</v>
      </c>
      <c r="AQ17" s="61">
        <v>167800</v>
      </c>
      <c r="AR17" s="62">
        <v>0</v>
      </c>
      <c r="AS17" s="63">
        <v>0</v>
      </c>
      <c r="AT17" s="66" t="s">
        <v>52</v>
      </c>
      <c r="AU17" s="46"/>
      <c r="AZ17" s="18"/>
      <c r="BA17" s="18"/>
      <c r="BB17" s="46"/>
      <c r="BC17" s="66"/>
    </row>
    <row r="18" spans="1:57">
      <c r="A18" s="13"/>
      <c r="B18" s="37">
        <v>20</v>
      </c>
      <c r="C18" s="37" t="s">
        <v>111</v>
      </c>
      <c r="D18" s="38" t="s">
        <v>108</v>
      </c>
      <c r="E18" s="37" t="s">
        <v>109</v>
      </c>
      <c r="F18" s="37" t="s">
        <v>269</v>
      </c>
      <c r="G18" s="39" t="s">
        <v>110</v>
      </c>
      <c r="H18" s="39"/>
      <c r="I18" s="37" t="s">
        <v>61</v>
      </c>
      <c r="J18" s="37" t="s">
        <v>66</v>
      </c>
      <c r="K18" s="17" t="s">
        <v>72</v>
      </c>
      <c r="L18" s="17" t="s">
        <v>112</v>
      </c>
      <c r="M18" s="41">
        <v>20</v>
      </c>
      <c r="N18" s="42" t="s">
        <v>113</v>
      </c>
      <c r="O18" s="67">
        <v>41974</v>
      </c>
      <c r="P18" s="66">
        <v>70000</v>
      </c>
      <c r="Q18" s="45">
        <f t="shared" si="6"/>
        <v>468000</v>
      </c>
      <c r="R18" s="46" t="e">
        <f>+Q18*#REF!</f>
        <v>#REF!</v>
      </c>
      <c r="S18" s="46"/>
      <c r="T18" s="46"/>
      <c r="U18" s="46"/>
      <c r="V18" s="48">
        <f t="shared" si="0"/>
        <v>0</v>
      </c>
      <c r="W18" s="49"/>
      <c r="X18" s="49"/>
      <c r="Y18" s="49"/>
      <c r="Z18" s="50"/>
      <c r="AA18" s="51">
        <f t="shared" si="1"/>
        <v>0</v>
      </c>
      <c r="AB18" s="52"/>
      <c r="AC18" s="68"/>
      <c r="AD18" s="54">
        <f t="shared" si="7"/>
        <v>38334</v>
      </c>
      <c r="AE18" s="55">
        <v>0</v>
      </c>
      <c r="AF18" s="56">
        <v>38334</v>
      </c>
      <c r="AG18" s="57">
        <f t="shared" si="2"/>
        <v>76666</v>
      </c>
      <c r="AH18" s="61">
        <v>76666</v>
      </c>
      <c r="AI18" s="72"/>
      <c r="AJ18" s="60">
        <f t="shared" si="3"/>
        <v>58000</v>
      </c>
      <c r="AK18" s="61">
        <v>58000</v>
      </c>
      <c r="AL18" s="62">
        <v>0</v>
      </c>
      <c r="AM18" s="60">
        <f t="shared" si="4"/>
        <v>295000</v>
      </c>
      <c r="AN18" s="61">
        <v>295000</v>
      </c>
      <c r="AO18" s="62">
        <v>0</v>
      </c>
      <c r="AP18" s="60">
        <f t="shared" si="5"/>
        <v>0</v>
      </c>
      <c r="AQ18" s="61">
        <v>0</v>
      </c>
      <c r="AR18" s="62">
        <v>0</v>
      </c>
      <c r="AS18" s="63">
        <v>0</v>
      </c>
      <c r="AT18" s="66" t="s">
        <v>52</v>
      </c>
      <c r="AU18" s="46"/>
      <c r="AY18" s="65"/>
      <c r="AZ18" s="18"/>
      <c r="BA18" s="18"/>
      <c r="BB18" s="46"/>
      <c r="BC18" s="66"/>
      <c r="BD18" s="17"/>
      <c r="BE18" s="44"/>
    </row>
    <row r="19" spans="1:57">
      <c r="A19" s="11"/>
      <c r="B19" s="37">
        <v>21</v>
      </c>
      <c r="C19" s="37" t="s">
        <v>117</v>
      </c>
      <c r="D19" s="38" t="s">
        <v>114</v>
      </c>
      <c r="E19" s="37" t="s">
        <v>115</v>
      </c>
      <c r="F19" s="37" t="s">
        <v>268</v>
      </c>
      <c r="G19" s="39" t="s">
        <v>116</v>
      </c>
      <c r="H19" s="39"/>
      <c r="I19" s="37" t="s">
        <v>118</v>
      </c>
      <c r="J19" s="37" t="s">
        <v>33</v>
      </c>
      <c r="K19" s="17" t="s">
        <v>72</v>
      </c>
      <c r="L19" s="17" t="s">
        <v>119</v>
      </c>
      <c r="M19" s="41">
        <v>35</v>
      </c>
      <c r="N19" s="42" t="s">
        <v>113</v>
      </c>
      <c r="O19" s="67">
        <v>42156</v>
      </c>
      <c r="P19" s="44">
        <v>100000</v>
      </c>
      <c r="Q19" s="45">
        <f t="shared" si="6"/>
        <v>697709.8</v>
      </c>
      <c r="R19" s="46" t="e">
        <f>+Q19*#REF!</f>
        <v>#REF!</v>
      </c>
      <c r="S19" s="84"/>
      <c r="T19" s="84"/>
      <c r="U19" s="84"/>
      <c r="V19" s="48">
        <f t="shared" si="0"/>
        <v>55000</v>
      </c>
      <c r="W19" s="49"/>
      <c r="X19" s="49"/>
      <c r="Y19" s="49">
        <v>55000</v>
      </c>
      <c r="Z19" s="50"/>
      <c r="AA19" s="51">
        <f t="shared" si="1"/>
        <v>59855</v>
      </c>
      <c r="AB19" s="52"/>
      <c r="AC19" s="53">
        <v>59855</v>
      </c>
      <c r="AD19" s="54">
        <f t="shared" si="7"/>
        <v>59854.8</v>
      </c>
      <c r="AE19" s="55">
        <v>59854.8</v>
      </c>
      <c r="AF19" s="56">
        <v>0</v>
      </c>
      <c r="AG19" s="57">
        <f t="shared" si="2"/>
        <v>0</v>
      </c>
      <c r="AH19" s="61"/>
      <c r="AI19" s="72"/>
      <c r="AJ19" s="60">
        <f t="shared" si="3"/>
        <v>310000</v>
      </c>
      <c r="AK19" s="61">
        <v>310000</v>
      </c>
      <c r="AL19" s="62">
        <v>0</v>
      </c>
      <c r="AM19" s="60">
        <f t="shared" si="4"/>
        <v>268000</v>
      </c>
      <c r="AN19" s="61">
        <v>268000</v>
      </c>
      <c r="AO19" s="62">
        <v>0</v>
      </c>
      <c r="AP19" s="60">
        <f t="shared" si="5"/>
        <v>0</v>
      </c>
      <c r="AQ19" s="61">
        <v>0</v>
      </c>
      <c r="AR19" s="62">
        <v>0</v>
      </c>
      <c r="AS19" s="63">
        <v>0</v>
      </c>
      <c r="AT19" s="44" t="s">
        <v>52</v>
      </c>
      <c r="AU19" s="46"/>
      <c r="AZ19" s="18"/>
      <c r="BA19" s="18"/>
      <c r="BB19" s="18"/>
      <c r="BC19" s="18"/>
    </row>
    <row r="20" spans="1:57">
      <c r="A20" s="12"/>
      <c r="B20" s="37">
        <v>22</v>
      </c>
      <c r="C20" s="37" t="s">
        <v>123</v>
      </c>
      <c r="D20" s="80" t="s">
        <v>120</v>
      </c>
      <c r="E20" s="37" t="s">
        <v>121</v>
      </c>
      <c r="F20" s="37" t="s">
        <v>269</v>
      </c>
      <c r="G20" s="39" t="s">
        <v>122</v>
      </c>
      <c r="H20" s="39"/>
      <c r="I20" s="37" t="s">
        <v>61</v>
      </c>
      <c r="J20" s="37" t="s">
        <v>41</v>
      </c>
      <c r="K20" s="17" t="s">
        <v>49</v>
      </c>
      <c r="L20" s="82" t="s">
        <v>124</v>
      </c>
      <c r="M20" s="83">
        <v>20</v>
      </c>
      <c r="N20" s="42" t="s">
        <v>113</v>
      </c>
      <c r="O20" s="67">
        <v>41974</v>
      </c>
      <c r="P20" s="44">
        <v>30000</v>
      </c>
      <c r="Q20" s="45">
        <f t="shared" si="6"/>
        <v>500000</v>
      </c>
      <c r="R20" s="46" t="e">
        <f>+Q20*#REF!</f>
        <v>#REF!</v>
      </c>
      <c r="S20" s="46"/>
      <c r="T20" s="46"/>
      <c r="U20" s="46"/>
      <c r="V20" s="48">
        <f t="shared" si="0"/>
        <v>0</v>
      </c>
      <c r="W20" s="49"/>
      <c r="X20" s="49"/>
      <c r="Y20" s="49"/>
      <c r="Z20" s="50"/>
      <c r="AA20" s="51">
        <f t="shared" si="1"/>
        <v>100000</v>
      </c>
      <c r="AB20" s="52"/>
      <c r="AC20" s="78">
        <v>100000</v>
      </c>
      <c r="AD20" s="54">
        <f t="shared" si="7"/>
        <v>0</v>
      </c>
      <c r="AE20" s="55">
        <v>0</v>
      </c>
      <c r="AF20" s="56">
        <v>0</v>
      </c>
      <c r="AG20" s="57">
        <f t="shared" si="2"/>
        <v>40000</v>
      </c>
      <c r="AH20" s="61">
        <v>0</v>
      </c>
      <c r="AI20" s="72">
        <v>40000</v>
      </c>
      <c r="AJ20" s="60">
        <f t="shared" si="3"/>
        <v>90000</v>
      </c>
      <c r="AK20" s="61">
        <v>30000</v>
      </c>
      <c r="AL20" s="62">
        <v>60000</v>
      </c>
      <c r="AM20" s="60">
        <f t="shared" si="4"/>
        <v>270000</v>
      </c>
      <c r="AN20" s="61">
        <v>270000</v>
      </c>
      <c r="AO20" s="62">
        <v>0</v>
      </c>
      <c r="AP20" s="60">
        <f t="shared" si="5"/>
        <v>0</v>
      </c>
      <c r="AQ20" s="61">
        <v>0</v>
      </c>
      <c r="AR20" s="62">
        <v>0</v>
      </c>
      <c r="AS20" s="63">
        <v>0</v>
      </c>
      <c r="AT20" s="44" t="s">
        <v>165</v>
      </c>
      <c r="AU20" s="46"/>
      <c r="AZ20" s="18"/>
      <c r="BA20" s="18"/>
      <c r="BB20" s="46"/>
      <c r="BC20" s="66"/>
    </row>
    <row r="21" spans="1:57">
      <c r="A21" s="13"/>
      <c r="B21" s="37">
        <v>23</v>
      </c>
      <c r="C21" s="37" t="s">
        <v>129</v>
      </c>
      <c r="D21" s="80" t="s">
        <v>125</v>
      </c>
      <c r="E21" s="37" t="s">
        <v>126</v>
      </c>
      <c r="F21" s="37" t="s">
        <v>268</v>
      </c>
      <c r="G21" s="39" t="s">
        <v>127</v>
      </c>
      <c r="H21" s="39" t="s">
        <v>128</v>
      </c>
      <c r="I21" s="37" t="s">
        <v>102</v>
      </c>
      <c r="J21" s="37" t="s">
        <v>41</v>
      </c>
      <c r="K21" s="17" t="s">
        <v>72</v>
      </c>
      <c r="L21" s="17" t="s">
        <v>130</v>
      </c>
      <c r="M21" s="41">
        <v>40</v>
      </c>
      <c r="N21" s="42" t="s">
        <v>113</v>
      </c>
      <c r="O21" s="67">
        <v>41760</v>
      </c>
      <c r="P21" s="44">
        <v>110000</v>
      </c>
      <c r="Q21" s="45">
        <f t="shared" si="6"/>
        <v>750000</v>
      </c>
      <c r="R21" s="46" t="e">
        <f>+Q21*#REF!</f>
        <v>#REF!</v>
      </c>
      <c r="S21" s="46"/>
      <c r="T21" s="46"/>
      <c r="U21" s="46"/>
      <c r="V21" s="48">
        <f t="shared" si="0"/>
        <v>0</v>
      </c>
      <c r="W21" s="49"/>
      <c r="X21" s="49"/>
      <c r="Y21" s="49"/>
      <c r="Z21" s="50"/>
      <c r="AA21" s="51">
        <f t="shared" si="1"/>
        <v>0</v>
      </c>
      <c r="AB21" s="52"/>
      <c r="AC21" s="68"/>
      <c r="AD21" s="54">
        <f t="shared" si="7"/>
        <v>0</v>
      </c>
      <c r="AE21" s="55">
        <v>0</v>
      </c>
      <c r="AF21" s="56">
        <v>0</v>
      </c>
      <c r="AG21" s="57">
        <f t="shared" si="2"/>
        <v>20000</v>
      </c>
      <c r="AH21" s="61">
        <v>20000</v>
      </c>
      <c r="AI21" s="72">
        <v>0</v>
      </c>
      <c r="AJ21" s="60">
        <f t="shared" si="3"/>
        <v>50000</v>
      </c>
      <c r="AK21" s="61">
        <v>50000</v>
      </c>
      <c r="AL21" s="62">
        <v>0</v>
      </c>
      <c r="AM21" s="60">
        <f t="shared" si="4"/>
        <v>680000</v>
      </c>
      <c r="AN21" s="61">
        <v>680000</v>
      </c>
      <c r="AO21" s="62">
        <v>0</v>
      </c>
      <c r="AP21" s="60">
        <f t="shared" si="5"/>
        <v>0</v>
      </c>
      <c r="AQ21" s="61">
        <v>0</v>
      </c>
      <c r="AR21" s="62">
        <v>0</v>
      </c>
      <c r="AS21" s="63">
        <v>0</v>
      </c>
      <c r="AT21" s="44" t="s">
        <v>165</v>
      </c>
      <c r="AU21" s="46"/>
      <c r="AZ21" s="18"/>
      <c r="BA21" s="18"/>
      <c r="BB21" s="18"/>
      <c r="BC21" s="18"/>
    </row>
    <row r="22" spans="1:57">
      <c r="A22" s="11"/>
      <c r="B22" s="37">
        <v>24</v>
      </c>
      <c r="C22" s="37" t="s">
        <v>134</v>
      </c>
      <c r="D22" s="38" t="s">
        <v>131</v>
      </c>
      <c r="E22" s="37" t="s">
        <v>132</v>
      </c>
      <c r="F22" s="37" t="s">
        <v>269</v>
      </c>
      <c r="G22" s="39" t="s">
        <v>133</v>
      </c>
      <c r="H22" s="39"/>
      <c r="I22" s="37" t="s">
        <v>32</v>
      </c>
      <c r="J22" s="37" t="s">
        <v>33</v>
      </c>
      <c r="K22" s="17" t="s">
        <v>49</v>
      </c>
      <c r="L22" s="40" t="s">
        <v>35</v>
      </c>
      <c r="M22" s="41">
        <v>50</v>
      </c>
      <c r="N22" s="42" t="s">
        <v>113</v>
      </c>
      <c r="O22" s="67">
        <v>41944</v>
      </c>
      <c r="P22" s="66">
        <v>45000</v>
      </c>
      <c r="Q22" s="45">
        <f t="shared" si="6"/>
        <v>440000</v>
      </c>
      <c r="R22" s="46" t="e">
        <f>+Q22*#REF!</f>
        <v>#REF!</v>
      </c>
      <c r="S22" s="46"/>
      <c r="T22" s="46"/>
      <c r="U22" s="46"/>
      <c r="V22" s="48">
        <f t="shared" si="0"/>
        <v>0</v>
      </c>
      <c r="W22" s="49"/>
      <c r="X22" s="49"/>
      <c r="Y22" s="49"/>
      <c r="Z22" s="50"/>
      <c r="AA22" s="51">
        <f t="shared" si="1"/>
        <v>0</v>
      </c>
      <c r="AB22" s="52"/>
      <c r="AC22" s="68"/>
      <c r="AD22" s="54">
        <f t="shared" si="7"/>
        <v>0</v>
      </c>
      <c r="AE22" s="55"/>
      <c r="AF22" s="56">
        <v>0</v>
      </c>
      <c r="AG22" s="57">
        <f t="shared" si="2"/>
        <v>150000</v>
      </c>
      <c r="AH22" s="61">
        <v>150000</v>
      </c>
      <c r="AI22" s="72">
        <v>0</v>
      </c>
      <c r="AJ22" s="60">
        <f t="shared" si="3"/>
        <v>140000</v>
      </c>
      <c r="AK22" s="61">
        <v>140000</v>
      </c>
      <c r="AL22" s="62">
        <v>0</v>
      </c>
      <c r="AM22" s="60">
        <f t="shared" si="4"/>
        <v>150000</v>
      </c>
      <c r="AN22" s="61">
        <v>150000</v>
      </c>
      <c r="AO22" s="62">
        <v>0</v>
      </c>
      <c r="AP22" s="60">
        <f t="shared" si="5"/>
        <v>0</v>
      </c>
      <c r="AQ22" s="61">
        <v>0</v>
      </c>
      <c r="AR22" s="62">
        <v>0</v>
      </c>
      <c r="AS22" s="63">
        <v>0</v>
      </c>
      <c r="AT22" s="66" t="s">
        <v>52</v>
      </c>
      <c r="AU22" s="46"/>
      <c r="AZ22" s="18"/>
      <c r="BA22" s="18"/>
      <c r="BB22" s="46"/>
      <c r="BC22" s="66"/>
      <c r="BD22" s="17"/>
      <c r="BE22" s="44"/>
    </row>
    <row r="23" spans="1:57">
      <c r="A23" s="12"/>
      <c r="B23" s="37">
        <v>25</v>
      </c>
      <c r="C23" s="37" t="s">
        <v>138</v>
      </c>
      <c r="D23" s="80" t="s">
        <v>135</v>
      </c>
      <c r="E23" s="37" t="s">
        <v>136</v>
      </c>
      <c r="F23" s="37" t="s">
        <v>271</v>
      </c>
      <c r="G23" s="39" t="s">
        <v>137</v>
      </c>
      <c r="H23" s="39"/>
      <c r="I23" s="37" t="s">
        <v>61</v>
      </c>
      <c r="J23" s="37" t="s">
        <v>33</v>
      </c>
      <c r="K23" s="17" t="s">
        <v>95</v>
      </c>
      <c r="L23" s="85" t="s">
        <v>139</v>
      </c>
      <c r="M23" s="86">
        <v>15</v>
      </c>
      <c r="N23" s="42" t="s">
        <v>113</v>
      </c>
      <c r="O23" s="43">
        <v>42035</v>
      </c>
      <c r="P23" s="66">
        <v>90000</v>
      </c>
      <c r="Q23" s="45">
        <f t="shared" si="6"/>
        <v>634500</v>
      </c>
      <c r="R23" s="46" t="e">
        <f>+Q23*#REF!</f>
        <v>#REF!</v>
      </c>
      <c r="S23" s="46"/>
      <c r="T23" s="46"/>
      <c r="U23" s="46"/>
      <c r="V23" s="48">
        <f t="shared" si="0"/>
        <v>0</v>
      </c>
      <c r="W23" s="49"/>
      <c r="X23" s="49"/>
      <c r="Y23" s="49"/>
      <c r="Z23" s="50"/>
      <c r="AA23" s="51">
        <f t="shared" si="1"/>
        <v>0</v>
      </c>
      <c r="AB23" s="73"/>
      <c r="AC23" s="78"/>
      <c r="AD23" s="54">
        <f t="shared" si="7"/>
        <v>130000</v>
      </c>
      <c r="AE23" s="55">
        <v>40000</v>
      </c>
      <c r="AF23" s="56">
        <v>90000</v>
      </c>
      <c r="AG23" s="57">
        <f t="shared" si="2"/>
        <v>0</v>
      </c>
      <c r="AH23" s="61">
        <v>0</v>
      </c>
      <c r="AI23" s="72">
        <v>0</v>
      </c>
      <c r="AJ23" s="60">
        <f t="shared" si="3"/>
        <v>124500</v>
      </c>
      <c r="AK23" s="61">
        <v>67500</v>
      </c>
      <c r="AL23" s="62">
        <v>57000</v>
      </c>
      <c r="AM23" s="60">
        <f t="shared" si="4"/>
        <v>380000</v>
      </c>
      <c r="AN23" s="61">
        <v>380000</v>
      </c>
      <c r="AO23" s="62">
        <v>0</v>
      </c>
      <c r="AP23" s="60">
        <f t="shared" si="5"/>
        <v>0</v>
      </c>
      <c r="AQ23" s="61">
        <v>0</v>
      </c>
      <c r="AR23" s="62">
        <v>0</v>
      </c>
      <c r="AS23" s="63">
        <v>0</v>
      </c>
      <c r="AT23" s="66" t="s">
        <v>52</v>
      </c>
      <c r="AU23" s="46"/>
      <c r="AZ23" s="18"/>
      <c r="BA23" s="18"/>
      <c r="BB23" s="46"/>
      <c r="BC23" s="66"/>
    </row>
    <row r="24" spans="1:57">
      <c r="A24" s="13"/>
      <c r="B24" s="37">
        <v>26</v>
      </c>
      <c r="C24" s="37" t="s">
        <v>140</v>
      </c>
      <c r="D24" s="38" t="s">
        <v>140</v>
      </c>
      <c r="E24" s="37" t="s">
        <v>141</v>
      </c>
      <c r="F24" s="37" t="s">
        <v>271</v>
      </c>
      <c r="G24" s="39" t="s">
        <v>142</v>
      </c>
      <c r="H24" s="39" t="s">
        <v>143</v>
      </c>
      <c r="I24" s="37" t="s">
        <v>32</v>
      </c>
      <c r="J24" s="37" t="s">
        <v>41</v>
      </c>
      <c r="K24" s="17" t="s">
        <v>144</v>
      </c>
      <c r="L24" s="17" t="s">
        <v>145</v>
      </c>
      <c r="M24" s="41">
        <v>25</v>
      </c>
      <c r="N24" s="42" t="s">
        <v>113</v>
      </c>
      <c r="O24" s="43">
        <v>42186</v>
      </c>
      <c r="P24" s="66">
        <v>50000</v>
      </c>
      <c r="Q24" s="45">
        <f t="shared" si="6"/>
        <v>862038</v>
      </c>
      <c r="R24" s="46" t="e">
        <f>+Q24*#REF!</f>
        <v>#REF!</v>
      </c>
      <c r="S24" s="46"/>
      <c r="T24" s="125">
        <v>55000</v>
      </c>
      <c r="U24" s="125">
        <v>110000</v>
      </c>
      <c r="V24" s="48">
        <f t="shared" si="0"/>
        <v>55000</v>
      </c>
      <c r="W24" s="49"/>
      <c r="X24" s="49">
        <v>55000</v>
      </c>
      <c r="Y24" s="49"/>
      <c r="Z24" s="50"/>
      <c r="AA24" s="51">
        <f t="shared" si="1"/>
        <v>55000</v>
      </c>
      <c r="AB24" s="73"/>
      <c r="AC24" s="78">
        <v>55000</v>
      </c>
      <c r="AD24" s="54">
        <f t="shared" si="7"/>
        <v>215238</v>
      </c>
      <c r="AE24" s="55">
        <f>215238-AF24</f>
        <v>169238</v>
      </c>
      <c r="AF24" s="56">
        <v>46000</v>
      </c>
      <c r="AG24" s="57">
        <f t="shared" si="2"/>
        <v>0</v>
      </c>
      <c r="AH24" s="61">
        <v>0</v>
      </c>
      <c r="AI24" s="72">
        <v>0</v>
      </c>
      <c r="AJ24" s="60">
        <f t="shared" si="3"/>
        <v>0</v>
      </c>
      <c r="AK24" s="61">
        <v>0</v>
      </c>
      <c r="AL24" s="62">
        <v>0</v>
      </c>
      <c r="AM24" s="60">
        <f t="shared" si="4"/>
        <v>426800</v>
      </c>
      <c r="AN24" s="61">
        <v>426800</v>
      </c>
      <c r="AO24" s="62">
        <v>0</v>
      </c>
      <c r="AP24" s="60">
        <f t="shared" si="5"/>
        <v>0</v>
      </c>
      <c r="AQ24" s="61">
        <v>0</v>
      </c>
      <c r="AR24" s="62">
        <v>0</v>
      </c>
      <c r="AS24" s="63">
        <v>0</v>
      </c>
      <c r="AT24" s="66" t="s">
        <v>52</v>
      </c>
      <c r="AU24" s="46"/>
      <c r="AZ24" s="18"/>
      <c r="BA24" s="18"/>
      <c r="BB24" s="46"/>
      <c r="BC24" s="66"/>
      <c r="BD24" s="17"/>
      <c r="BE24" s="44"/>
    </row>
    <row r="25" spans="1:57">
      <c r="A25" s="11"/>
      <c r="B25" s="37">
        <v>27</v>
      </c>
      <c r="C25" s="37" t="s">
        <v>146</v>
      </c>
      <c r="D25" s="80" t="s">
        <v>146</v>
      </c>
      <c r="E25" s="37" t="s">
        <v>115</v>
      </c>
      <c r="F25" s="37" t="s">
        <v>268</v>
      </c>
      <c r="G25" s="39"/>
      <c r="H25" s="39"/>
      <c r="I25" s="37" t="s">
        <v>118</v>
      </c>
      <c r="J25" s="37" t="s">
        <v>33</v>
      </c>
      <c r="K25" s="17" t="s">
        <v>72</v>
      </c>
      <c r="L25" s="17" t="s">
        <v>119</v>
      </c>
      <c r="M25" s="41">
        <v>10</v>
      </c>
      <c r="N25" s="42" t="s">
        <v>113</v>
      </c>
      <c r="O25" s="43" t="s">
        <v>147</v>
      </c>
      <c r="P25" s="66"/>
      <c r="Q25" s="45">
        <f t="shared" si="6"/>
        <v>190000</v>
      </c>
      <c r="R25" s="46" t="e">
        <f>+Q25*#REF!</f>
        <v>#REF!</v>
      </c>
      <c r="S25" s="46"/>
      <c r="T25" s="46"/>
      <c r="U25" s="46"/>
      <c r="V25" s="48">
        <f t="shared" si="0"/>
        <v>0</v>
      </c>
      <c r="W25" s="49"/>
      <c r="X25" s="49"/>
      <c r="Y25" s="49"/>
      <c r="Z25" s="50"/>
      <c r="AA25" s="51">
        <f t="shared" si="1"/>
        <v>0</v>
      </c>
      <c r="AB25" s="52"/>
      <c r="AC25" s="68"/>
      <c r="AD25" s="54">
        <f t="shared" si="7"/>
        <v>0</v>
      </c>
      <c r="AE25" s="55">
        <v>0</v>
      </c>
      <c r="AF25" s="56">
        <v>0</v>
      </c>
      <c r="AG25" s="57">
        <f t="shared" si="2"/>
        <v>0</v>
      </c>
      <c r="AH25" s="61">
        <v>0</v>
      </c>
      <c r="AI25" s="72">
        <v>0</v>
      </c>
      <c r="AJ25" s="60">
        <f t="shared" si="3"/>
        <v>0</v>
      </c>
      <c r="AK25" s="61">
        <v>0</v>
      </c>
      <c r="AL25" s="62">
        <v>0</v>
      </c>
      <c r="AM25" s="60">
        <f t="shared" si="4"/>
        <v>190000</v>
      </c>
      <c r="AN25" s="61">
        <v>190000</v>
      </c>
      <c r="AO25" s="62">
        <v>0</v>
      </c>
      <c r="AP25" s="60">
        <f t="shared" si="5"/>
        <v>0</v>
      </c>
      <c r="AQ25" s="61">
        <v>0</v>
      </c>
      <c r="AR25" s="62">
        <v>0</v>
      </c>
      <c r="AS25" s="63">
        <v>0</v>
      </c>
      <c r="AT25" s="66" t="s">
        <v>165</v>
      </c>
      <c r="AU25" s="37"/>
      <c r="AV25" s="37" t="s">
        <v>237</v>
      </c>
      <c r="AW25" s="37" t="s">
        <v>238</v>
      </c>
      <c r="AX25" s="37" t="s">
        <v>237</v>
      </c>
      <c r="AY25" s="37"/>
      <c r="AZ25" s="66"/>
      <c r="BA25" s="66"/>
      <c r="BB25" s="66"/>
      <c r="BC25" s="18"/>
      <c r="BD25" s="17"/>
      <c r="BE25" s="44"/>
    </row>
    <row r="26" spans="1:57">
      <c r="A26" s="12"/>
      <c r="B26" s="37">
        <v>29</v>
      </c>
      <c r="C26" s="37" t="s">
        <v>152</v>
      </c>
      <c r="D26" s="80" t="s">
        <v>148</v>
      </c>
      <c r="E26" s="37" t="s">
        <v>149</v>
      </c>
      <c r="F26" s="37" t="s">
        <v>271</v>
      </c>
      <c r="G26" s="39" t="s">
        <v>150</v>
      </c>
      <c r="H26" s="39" t="s">
        <v>151</v>
      </c>
      <c r="I26" s="37" t="s">
        <v>61</v>
      </c>
      <c r="J26" s="37" t="s">
        <v>41</v>
      </c>
      <c r="K26" s="17" t="s">
        <v>144</v>
      </c>
      <c r="L26" s="17" t="s">
        <v>153</v>
      </c>
      <c r="M26" s="41">
        <v>10</v>
      </c>
      <c r="N26" s="42" t="s">
        <v>154</v>
      </c>
      <c r="O26" s="43">
        <v>41579</v>
      </c>
      <c r="P26" s="66">
        <v>75000</v>
      </c>
      <c r="Q26" s="45">
        <f t="shared" si="6"/>
        <v>450000</v>
      </c>
      <c r="R26" s="46" t="e">
        <f>+Q26*#REF!</f>
        <v>#REF!</v>
      </c>
      <c r="S26" s="46"/>
      <c r="T26" s="46"/>
      <c r="U26" s="46"/>
      <c r="V26" s="48">
        <f t="shared" si="0"/>
        <v>0</v>
      </c>
      <c r="W26" s="49"/>
      <c r="X26" s="49"/>
      <c r="Y26" s="49"/>
      <c r="Z26" s="50"/>
      <c r="AA26" s="51">
        <f t="shared" si="1"/>
        <v>0</v>
      </c>
      <c r="AB26" s="52"/>
      <c r="AC26" s="68"/>
      <c r="AD26" s="54">
        <f t="shared" si="7"/>
        <v>0</v>
      </c>
      <c r="AE26" s="55">
        <v>0</v>
      </c>
      <c r="AF26" s="56">
        <v>0</v>
      </c>
      <c r="AG26" s="57">
        <f t="shared" si="2"/>
        <v>0</v>
      </c>
      <c r="AH26" s="61">
        <v>0</v>
      </c>
      <c r="AI26" s="72">
        <v>0</v>
      </c>
      <c r="AJ26" s="60">
        <f t="shared" si="3"/>
        <v>450000</v>
      </c>
      <c r="AK26" s="61">
        <v>450000</v>
      </c>
      <c r="AL26" s="62">
        <v>0</v>
      </c>
      <c r="AM26" s="60">
        <f t="shared" si="4"/>
        <v>0</v>
      </c>
      <c r="AN26" s="62">
        <v>0</v>
      </c>
      <c r="AO26" s="62">
        <v>0</v>
      </c>
      <c r="AP26" s="60">
        <f t="shared" si="5"/>
        <v>0</v>
      </c>
      <c r="AQ26" s="62">
        <v>0</v>
      </c>
      <c r="AR26" s="62">
        <v>0</v>
      </c>
      <c r="AS26" s="63">
        <v>0</v>
      </c>
      <c r="AT26" s="66" t="s">
        <v>165</v>
      </c>
      <c r="AU26" s="46"/>
      <c r="AZ26" s="18"/>
      <c r="BA26" s="18"/>
      <c r="BB26" s="46"/>
      <c r="BC26" s="66"/>
      <c r="BD26" s="17"/>
      <c r="BE26" s="44"/>
    </row>
    <row r="27" spans="1:57">
      <c r="A27" s="13"/>
      <c r="B27" s="37">
        <v>30</v>
      </c>
      <c r="C27" s="37" t="s">
        <v>260</v>
      </c>
      <c r="D27" s="38" t="s">
        <v>259</v>
      </c>
      <c r="E27" s="37" t="s">
        <v>98</v>
      </c>
      <c r="F27" s="37" t="s">
        <v>268</v>
      </c>
      <c r="G27" s="37"/>
      <c r="H27" s="37"/>
      <c r="I27" s="37" t="s">
        <v>102</v>
      </c>
      <c r="J27" s="37" t="s">
        <v>33</v>
      </c>
      <c r="K27" s="17" t="s">
        <v>72</v>
      </c>
      <c r="L27" s="17" t="s">
        <v>251</v>
      </c>
      <c r="M27" s="41">
        <v>100</v>
      </c>
      <c r="N27" s="42" t="s">
        <v>154</v>
      </c>
      <c r="O27" s="43">
        <v>42003</v>
      </c>
      <c r="P27" s="66">
        <v>120000</v>
      </c>
      <c r="Q27" s="45">
        <f t="shared" si="6"/>
        <v>783000</v>
      </c>
      <c r="R27" s="46" t="e">
        <f>+Q27*#REF!</f>
        <v>#REF!</v>
      </c>
      <c r="S27" s="46"/>
      <c r="T27" s="46"/>
      <c r="U27" s="46"/>
      <c r="V27" s="48">
        <f t="shared" si="0"/>
        <v>0</v>
      </c>
      <c r="W27" s="49"/>
      <c r="X27" s="49"/>
      <c r="Y27" s="49"/>
      <c r="Z27" s="50"/>
      <c r="AA27" s="51">
        <f t="shared" si="1"/>
        <v>0</v>
      </c>
      <c r="AB27" s="52"/>
      <c r="AC27" s="68"/>
      <c r="AD27" s="54">
        <f t="shared" si="7"/>
        <v>0</v>
      </c>
      <c r="AE27" s="55">
        <v>0</v>
      </c>
      <c r="AF27" s="56">
        <v>0</v>
      </c>
      <c r="AG27" s="57">
        <f t="shared" si="2"/>
        <v>273000</v>
      </c>
      <c r="AH27" s="61">
        <v>273000</v>
      </c>
      <c r="AI27" s="72">
        <v>0</v>
      </c>
      <c r="AJ27" s="60">
        <f t="shared" si="3"/>
        <v>510000</v>
      </c>
      <c r="AK27" s="61">
        <v>510000</v>
      </c>
      <c r="AL27" s="62">
        <v>0</v>
      </c>
      <c r="AM27" s="60">
        <f t="shared" si="4"/>
        <v>0</v>
      </c>
      <c r="AN27" s="61">
        <v>0</v>
      </c>
      <c r="AO27" s="62">
        <v>0</v>
      </c>
      <c r="AP27" s="60">
        <f t="shared" si="5"/>
        <v>0</v>
      </c>
      <c r="AQ27" s="61">
        <v>0</v>
      </c>
      <c r="AR27" s="62">
        <v>0</v>
      </c>
      <c r="AS27" s="63">
        <v>0</v>
      </c>
      <c r="AT27" s="66" t="s">
        <v>52</v>
      </c>
      <c r="AU27" s="46"/>
      <c r="AZ27" s="18"/>
      <c r="BA27" s="18"/>
      <c r="BB27" s="18"/>
      <c r="BC27" s="18"/>
    </row>
    <row r="28" spans="1:57">
      <c r="A28" s="11"/>
      <c r="B28" s="37">
        <v>31</v>
      </c>
      <c r="C28" s="37" t="s">
        <v>158</v>
      </c>
      <c r="D28" s="38" t="s">
        <v>155</v>
      </c>
      <c r="E28" s="37" t="s">
        <v>156</v>
      </c>
      <c r="F28" s="37" t="s">
        <v>271</v>
      </c>
      <c r="G28" s="39" t="s">
        <v>157</v>
      </c>
      <c r="H28" s="39"/>
      <c r="I28" s="37" t="s">
        <v>61</v>
      </c>
      <c r="J28" s="37" t="s">
        <v>41</v>
      </c>
      <c r="K28" s="17" t="s">
        <v>144</v>
      </c>
      <c r="L28" s="17" t="s">
        <v>145</v>
      </c>
      <c r="M28" s="41">
        <v>150</v>
      </c>
      <c r="N28" s="42" t="s">
        <v>154</v>
      </c>
      <c r="O28" s="43">
        <v>42308</v>
      </c>
      <c r="P28" s="66">
        <v>80000</v>
      </c>
      <c r="Q28" s="45">
        <f t="shared" si="6"/>
        <v>750000</v>
      </c>
      <c r="R28" s="45" t="e">
        <f>+Q28*#REF!</f>
        <v>#REF!</v>
      </c>
      <c r="S28" s="84"/>
      <c r="T28" s="84"/>
      <c r="U28" s="84"/>
      <c r="V28" s="48">
        <f t="shared" si="0"/>
        <v>0</v>
      </c>
      <c r="W28" s="49"/>
      <c r="X28" s="49"/>
      <c r="Y28" s="49"/>
      <c r="Z28" s="50"/>
      <c r="AA28" s="51">
        <f t="shared" si="1"/>
        <v>40000</v>
      </c>
      <c r="AB28" s="52"/>
      <c r="AC28" s="53">
        <v>40000</v>
      </c>
      <c r="AD28" s="54">
        <f t="shared" si="7"/>
        <v>80000</v>
      </c>
      <c r="AE28" s="55">
        <v>0</v>
      </c>
      <c r="AF28" s="56">
        <v>80000</v>
      </c>
      <c r="AG28" s="57">
        <f t="shared" si="2"/>
        <v>40000</v>
      </c>
      <c r="AH28" s="61"/>
      <c r="AI28" s="72">
        <v>40000</v>
      </c>
      <c r="AJ28" s="60">
        <f t="shared" si="3"/>
        <v>590000</v>
      </c>
      <c r="AK28" s="61">
        <f>750000-160000</f>
        <v>590000</v>
      </c>
      <c r="AL28" s="62">
        <v>0</v>
      </c>
      <c r="AM28" s="60">
        <f t="shared" si="4"/>
        <v>0</v>
      </c>
      <c r="AN28" s="61">
        <v>0</v>
      </c>
      <c r="AO28" s="62">
        <v>0</v>
      </c>
      <c r="AP28" s="60">
        <f t="shared" si="5"/>
        <v>0</v>
      </c>
      <c r="AQ28" s="61">
        <v>0</v>
      </c>
      <c r="AR28" s="62">
        <v>0</v>
      </c>
      <c r="AS28" s="63">
        <v>0</v>
      </c>
      <c r="AT28" s="66" t="s">
        <v>52</v>
      </c>
      <c r="AU28" s="46"/>
      <c r="AZ28" s="18"/>
      <c r="BA28" s="18"/>
      <c r="BB28" s="46"/>
      <c r="BC28" s="66"/>
    </row>
    <row r="29" spans="1:57">
      <c r="A29" s="12"/>
      <c r="B29" s="37">
        <v>32</v>
      </c>
      <c r="C29" s="37" t="s">
        <v>160</v>
      </c>
      <c r="D29" s="87" t="s">
        <v>159</v>
      </c>
      <c r="E29" s="70" t="s">
        <v>92</v>
      </c>
      <c r="F29" s="70" t="s">
        <v>267</v>
      </c>
      <c r="G29" s="39" t="s">
        <v>93</v>
      </c>
      <c r="H29" s="39"/>
      <c r="I29" s="37" t="s">
        <v>32</v>
      </c>
      <c r="J29" s="37" t="s">
        <v>66</v>
      </c>
      <c r="K29" s="17" t="s">
        <v>95</v>
      </c>
      <c r="L29" s="17" t="s">
        <v>96</v>
      </c>
      <c r="M29" s="41">
        <v>5</v>
      </c>
      <c r="N29" s="42" t="s">
        <v>154</v>
      </c>
      <c r="O29" s="43">
        <v>42125</v>
      </c>
      <c r="P29" s="66">
        <v>38000</v>
      </c>
      <c r="Q29" s="45">
        <f t="shared" si="6"/>
        <v>277999.66666666663</v>
      </c>
      <c r="R29" s="46" t="e">
        <f>+Q29*#REF!</f>
        <v>#REF!</v>
      </c>
      <c r="S29" s="47"/>
      <c r="T29" s="47"/>
      <c r="U29" s="47"/>
      <c r="V29" s="48">
        <f t="shared" si="0"/>
        <v>15000</v>
      </c>
      <c r="W29" s="49"/>
      <c r="X29" s="49"/>
      <c r="Y29" s="49">
        <v>15000</v>
      </c>
      <c r="Z29" s="50"/>
      <c r="AA29" s="51">
        <f t="shared" si="1"/>
        <v>25000</v>
      </c>
      <c r="AB29" s="52"/>
      <c r="AC29" s="53">
        <v>25000</v>
      </c>
      <c r="AD29" s="54">
        <f t="shared" si="7"/>
        <v>40833</v>
      </c>
      <c r="AE29" s="55">
        <v>0</v>
      </c>
      <c r="AF29" s="56">
        <f>15833+25000</f>
        <v>40833</v>
      </c>
      <c r="AG29" s="57">
        <f t="shared" si="2"/>
        <v>22166.666666666664</v>
      </c>
      <c r="AH29" s="61"/>
      <c r="AI29" s="72">
        <f>38000/12*7</f>
        <v>22166.666666666664</v>
      </c>
      <c r="AJ29" s="60">
        <f t="shared" si="3"/>
        <v>190000</v>
      </c>
      <c r="AK29" s="61">
        <f>190000</f>
        <v>190000</v>
      </c>
      <c r="AL29" s="62">
        <v>0</v>
      </c>
      <c r="AM29" s="60">
        <f t="shared" si="4"/>
        <v>0</v>
      </c>
      <c r="AN29" s="61">
        <v>0</v>
      </c>
      <c r="AO29" s="62">
        <v>0</v>
      </c>
      <c r="AP29" s="60">
        <f t="shared" si="5"/>
        <v>0</v>
      </c>
      <c r="AQ29" s="61">
        <v>0</v>
      </c>
      <c r="AR29" s="62">
        <v>0</v>
      </c>
      <c r="AS29" s="63">
        <v>0</v>
      </c>
      <c r="AT29" s="66" t="s">
        <v>165</v>
      </c>
      <c r="AU29" s="46"/>
      <c r="AX29" s="17"/>
      <c r="AY29" s="17"/>
      <c r="AZ29" s="44"/>
      <c r="BA29" s="44"/>
      <c r="BB29" s="46"/>
      <c r="BC29" s="66"/>
    </row>
    <row r="30" spans="1:57">
      <c r="A30" s="13"/>
      <c r="B30" s="37">
        <v>34</v>
      </c>
      <c r="C30" s="37" t="s">
        <v>168</v>
      </c>
      <c r="D30" s="38" t="s">
        <v>63</v>
      </c>
      <c r="E30" s="37" t="s">
        <v>29</v>
      </c>
      <c r="F30" s="37" t="s">
        <v>267</v>
      </c>
      <c r="G30" s="39" t="s">
        <v>166</v>
      </c>
      <c r="H30" s="39" t="s">
        <v>167</v>
      </c>
      <c r="I30" s="37" t="s">
        <v>32</v>
      </c>
      <c r="J30" s="37" t="s">
        <v>66</v>
      </c>
      <c r="K30" s="76" t="s">
        <v>34</v>
      </c>
      <c r="L30" s="37" t="s">
        <v>169</v>
      </c>
      <c r="M30" s="77">
        <v>30</v>
      </c>
      <c r="N30" s="42" t="s">
        <v>154</v>
      </c>
      <c r="O30" s="43">
        <v>42005</v>
      </c>
      <c r="P30" s="66">
        <v>60000</v>
      </c>
      <c r="Q30" s="45">
        <f t="shared" si="6"/>
        <v>496000</v>
      </c>
      <c r="R30" s="46" t="e">
        <f>+Q30*#REF!</f>
        <v>#REF!</v>
      </c>
      <c r="S30" s="46"/>
      <c r="T30" s="46"/>
      <c r="U30" s="46"/>
      <c r="V30" s="48">
        <f t="shared" si="0"/>
        <v>0</v>
      </c>
      <c r="W30" s="49"/>
      <c r="X30" s="49"/>
      <c r="Y30" s="49"/>
      <c r="Z30" s="50"/>
      <c r="AA30" s="51">
        <f t="shared" si="1"/>
        <v>53000</v>
      </c>
      <c r="AB30" s="52"/>
      <c r="AC30" s="78">
        <v>53000</v>
      </c>
      <c r="AD30" s="54">
        <f t="shared" si="7"/>
        <v>59000</v>
      </c>
      <c r="AE30" s="55">
        <v>0</v>
      </c>
      <c r="AF30" s="56">
        <v>59000</v>
      </c>
      <c r="AG30" s="57">
        <f t="shared" si="2"/>
        <v>79000</v>
      </c>
      <c r="AH30" s="61">
        <v>65000</v>
      </c>
      <c r="AI30" s="72">
        <v>14000</v>
      </c>
      <c r="AJ30" s="60">
        <f t="shared" si="3"/>
        <v>305000</v>
      </c>
      <c r="AK30" s="61">
        <v>305000</v>
      </c>
      <c r="AL30" s="62">
        <v>0</v>
      </c>
      <c r="AM30" s="60">
        <f t="shared" si="4"/>
        <v>0</v>
      </c>
      <c r="AN30" s="61">
        <v>0</v>
      </c>
      <c r="AO30" s="62">
        <v>0</v>
      </c>
      <c r="AP30" s="60">
        <f t="shared" si="5"/>
        <v>0</v>
      </c>
      <c r="AQ30" s="61">
        <v>0</v>
      </c>
      <c r="AR30" s="62">
        <v>0</v>
      </c>
      <c r="AS30" s="63">
        <v>0</v>
      </c>
      <c r="AT30" s="66" t="s">
        <v>52</v>
      </c>
      <c r="AU30" s="46"/>
      <c r="AX30" s="17"/>
      <c r="AY30" s="17"/>
      <c r="AZ30" s="44"/>
      <c r="BA30" s="44"/>
      <c r="BB30" s="46"/>
      <c r="BC30" s="66"/>
      <c r="BD30" s="17"/>
      <c r="BE30" s="44"/>
    </row>
    <row r="31" spans="1:57">
      <c r="A31" s="11"/>
      <c r="B31" s="37">
        <v>35</v>
      </c>
      <c r="C31" s="37" t="s">
        <v>171</v>
      </c>
      <c r="D31" s="80" t="s">
        <v>170</v>
      </c>
      <c r="E31" s="37" t="s">
        <v>69</v>
      </c>
      <c r="F31" s="37" t="s">
        <v>270</v>
      </c>
      <c r="G31" s="39"/>
      <c r="H31" s="39"/>
      <c r="I31" s="37" t="s">
        <v>48</v>
      </c>
      <c r="J31" s="37" t="s">
        <v>41</v>
      </c>
      <c r="K31" s="17" t="s">
        <v>72</v>
      </c>
      <c r="L31" s="17" t="s">
        <v>172</v>
      </c>
      <c r="M31" s="41">
        <v>25</v>
      </c>
      <c r="N31" s="42" t="s">
        <v>154</v>
      </c>
      <c r="O31" s="43">
        <v>42005</v>
      </c>
      <c r="P31" s="66">
        <v>77000</v>
      </c>
      <c r="Q31" s="45">
        <f t="shared" si="6"/>
        <v>460000</v>
      </c>
      <c r="R31" s="46" t="e">
        <f>+Q31*#REF!</f>
        <v>#REF!</v>
      </c>
      <c r="S31" s="46"/>
      <c r="T31" s="46"/>
      <c r="U31" s="46"/>
      <c r="V31" s="48">
        <f t="shared" si="0"/>
        <v>77000</v>
      </c>
      <c r="W31" s="49"/>
      <c r="X31" s="49">
        <v>77000</v>
      </c>
      <c r="Y31" s="49"/>
      <c r="Z31" s="50"/>
      <c r="AA31" s="51">
        <f t="shared" si="1"/>
        <v>0</v>
      </c>
      <c r="AB31" s="52"/>
      <c r="AC31" s="68"/>
      <c r="AD31" s="54">
        <f t="shared" si="7"/>
        <v>77000</v>
      </c>
      <c r="AE31" s="55">
        <v>0</v>
      </c>
      <c r="AF31" s="56">
        <v>77000</v>
      </c>
      <c r="AG31" s="57">
        <f t="shared" si="2"/>
        <v>0</v>
      </c>
      <c r="AH31" s="61">
        <v>0</v>
      </c>
      <c r="AI31" s="72">
        <v>0</v>
      </c>
      <c r="AJ31" s="60">
        <f t="shared" si="3"/>
        <v>383000</v>
      </c>
      <c r="AK31" s="61">
        <f>383000</f>
        <v>383000</v>
      </c>
      <c r="AL31" s="62">
        <v>0</v>
      </c>
      <c r="AM31" s="60">
        <f t="shared" si="4"/>
        <v>0</v>
      </c>
      <c r="AN31" s="61">
        <v>0</v>
      </c>
      <c r="AO31" s="62">
        <v>0</v>
      </c>
      <c r="AP31" s="60">
        <f t="shared" si="5"/>
        <v>0</v>
      </c>
      <c r="AQ31" s="61">
        <v>0</v>
      </c>
      <c r="AR31" s="62">
        <v>0</v>
      </c>
      <c r="AS31" s="63">
        <v>0</v>
      </c>
      <c r="AT31" s="66" t="s">
        <v>52</v>
      </c>
      <c r="AU31" s="46"/>
      <c r="AY31" s="65"/>
      <c r="AZ31" s="18"/>
      <c r="BA31" s="18"/>
      <c r="BB31" s="46"/>
      <c r="BC31" s="66"/>
    </row>
    <row r="32" spans="1:57">
      <c r="A32" s="12"/>
      <c r="B32" s="37">
        <v>36</v>
      </c>
      <c r="C32" s="37" t="s">
        <v>175</v>
      </c>
      <c r="D32" s="38" t="s">
        <v>173</v>
      </c>
      <c r="E32" s="37" t="s">
        <v>58</v>
      </c>
      <c r="F32" s="37" t="s">
        <v>269</v>
      </c>
      <c r="G32" s="39" t="s">
        <v>174</v>
      </c>
      <c r="H32" s="39"/>
      <c r="I32" s="37" t="s">
        <v>61</v>
      </c>
      <c r="J32" s="37" t="s">
        <v>41</v>
      </c>
      <c r="K32" s="17" t="s">
        <v>72</v>
      </c>
      <c r="L32" s="82" t="s">
        <v>176</v>
      </c>
      <c r="M32" s="83">
        <v>2000</v>
      </c>
      <c r="N32" s="42" t="s">
        <v>154</v>
      </c>
      <c r="O32" s="43">
        <v>42005</v>
      </c>
      <c r="P32" s="66">
        <v>160000</v>
      </c>
      <c r="Q32" s="45">
        <f t="shared" si="6"/>
        <v>1197500</v>
      </c>
      <c r="R32" s="46" t="e">
        <f>+Q32*#REF!</f>
        <v>#REF!</v>
      </c>
      <c r="S32" s="46"/>
      <c r="T32" s="46"/>
      <c r="U32" s="46"/>
      <c r="V32" s="48">
        <f t="shared" si="0"/>
        <v>120000</v>
      </c>
      <c r="W32" s="49"/>
      <c r="X32" s="49">
        <v>40000</v>
      </c>
      <c r="Y32" s="49">
        <v>40000</v>
      </c>
      <c r="Z32" s="50">
        <v>40000</v>
      </c>
      <c r="AA32" s="51">
        <f t="shared" si="1"/>
        <v>40000</v>
      </c>
      <c r="AB32" s="52"/>
      <c r="AC32" s="78">
        <v>40000</v>
      </c>
      <c r="AD32" s="54">
        <f t="shared" si="7"/>
        <v>160000</v>
      </c>
      <c r="AE32" s="55">
        <v>0</v>
      </c>
      <c r="AF32" s="56">
        <v>160000</v>
      </c>
      <c r="AG32" s="57">
        <f t="shared" si="2"/>
        <v>160000</v>
      </c>
      <c r="AH32" s="61"/>
      <c r="AI32" s="72">
        <f>120000+40000</f>
        <v>160000</v>
      </c>
      <c r="AJ32" s="60">
        <f t="shared" si="3"/>
        <v>837500</v>
      </c>
      <c r="AK32" s="61">
        <v>837500</v>
      </c>
      <c r="AL32" s="62">
        <v>0</v>
      </c>
      <c r="AM32" s="60">
        <f t="shared" si="4"/>
        <v>0</v>
      </c>
      <c r="AN32" s="61">
        <v>0</v>
      </c>
      <c r="AO32" s="62">
        <v>0</v>
      </c>
      <c r="AP32" s="60">
        <f t="shared" si="5"/>
        <v>0</v>
      </c>
      <c r="AQ32" s="61">
        <v>0</v>
      </c>
      <c r="AR32" s="62">
        <v>0</v>
      </c>
      <c r="AS32" s="63">
        <v>0</v>
      </c>
      <c r="AT32" s="66" t="s">
        <v>165</v>
      </c>
      <c r="AU32" s="46"/>
      <c r="AX32" s="88"/>
      <c r="AY32" s="88"/>
      <c r="AZ32" s="44"/>
      <c r="BA32" s="44"/>
      <c r="BB32" s="46"/>
      <c r="BC32" s="66"/>
    </row>
    <row r="33" spans="1:57">
      <c r="A33" s="13"/>
      <c r="B33" s="37">
        <v>37</v>
      </c>
      <c r="C33" s="37" t="s">
        <v>179</v>
      </c>
      <c r="D33" s="80" t="s">
        <v>177</v>
      </c>
      <c r="E33" s="37" t="s">
        <v>178</v>
      </c>
      <c r="F33" s="37" t="s">
        <v>269</v>
      </c>
      <c r="G33" s="39"/>
      <c r="H33" s="39"/>
      <c r="I33" s="37" t="s">
        <v>61</v>
      </c>
      <c r="J33" s="37" t="s">
        <v>41</v>
      </c>
      <c r="K33" s="17" t="s">
        <v>49</v>
      </c>
      <c r="L33" s="40" t="s">
        <v>35</v>
      </c>
      <c r="M33" s="41">
        <v>240</v>
      </c>
      <c r="N33" s="42" t="s">
        <v>154</v>
      </c>
      <c r="O33" s="43">
        <v>41910</v>
      </c>
      <c r="P33" s="66">
        <v>76000</v>
      </c>
      <c r="Q33" s="45">
        <f t="shared" si="6"/>
        <v>960000</v>
      </c>
      <c r="R33" s="46" t="e">
        <f>+Q33*#REF!</f>
        <v>#REF!</v>
      </c>
      <c r="S33" s="46"/>
      <c r="T33" s="46"/>
      <c r="U33" s="46"/>
      <c r="V33" s="48">
        <f t="shared" si="0"/>
        <v>0</v>
      </c>
      <c r="W33" s="49"/>
      <c r="X33" s="49"/>
      <c r="Y33" s="49"/>
      <c r="Z33" s="50"/>
      <c r="AA33" s="51">
        <f t="shared" si="1"/>
        <v>0</v>
      </c>
      <c r="AB33" s="52"/>
      <c r="AC33" s="68"/>
      <c r="AD33" s="54">
        <f t="shared" si="7"/>
        <v>76000</v>
      </c>
      <c r="AE33" s="55">
        <v>0</v>
      </c>
      <c r="AF33" s="56">
        <v>76000</v>
      </c>
      <c r="AG33" s="57">
        <f t="shared" si="2"/>
        <v>15000</v>
      </c>
      <c r="AH33" s="61"/>
      <c r="AI33" s="59">
        <v>15000</v>
      </c>
      <c r="AJ33" s="60">
        <f t="shared" si="3"/>
        <v>869000</v>
      </c>
      <c r="AK33" s="61">
        <f>960000-91000</f>
        <v>869000</v>
      </c>
      <c r="AL33" s="62">
        <v>0</v>
      </c>
      <c r="AM33" s="60">
        <f t="shared" si="4"/>
        <v>0</v>
      </c>
      <c r="AN33" s="61">
        <v>0</v>
      </c>
      <c r="AO33" s="62">
        <v>0</v>
      </c>
      <c r="AP33" s="60">
        <f t="shared" si="5"/>
        <v>0</v>
      </c>
      <c r="AQ33" s="61">
        <v>0</v>
      </c>
      <c r="AR33" s="62">
        <v>0</v>
      </c>
      <c r="AS33" s="63">
        <v>0</v>
      </c>
      <c r="AT33" s="66" t="s">
        <v>52</v>
      </c>
      <c r="AU33" s="46"/>
      <c r="AX33" s="88"/>
      <c r="AY33" s="65"/>
      <c r="AZ33" s="44"/>
      <c r="BA33" s="44"/>
      <c r="BB33" s="46"/>
      <c r="BC33" s="66"/>
    </row>
    <row r="34" spans="1:57">
      <c r="A34" s="11"/>
      <c r="B34" s="37">
        <v>38</v>
      </c>
      <c r="C34" s="37" t="s">
        <v>184</v>
      </c>
      <c r="D34" s="38" t="s">
        <v>180</v>
      </c>
      <c r="E34" s="37" t="s">
        <v>181</v>
      </c>
      <c r="F34" s="37" t="s">
        <v>267</v>
      </c>
      <c r="G34" s="39" t="s">
        <v>182</v>
      </c>
      <c r="H34" s="39" t="s">
        <v>183</v>
      </c>
      <c r="I34" s="37" t="s">
        <v>32</v>
      </c>
      <c r="J34" s="37" t="s">
        <v>41</v>
      </c>
      <c r="K34" s="17" t="s">
        <v>72</v>
      </c>
      <c r="L34" s="17" t="s">
        <v>185</v>
      </c>
      <c r="M34" s="41">
        <v>25</v>
      </c>
      <c r="N34" s="42" t="s">
        <v>154</v>
      </c>
      <c r="O34" s="43">
        <v>41971</v>
      </c>
      <c r="P34" s="66">
        <v>72000</v>
      </c>
      <c r="Q34" s="45">
        <f t="shared" si="6"/>
        <v>451017</v>
      </c>
      <c r="R34" s="46" t="e">
        <f>+Q34*#REF!</f>
        <v>#REF!</v>
      </c>
      <c r="S34" s="46"/>
      <c r="T34" s="46"/>
      <c r="U34" s="46"/>
      <c r="V34" s="48">
        <f t="shared" si="0"/>
        <v>0</v>
      </c>
      <c r="W34" s="49"/>
      <c r="X34" s="49"/>
      <c r="Y34" s="49"/>
      <c r="Z34" s="50"/>
      <c r="AA34" s="51">
        <f t="shared" si="1"/>
        <v>0</v>
      </c>
      <c r="AB34" s="52"/>
      <c r="AC34" s="68"/>
      <c r="AD34" s="54">
        <f t="shared" si="7"/>
        <v>55932</v>
      </c>
      <c r="AE34" s="55">
        <v>0</v>
      </c>
      <c r="AF34" s="56">
        <v>55932</v>
      </c>
      <c r="AG34" s="57">
        <f t="shared" si="2"/>
        <v>5085</v>
      </c>
      <c r="AH34" s="79"/>
      <c r="AI34" s="72">
        <v>5085</v>
      </c>
      <c r="AJ34" s="60">
        <f t="shared" si="3"/>
        <v>390000</v>
      </c>
      <c r="AK34" s="61">
        <v>390000</v>
      </c>
      <c r="AL34" s="62">
        <v>0</v>
      </c>
      <c r="AM34" s="60">
        <f t="shared" si="4"/>
        <v>0</v>
      </c>
      <c r="AN34" s="61">
        <v>0</v>
      </c>
      <c r="AO34" s="62">
        <v>0</v>
      </c>
      <c r="AP34" s="60">
        <f t="shared" si="5"/>
        <v>0</v>
      </c>
      <c r="AQ34" s="61">
        <v>0</v>
      </c>
      <c r="AR34" s="62">
        <v>0</v>
      </c>
      <c r="AS34" s="63">
        <v>0</v>
      </c>
      <c r="AT34" s="66" t="s">
        <v>165</v>
      </c>
      <c r="AU34" s="46"/>
      <c r="AX34" s="17"/>
      <c r="AY34" s="17"/>
      <c r="AZ34" s="44"/>
      <c r="BA34" s="44"/>
      <c r="BB34" s="46"/>
      <c r="BC34" s="66"/>
      <c r="BD34" s="88"/>
      <c r="BE34" s="44"/>
    </row>
    <row r="35" spans="1:57">
      <c r="A35" s="12"/>
      <c r="B35" s="37">
        <v>39</v>
      </c>
      <c r="C35" s="37" t="s">
        <v>187</v>
      </c>
      <c r="D35" s="38" t="s">
        <v>186</v>
      </c>
      <c r="E35" s="37" t="s">
        <v>87</v>
      </c>
      <c r="F35" s="37" t="s">
        <v>269</v>
      </c>
      <c r="G35" s="39"/>
      <c r="H35" s="39"/>
      <c r="I35" s="37" t="s">
        <v>61</v>
      </c>
      <c r="J35" s="37" t="s">
        <v>33</v>
      </c>
      <c r="K35" s="17" t="s">
        <v>34</v>
      </c>
      <c r="L35" s="82" t="s">
        <v>188</v>
      </c>
      <c r="M35" s="83">
        <v>200</v>
      </c>
      <c r="N35" s="42" t="s">
        <v>154</v>
      </c>
      <c r="O35" s="43">
        <v>42005</v>
      </c>
      <c r="P35" s="66">
        <v>114000</v>
      </c>
      <c r="Q35" s="45">
        <f t="shared" si="6"/>
        <v>773000</v>
      </c>
      <c r="R35" s="46" t="e">
        <f>+Q35*#REF!</f>
        <v>#REF!</v>
      </c>
      <c r="S35" s="84"/>
      <c r="T35" s="84"/>
      <c r="U35" s="84"/>
      <c r="V35" s="48">
        <f t="shared" si="0"/>
        <v>114000</v>
      </c>
      <c r="W35" s="49"/>
      <c r="X35" s="49">
        <v>114000</v>
      </c>
      <c r="Y35" s="49"/>
      <c r="Z35" s="50"/>
      <c r="AA35" s="51">
        <f t="shared" si="1"/>
        <v>0</v>
      </c>
      <c r="AB35" s="73"/>
      <c r="AC35" s="73"/>
      <c r="AD35" s="54">
        <f t="shared" si="7"/>
        <v>164000</v>
      </c>
      <c r="AE35" s="55">
        <v>50000</v>
      </c>
      <c r="AF35" s="56">
        <v>114000</v>
      </c>
      <c r="AG35" s="57">
        <f t="shared" si="2"/>
        <v>39000</v>
      </c>
      <c r="AH35" s="61">
        <v>39000</v>
      </c>
      <c r="AI35" s="72">
        <v>0</v>
      </c>
      <c r="AJ35" s="60">
        <f t="shared" si="3"/>
        <v>570000</v>
      </c>
      <c r="AK35" s="61">
        <v>570000</v>
      </c>
      <c r="AL35" s="62">
        <v>0</v>
      </c>
      <c r="AM35" s="60">
        <f t="shared" si="4"/>
        <v>0</v>
      </c>
      <c r="AN35" s="61">
        <v>0</v>
      </c>
      <c r="AO35" s="62">
        <v>0</v>
      </c>
      <c r="AP35" s="60">
        <f t="shared" si="5"/>
        <v>0</v>
      </c>
      <c r="AQ35" s="61">
        <v>0</v>
      </c>
      <c r="AR35" s="62">
        <v>0</v>
      </c>
      <c r="AS35" s="63">
        <v>0</v>
      </c>
      <c r="AT35" s="66" t="s">
        <v>52</v>
      </c>
      <c r="AU35" s="46"/>
      <c r="AX35" s="88"/>
      <c r="AY35" s="88"/>
      <c r="AZ35" s="44"/>
      <c r="BA35" s="44"/>
      <c r="BB35" s="46"/>
      <c r="BC35" s="66"/>
    </row>
    <row r="36" spans="1:57">
      <c r="A36" s="13"/>
      <c r="B36" s="37">
        <v>40</v>
      </c>
      <c r="C36" s="37" t="s">
        <v>192</v>
      </c>
      <c r="D36" s="38" t="s">
        <v>189</v>
      </c>
      <c r="E36" s="37" t="s">
        <v>190</v>
      </c>
      <c r="F36" s="37" t="s">
        <v>271</v>
      </c>
      <c r="G36" s="39" t="s">
        <v>191</v>
      </c>
      <c r="H36" s="39"/>
      <c r="I36" s="37" t="s">
        <v>32</v>
      </c>
      <c r="J36" s="37" t="s">
        <v>41</v>
      </c>
      <c r="K36" s="17" t="s">
        <v>49</v>
      </c>
      <c r="L36" s="40" t="s">
        <v>35</v>
      </c>
      <c r="M36" s="41">
        <v>110</v>
      </c>
      <c r="N36" s="42" t="s">
        <v>154</v>
      </c>
      <c r="O36" s="43">
        <v>42005</v>
      </c>
      <c r="P36" s="66">
        <v>140000</v>
      </c>
      <c r="Q36" s="45">
        <f t="shared" si="6"/>
        <v>978750</v>
      </c>
      <c r="R36" s="46" t="e">
        <f>+Q36*#REF!</f>
        <v>#REF!</v>
      </c>
      <c r="S36" s="46"/>
      <c r="T36" s="46"/>
      <c r="U36" s="46"/>
      <c r="V36" s="48">
        <f t="shared" si="0"/>
        <v>101250</v>
      </c>
      <c r="W36" s="49"/>
      <c r="X36" s="49">
        <v>33750</v>
      </c>
      <c r="Y36" s="49">
        <v>33750</v>
      </c>
      <c r="Z36" s="50">
        <v>33750</v>
      </c>
      <c r="AA36" s="51">
        <f t="shared" si="1"/>
        <v>78750</v>
      </c>
      <c r="AB36" s="73"/>
      <c r="AC36" s="73">
        <f>33750+45000</f>
        <v>78750</v>
      </c>
      <c r="AD36" s="54">
        <f t="shared" si="7"/>
        <v>190000</v>
      </c>
      <c r="AE36" s="55">
        <f>5000+50000</f>
        <v>55000</v>
      </c>
      <c r="AF36" s="56">
        <f>33750+33750+33750+33750</f>
        <v>135000</v>
      </c>
      <c r="AG36" s="57">
        <f t="shared" si="2"/>
        <v>0</v>
      </c>
      <c r="AH36" s="61">
        <v>0</v>
      </c>
      <c r="AI36" s="72">
        <v>0</v>
      </c>
      <c r="AJ36" s="60">
        <f t="shared" si="3"/>
        <v>710000</v>
      </c>
      <c r="AK36" s="61">
        <v>710000</v>
      </c>
      <c r="AL36" s="62">
        <v>0</v>
      </c>
      <c r="AM36" s="60">
        <f t="shared" si="4"/>
        <v>0</v>
      </c>
      <c r="AN36" s="61">
        <v>0</v>
      </c>
      <c r="AO36" s="62">
        <v>0</v>
      </c>
      <c r="AP36" s="60">
        <f t="shared" si="5"/>
        <v>0</v>
      </c>
      <c r="AQ36" s="61">
        <v>0</v>
      </c>
      <c r="AR36" s="62">
        <v>0</v>
      </c>
      <c r="AS36" s="63">
        <v>0</v>
      </c>
      <c r="AT36" s="66" t="s">
        <v>52</v>
      </c>
      <c r="AU36" s="46"/>
      <c r="AZ36" s="18"/>
      <c r="BA36" s="18"/>
      <c r="BB36" s="46"/>
      <c r="BC36" s="66"/>
    </row>
    <row r="37" spans="1:57">
      <c r="A37" s="11"/>
      <c r="B37" s="37">
        <v>41</v>
      </c>
      <c r="C37" s="37" t="s">
        <v>196</v>
      </c>
      <c r="D37" s="38" t="s">
        <v>193</v>
      </c>
      <c r="E37" s="37" t="s">
        <v>194</v>
      </c>
      <c r="F37" s="37" t="s">
        <v>270</v>
      </c>
      <c r="G37" s="39" t="s">
        <v>195</v>
      </c>
      <c r="H37" s="39"/>
      <c r="I37" s="37" t="s">
        <v>48</v>
      </c>
      <c r="J37" s="37" t="s">
        <v>66</v>
      </c>
      <c r="K37" s="17" t="s">
        <v>72</v>
      </c>
      <c r="L37" s="17" t="s">
        <v>197</v>
      </c>
      <c r="M37" s="41">
        <v>20</v>
      </c>
      <c r="N37" s="42" t="s">
        <v>154</v>
      </c>
      <c r="O37" s="43">
        <v>42125</v>
      </c>
      <c r="P37" s="66">
        <v>67000</v>
      </c>
      <c r="Q37" s="45">
        <f t="shared" si="6"/>
        <v>686400</v>
      </c>
      <c r="R37" s="46" t="e">
        <f>+Q37*#REF!</f>
        <v>#REF!</v>
      </c>
      <c r="S37" s="46"/>
      <c r="T37" s="46"/>
      <c r="U37" s="46"/>
      <c r="V37" s="48">
        <f t="shared" si="0"/>
        <v>33850</v>
      </c>
      <c r="W37" s="49"/>
      <c r="X37" s="49"/>
      <c r="Y37" s="49">
        <v>33850</v>
      </c>
      <c r="Z37" s="50"/>
      <c r="AA37" s="51">
        <f t="shared" si="1"/>
        <v>33850</v>
      </c>
      <c r="AB37" s="73"/>
      <c r="AC37" s="78">
        <v>33850</v>
      </c>
      <c r="AD37" s="54">
        <f t="shared" si="7"/>
        <v>145700</v>
      </c>
      <c r="AE37" s="55">
        <v>78000</v>
      </c>
      <c r="AF37" s="56">
        <v>67700</v>
      </c>
      <c r="AG37" s="57">
        <f t="shared" si="2"/>
        <v>58850</v>
      </c>
      <c r="AH37" s="79"/>
      <c r="AI37" s="72">
        <f>29425*2</f>
        <v>58850</v>
      </c>
      <c r="AJ37" s="60">
        <f t="shared" si="3"/>
        <v>448000</v>
      </c>
      <c r="AK37" s="61">
        <v>448000</v>
      </c>
      <c r="AL37" s="62">
        <v>0</v>
      </c>
      <c r="AM37" s="60">
        <f t="shared" si="4"/>
        <v>0</v>
      </c>
      <c r="AN37" s="61">
        <v>0</v>
      </c>
      <c r="AO37" s="62">
        <v>0</v>
      </c>
      <c r="AP37" s="60">
        <f t="shared" si="5"/>
        <v>0</v>
      </c>
      <c r="AQ37" s="61">
        <v>0</v>
      </c>
      <c r="AR37" s="62">
        <v>0</v>
      </c>
      <c r="AS37" s="63">
        <v>0</v>
      </c>
      <c r="AT37" s="66" t="s">
        <v>165</v>
      </c>
      <c r="AU37" s="46"/>
      <c r="AZ37" s="18"/>
      <c r="BA37" s="18"/>
      <c r="BB37" s="46"/>
      <c r="BC37" s="66"/>
      <c r="BD37" s="17"/>
      <c r="BE37" s="44"/>
    </row>
    <row r="38" spans="1:57">
      <c r="A38" s="12"/>
      <c r="B38" s="37">
        <v>42</v>
      </c>
      <c r="C38" s="37" t="s">
        <v>199</v>
      </c>
      <c r="D38" s="38" t="s">
        <v>198</v>
      </c>
      <c r="E38" s="37" t="s">
        <v>136</v>
      </c>
      <c r="F38" s="37" t="s">
        <v>269</v>
      </c>
      <c r="G38" s="39"/>
      <c r="H38" s="39"/>
      <c r="I38" s="37" t="s">
        <v>61</v>
      </c>
      <c r="J38" s="37" t="s">
        <v>66</v>
      </c>
      <c r="K38" s="17" t="s">
        <v>34</v>
      </c>
      <c r="L38" s="85" t="s">
        <v>200</v>
      </c>
      <c r="M38" s="86">
        <v>1100</v>
      </c>
      <c r="N38" s="42" t="s">
        <v>154</v>
      </c>
      <c r="O38" s="43">
        <v>42154</v>
      </c>
      <c r="P38" s="66">
        <v>150000</v>
      </c>
      <c r="Q38" s="45">
        <f>SUM(S38,T38,U38,AA38,AD38,AG38,AJ38,AM38,AP38,AS38)</f>
        <v>1200000</v>
      </c>
      <c r="R38" s="89" t="e">
        <f>+Q38*#REF!</f>
        <v>#REF!</v>
      </c>
      <c r="S38" s="47"/>
      <c r="T38" s="47"/>
      <c r="U38" s="47"/>
      <c r="V38" s="48">
        <f t="shared" si="0"/>
        <v>0</v>
      </c>
      <c r="W38" s="49"/>
      <c r="X38" s="49"/>
      <c r="Y38" s="49"/>
      <c r="Z38" s="50"/>
      <c r="AA38" s="51">
        <f t="shared" si="1"/>
        <v>87500</v>
      </c>
      <c r="AB38" s="52"/>
      <c r="AC38" s="53">
        <v>87500</v>
      </c>
      <c r="AD38" s="54">
        <f t="shared" si="7"/>
        <v>150000</v>
      </c>
      <c r="AE38" s="55">
        <v>0</v>
      </c>
      <c r="AF38" s="56">
        <v>150000</v>
      </c>
      <c r="AG38" s="57">
        <f t="shared" si="2"/>
        <v>62500</v>
      </c>
      <c r="AH38" s="61"/>
      <c r="AI38" s="59">
        <v>62500</v>
      </c>
      <c r="AJ38" s="60">
        <f t="shared" si="3"/>
        <v>900000</v>
      </c>
      <c r="AK38" s="61">
        <f>1200000-300000</f>
        <v>900000</v>
      </c>
      <c r="AL38" s="62">
        <v>0</v>
      </c>
      <c r="AM38" s="60">
        <f t="shared" si="4"/>
        <v>0</v>
      </c>
      <c r="AN38" s="61">
        <v>0</v>
      </c>
      <c r="AO38" s="62">
        <v>0</v>
      </c>
      <c r="AP38" s="60">
        <f t="shared" si="5"/>
        <v>0</v>
      </c>
      <c r="AQ38" s="61">
        <v>0</v>
      </c>
      <c r="AR38" s="62">
        <v>0</v>
      </c>
      <c r="AS38" s="63">
        <v>0</v>
      </c>
      <c r="AT38" s="66" t="s">
        <v>52</v>
      </c>
      <c r="AU38" s="46"/>
      <c r="AX38" s="88"/>
      <c r="AY38" s="65"/>
      <c r="AZ38" s="44"/>
      <c r="BA38" s="44"/>
      <c r="BB38" s="46"/>
      <c r="BC38" s="66"/>
    </row>
    <row r="39" spans="1:57">
      <c r="A39" s="13"/>
      <c r="B39" s="37">
        <v>43</v>
      </c>
      <c r="C39" s="37" t="s">
        <v>202</v>
      </c>
      <c r="D39" s="38" t="s">
        <v>201</v>
      </c>
      <c r="E39" s="37" t="s">
        <v>115</v>
      </c>
      <c r="F39" s="37" t="s">
        <v>268</v>
      </c>
      <c r="G39" s="39"/>
      <c r="H39" s="39"/>
      <c r="I39" s="37" t="s">
        <v>118</v>
      </c>
      <c r="J39" s="37" t="s">
        <v>66</v>
      </c>
      <c r="K39" s="17" t="s">
        <v>72</v>
      </c>
      <c r="L39" s="17" t="s">
        <v>119</v>
      </c>
      <c r="M39" s="41">
        <v>10</v>
      </c>
      <c r="N39" s="42" t="s">
        <v>154</v>
      </c>
      <c r="O39" s="43">
        <v>42339</v>
      </c>
      <c r="P39" s="66">
        <v>70000</v>
      </c>
      <c r="Q39" s="45">
        <f t="shared" si="6"/>
        <v>567983.62492201535</v>
      </c>
      <c r="R39" s="46" t="e">
        <f>+Q39*#REF!</f>
        <v>#REF!</v>
      </c>
      <c r="S39" s="46"/>
      <c r="T39" s="46"/>
      <c r="U39" s="46"/>
      <c r="V39" s="48">
        <f t="shared" si="0"/>
        <v>0</v>
      </c>
      <c r="W39" s="49"/>
      <c r="X39" s="49"/>
      <c r="Y39" s="49"/>
      <c r="Z39" s="50"/>
      <c r="AA39" s="51">
        <f t="shared" si="1"/>
        <v>94572</v>
      </c>
      <c r="AB39" s="90"/>
      <c r="AC39" s="53">
        <v>94572</v>
      </c>
      <c r="AD39" s="54">
        <f t="shared" si="7"/>
        <v>14375.044922015382</v>
      </c>
      <c r="AE39" s="55">
        <f>20000/1.3913</f>
        <v>14375.044922015382</v>
      </c>
      <c r="AF39" s="56">
        <v>0</v>
      </c>
      <c r="AG39" s="57">
        <f t="shared" si="2"/>
        <v>109036.57999999999</v>
      </c>
      <c r="AH39" s="61">
        <v>43506.63</v>
      </c>
      <c r="AI39" s="72">
        <v>65529.95</v>
      </c>
      <c r="AJ39" s="60">
        <f t="shared" si="3"/>
        <v>350000</v>
      </c>
      <c r="AK39" s="61">
        <v>350000</v>
      </c>
      <c r="AL39" s="62">
        <v>0</v>
      </c>
      <c r="AM39" s="60">
        <f t="shared" si="4"/>
        <v>0</v>
      </c>
      <c r="AN39" s="61">
        <v>0</v>
      </c>
      <c r="AO39" s="62">
        <v>0</v>
      </c>
      <c r="AP39" s="60">
        <f t="shared" si="5"/>
        <v>0</v>
      </c>
      <c r="AQ39" s="61">
        <v>0</v>
      </c>
      <c r="AR39" s="62">
        <v>0</v>
      </c>
      <c r="AS39" s="63">
        <v>0</v>
      </c>
      <c r="AT39" s="66" t="s">
        <v>52</v>
      </c>
      <c r="AU39" s="46"/>
      <c r="AZ39" s="18"/>
      <c r="BA39" s="18"/>
      <c r="BB39" s="46"/>
      <c r="BC39" s="18"/>
    </row>
    <row r="40" spans="1:57">
      <c r="A40" s="11"/>
      <c r="B40" s="37">
        <v>44</v>
      </c>
      <c r="C40" s="37" t="s">
        <v>206</v>
      </c>
      <c r="D40" s="38" t="s">
        <v>203</v>
      </c>
      <c r="E40" s="37" t="s">
        <v>204</v>
      </c>
      <c r="F40" s="37" t="s">
        <v>271</v>
      </c>
      <c r="G40" s="39" t="s">
        <v>205</v>
      </c>
      <c r="H40" s="39"/>
      <c r="I40" s="37" t="s">
        <v>32</v>
      </c>
      <c r="J40" s="37" t="s">
        <v>33</v>
      </c>
      <c r="K40" s="17" t="s">
        <v>34</v>
      </c>
      <c r="L40" s="40" t="s">
        <v>35</v>
      </c>
      <c r="M40" s="41">
        <v>10</v>
      </c>
      <c r="N40" s="42" t="s">
        <v>154</v>
      </c>
      <c r="O40" s="43">
        <v>42186</v>
      </c>
      <c r="P40" s="66">
        <v>35000</v>
      </c>
      <c r="Q40" s="45">
        <f t="shared" si="6"/>
        <v>249199.66666666669</v>
      </c>
      <c r="R40" s="46" t="e">
        <f>+Q40*#REF!</f>
        <v>#REF!</v>
      </c>
      <c r="S40" s="47"/>
      <c r="T40" s="47"/>
      <c r="U40" s="47"/>
      <c r="V40" s="48">
        <f t="shared" si="0"/>
        <v>0</v>
      </c>
      <c r="W40" s="49"/>
      <c r="X40" s="49"/>
      <c r="Y40" s="49"/>
      <c r="Z40" s="50"/>
      <c r="AA40" s="51">
        <f t="shared" si="1"/>
        <v>20767</v>
      </c>
      <c r="AB40" s="52"/>
      <c r="AC40" s="53">
        <v>20767</v>
      </c>
      <c r="AD40" s="54">
        <f t="shared" si="7"/>
        <v>38566</v>
      </c>
      <c r="AE40" s="55">
        <v>0</v>
      </c>
      <c r="AF40" s="56">
        <v>38566</v>
      </c>
      <c r="AG40" s="57">
        <f t="shared" si="2"/>
        <v>11866.666666666666</v>
      </c>
      <c r="AH40" s="61"/>
      <c r="AI40" s="72">
        <f>35600/12*4</f>
        <v>11866.666666666666</v>
      </c>
      <c r="AJ40" s="60">
        <f t="shared" si="3"/>
        <v>178000</v>
      </c>
      <c r="AK40" s="61">
        <v>178000</v>
      </c>
      <c r="AL40" s="62">
        <v>0</v>
      </c>
      <c r="AM40" s="60">
        <f t="shared" si="4"/>
        <v>0</v>
      </c>
      <c r="AN40" s="61">
        <v>0</v>
      </c>
      <c r="AO40" s="62">
        <v>0</v>
      </c>
      <c r="AP40" s="60">
        <f t="shared" si="5"/>
        <v>0</v>
      </c>
      <c r="AQ40" s="61">
        <v>0</v>
      </c>
      <c r="AR40" s="62">
        <v>0</v>
      </c>
      <c r="AS40" s="63">
        <v>0</v>
      </c>
      <c r="AT40" s="66" t="s">
        <v>52</v>
      </c>
      <c r="AU40" s="46"/>
      <c r="AZ40" s="18"/>
      <c r="BA40" s="18"/>
      <c r="BB40" s="46"/>
      <c r="BC40" s="66"/>
    </row>
    <row r="41" spans="1:57">
      <c r="A41" s="12"/>
      <c r="B41" s="37">
        <v>45</v>
      </c>
      <c r="C41" s="37" t="s">
        <v>314</v>
      </c>
      <c r="D41" s="38" t="s">
        <v>207</v>
      </c>
      <c r="E41" s="37" t="s">
        <v>87</v>
      </c>
      <c r="F41" s="37" t="s">
        <v>269</v>
      </c>
      <c r="G41" s="39"/>
      <c r="H41" s="39"/>
      <c r="I41" s="37" t="s">
        <v>61</v>
      </c>
      <c r="J41" s="76" t="s">
        <v>66</v>
      </c>
      <c r="K41" s="17" t="s">
        <v>34</v>
      </c>
      <c r="L41" s="91" t="s">
        <v>208</v>
      </c>
      <c r="M41" s="92">
        <v>1000</v>
      </c>
      <c r="N41" s="42" t="s">
        <v>209</v>
      </c>
      <c r="O41" s="43">
        <v>42186</v>
      </c>
      <c r="P41" s="66">
        <v>220000</v>
      </c>
      <c r="Q41" s="45">
        <f t="shared" si="6"/>
        <v>1108687</v>
      </c>
      <c r="R41" s="46" t="e">
        <f>+Q41*#REF!</f>
        <v>#REF!</v>
      </c>
      <c r="S41" s="46"/>
      <c r="T41" s="46"/>
      <c r="U41" s="46"/>
      <c r="V41" s="48">
        <f t="shared" si="0"/>
        <v>0</v>
      </c>
      <c r="W41" s="49"/>
      <c r="X41" s="49"/>
      <c r="Y41" s="49"/>
      <c r="Z41" s="50"/>
      <c r="AA41" s="51">
        <f t="shared" si="1"/>
        <v>0</v>
      </c>
      <c r="AB41" s="73"/>
      <c r="AC41" s="68"/>
      <c r="AD41" s="54">
        <f t="shared" si="7"/>
        <v>9487</v>
      </c>
      <c r="AE41" s="55">
        <v>9487</v>
      </c>
      <c r="AF41" s="56"/>
      <c r="AG41" s="57">
        <f t="shared" si="2"/>
        <v>1099200</v>
      </c>
      <c r="AH41" s="61">
        <f>343500+572500+183200</f>
        <v>1099200</v>
      </c>
      <c r="AI41" s="72"/>
      <c r="AJ41" s="60">
        <f t="shared" si="3"/>
        <v>0</v>
      </c>
      <c r="AK41" s="61">
        <v>0</v>
      </c>
      <c r="AL41" s="62">
        <v>0</v>
      </c>
      <c r="AM41" s="60">
        <f t="shared" si="4"/>
        <v>0</v>
      </c>
      <c r="AN41" s="61">
        <v>0</v>
      </c>
      <c r="AO41" s="62">
        <v>0</v>
      </c>
      <c r="AP41" s="60">
        <f t="shared" si="5"/>
        <v>0</v>
      </c>
      <c r="AQ41" s="61">
        <v>0</v>
      </c>
      <c r="AR41" s="62">
        <v>0</v>
      </c>
      <c r="AS41" s="63">
        <v>0</v>
      </c>
      <c r="AT41" s="66" t="s">
        <v>52</v>
      </c>
      <c r="AU41" s="46"/>
      <c r="AX41" s="17"/>
      <c r="AY41" s="17"/>
      <c r="AZ41" s="44"/>
      <c r="BA41" s="44"/>
      <c r="BB41" s="46"/>
      <c r="BC41" s="66"/>
      <c r="BD41" s="88"/>
      <c r="BE41" s="44"/>
    </row>
    <row r="42" spans="1:57">
      <c r="A42" s="13"/>
      <c r="B42" s="37">
        <v>46</v>
      </c>
      <c r="C42" s="37" t="s">
        <v>210</v>
      </c>
      <c r="D42" s="38" t="s">
        <v>210</v>
      </c>
      <c r="E42" s="37" t="s">
        <v>69</v>
      </c>
      <c r="F42" s="37" t="s">
        <v>270</v>
      </c>
      <c r="G42" s="39" t="s">
        <v>211</v>
      </c>
      <c r="H42" s="39"/>
      <c r="I42" s="37" t="s">
        <v>48</v>
      </c>
      <c r="J42" s="76" t="s">
        <v>41</v>
      </c>
      <c r="K42" s="17" t="s">
        <v>72</v>
      </c>
      <c r="L42" s="17" t="s">
        <v>73</v>
      </c>
      <c r="M42" s="41">
        <v>40</v>
      </c>
      <c r="N42" s="42" t="s">
        <v>209</v>
      </c>
      <c r="O42" s="43">
        <v>42093</v>
      </c>
      <c r="P42" s="66">
        <v>64500</v>
      </c>
      <c r="Q42" s="45">
        <f t="shared" si="6"/>
        <v>520000</v>
      </c>
      <c r="R42" s="46" t="e">
        <f>+Q42*#REF!</f>
        <v>#REF!</v>
      </c>
      <c r="S42" s="46"/>
      <c r="T42" s="46"/>
      <c r="U42" s="46"/>
      <c r="V42" s="48">
        <f t="shared" si="0"/>
        <v>100000</v>
      </c>
      <c r="W42" s="49"/>
      <c r="X42" s="49">
        <v>100000</v>
      </c>
      <c r="Y42" s="49"/>
      <c r="Z42" s="50"/>
      <c r="AA42" s="51">
        <f t="shared" si="1"/>
        <v>0</v>
      </c>
      <c r="AB42" s="52"/>
      <c r="AC42" s="68"/>
      <c r="AD42" s="54">
        <f t="shared" si="7"/>
        <v>0</v>
      </c>
      <c r="AE42" s="55">
        <v>0</v>
      </c>
      <c r="AF42" s="56"/>
      <c r="AG42" s="57">
        <f t="shared" si="2"/>
        <v>520000</v>
      </c>
      <c r="AH42" s="61">
        <f>434000+64500+21500</f>
        <v>520000</v>
      </c>
      <c r="AI42" s="72"/>
      <c r="AJ42" s="60">
        <f t="shared" si="3"/>
        <v>0</v>
      </c>
      <c r="AK42" s="61">
        <v>0</v>
      </c>
      <c r="AL42" s="62">
        <v>0</v>
      </c>
      <c r="AM42" s="60">
        <f t="shared" si="4"/>
        <v>0</v>
      </c>
      <c r="AN42" s="61">
        <v>0</v>
      </c>
      <c r="AO42" s="62">
        <v>0</v>
      </c>
      <c r="AP42" s="60">
        <f t="shared" si="5"/>
        <v>0</v>
      </c>
      <c r="AQ42" s="61">
        <v>0</v>
      </c>
      <c r="AR42" s="62">
        <v>0</v>
      </c>
      <c r="AS42" s="63"/>
      <c r="AT42" s="66" t="s">
        <v>52</v>
      </c>
      <c r="AU42" s="46"/>
      <c r="AZ42" s="18"/>
      <c r="BA42" s="18"/>
      <c r="BB42" s="46"/>
      <c r="BC42" s="66"/>
      <c r="BD42" s="88"/>
      <c r="BE42" s="44"/>
    </row>
    <row r="43" spans="1:57">
      <c r="A43" s="11"/>
      <c r="B43" s="37">
        <v>47</v>
      </c>
      <c r="C43" s="37" t="s">
        <v>218</v>
      </c>
      <c r="D43" s="80" t="s">
        <v>215</v>
      </c>
      <c r="E43" s="37" t="s">
        <v>98</v>
      </c>
      <c r="F43" s="37" t="s">
        <v>268</v>
      </c>
      <c r="G43" s="39" t="s">
        <v>216</v>
      </c>
      <c r="H43" s="39" t="s">
        <v>217</v>
      </c>
      <c r="I43" s="37" t="s">
        <v>102</v>
      </c>
      <c r="J43" s="76" t="s">
        <v>33</v>
      </c>
      <c r="K43" s="17" t="s">
        <v>72</v>
      </c>
      <c r="L43" s="17" t="s">
        <v>219</v>
      </c>
      <c r="M43" s="41">
        <v>5</v>
      </c>
      <c r="N43" s="42" t="s">
        <v>209</v>
      </c>
      <c r="O43" s="43">
        <v>41699</v>
      </c>
      <c r="P43" s="66">
        <v>48000</v>
      </c>
      <c r="Q43" s="45">
        <f t="shared" si="6"/>
        <v>234500.32</v>
      </c>
      <c r="R43" s="45">
        <v>315000</v>
      </c>
      <c r="S43" s="84"/>
      <c r="T43" s="84"/>
      <c r="U43" s="84"/>
      <c r="V43" s="48">
        <f t="shared" si="0"/>
        <v>0</v>
      </c>
      <c r="W43" s="49"/>
      <c r="X43" s="49"/>
      <c r="Y43" s="49"/>
      <c r="Z43" s="50"/>
      <c r="AA43" s="51">
        <f t="shared" si="1"/>
        <v>0</v>
      </c>
      <c r="AB43" s="73"/>
      <c r="AC43" s="53"/>
      <c r="AD43" s="54">
        <f t="shared" si="7"/>
        <v>0</v>
      </c>
      <c r="AE43" s="55">
        <v>0</v>
      </c>
      <c r="AF43" s="56">
        <v>0</v>
      </c>
      <c r="AG43" s="57">
        <f t="shared" si="2"/>
        <v>234500.32</v>
      </c>
      <c r="AH43" s="61">
        <v>234500.32</v>
      </c>
      <c r="AI43" s="72"/>
      <c r="AJ43" s="60">
        <f t="shared" si="3"/>
        <v>0</v>
      </c>
      <c r="AK43" s="61">
        <v>0</v>
      </c>
      <c r="AL43" s="62">
        <v>0</v>
      </c>
      <c r="AM43" s="60">
        <f t="shared" si="4"/>
        <v>0</v>
      </c>
      <c r="AN43" s="61">
        <v>0</v>
      </c>
      <c r="AO43" s="62">
        <v>0</v>
      </c>
      <c r="AP43" s="60">
        <f t="shared" si="5"/>
        <v>0</v>
      </c>
      <c r="AQ43" s="61">
        <v>0</v>
      </c>
      <c r="AR43" s="62">
        <v>0</v>
      </c>
      <c r="AS43" s="63">
        <v>0</v>
      </c>
      <c r="AT43" s="66" t="s">
        <v>52</v>
      </c>
      <c r="AU43" s="46"/>
      <c r="AZ43" s="18"/>
      <c r="BA43" s="18"/>
      <c r="BB43" s="46"/>
      <c r="BC43" s="18"/>
    </row>
    <row r="44" spans="1:57">
      <c r="A44" s="12"/>
      <c r="B44" s="37">
        <v>48</v>
      </c>
      <c r="C44" s="37" t="s">
        <v>223</v>
      </c>
      <c r="D44" s="38" t="s">
        <v>220</v>
      </c>
      <c r="E44" s="37" t="s">
        <v>221</v>
      </c>
      <c r="F44" s="37" t="s">
        <v>271</v>
      </c>
      <c r="G44" s="39" t="s">
        <v>222</v>
      </c>
      <c r="H44" s="39"/>
      <c r="I44" s="37" t="s">
        <v>32</v>
      </c>
      <c r="J44" s="37" t="s">
        <v>41</v>
      </c>
      <c r="K44" s="17" t="s">
        <v>95</v>
      </c>
      <c r="L44" s="17" t="s">
        <v>224</v>
      </c>
      <c r="M44" s="41">
        <v>10</v>
      </c>
      <c r="N44" s="42" t="s">
        <v>209</v>
      </c>
      <c r="O44" s="43">
        <v>42156</v>
      </c>
      <c r="P44" s="66">
        <v>32000</v>
      </c>
      <c r="Q44" s="45">
        <f t="shared" si="6"/>
        <v>349000</v>
      </c>
      <c r="R44" s="46" t="e">
        <f>+Q44*#REF!</f>
        <v>#REF!</v>
      </c>
      <c r="S44" s="47"/>
      <c r="T44" s="47"/>
      <c r="U44" s="47"/>
      <c r="V44" s="48">
        <f t="shared" si="0"/>
        <v>0</v>
      </c>
      <c r="W44" s="49"/>
      <c r="X44" s="49"/>
      <c r="Y44" s="49"/>
      <c r="Z44" s="50"/>
      <c r="AA44" s="51">
        <f t="shared" si="1"/>
        <v>12429</v>
      </c>
      <c r="AB44" s="73"/>
      <c r="AC44" s="53">
        <v>12429</v>
      </c>
      <c r="AD44" s="54">
        <f t="shared" si="7"/>
        <v>16571</v>
      </c>
      <c r="AE44" s="55">
        <v>0</v>
      </c>
      <c r="AF44" s="56">
        <v>16571</v>
      </c>
      <c r="AG44" s="57">
        <f t="shared" si="2"/>
        <v>320000</v>
      </c>
      <c r="AH44" s="61">
        <v>320000</v>
      </c>
      <c r="AI44" s="72"/>
      <c r="AJ44" s="60">
        <f t="shared" si="3"/>
        <v>0</v>
      </c>
      <c r="AK44" s="61"/>
      <c r="AL44" s="62"/>
      <c r="AM44" s="60">
        <f t="shared" si="4"/>
        <v>0</v>
      </c>
      <c r="AN44" s="61"/>
      <c r="AO44" s="62"/>
      <c r="AP44" s="60">
        <f t="shared" si="5"/>
        <v>0</v>
      </c>
      <c r="AQ44" s="61"/>
      <c r="AR44" s="62"/>
      <c r="AS44" s="63"/>
      <c r="AT44" s="66" t="s">
        <v>309</v>
      </c>
      <c r="AU44" s="46"/>
      <c r="AZ44" s="18"/>
      <c r="BA44" s="18"/>
      <c r="BB44" s="46"/>
      <c r="BC44" s="66"/>
      <c r="BD44" s="88"/>
      <c r="BE44" s="44"/>
    </row>
    <row r="45" spans="1:57">
      <c r="A45" s="13"/>
      <c r="B45" s="37">
        <v>49</v>
      </c>
      <c r="C45" s="37" t="s">
        <v>227</v>
      </c>
      <c r="D45" s="76" t="s">
        <v>225</v>
      </c>
      <c r="E45" s="37" t="s">
        <v>98</v>
      </c>
      <c r="F45" s="37" t="s">
        <v>268</v>
      </c>
      <c r="G45" s="39" t="s">
        <v>226</v>
      </c>
      <c r="H45" s="39"/>
      <c r="I45" s="37" t="s">
        <v>102</v>
      </c>
      <c r="J45" s="37" t="s">
        <v>66</v>
      </c>
      <c r="K45" s="17" t="s">
        <v>95</v>
      </c>
      <c r="L45" s="17" t="s">
        <v>228</v>
      </c>
      <c r="M45" s="41">
        <v>10</v>
      </c>
      <c r="N45" s="42" t="s">
        <v>209</v>
      </c>
      <c r="O45" s="43">
        <v>41852</v>
      </c>
      <c r="P45" s="66">
        <v>64000</v>
      </c>
      <c r="Q45" s="45">
        <f t="shared" si="6"/>
        <v>428835.27</v>
      </c>
      <c r="R45" s="45">
        <v>415000</v>
      </c>
      <c r="S45" s="84"/>
      <c r="T45" s="84"/>
      <c r="U45" s="84"/>
      <c r="V45" s="48">
        <f t="shared" si="0"/>
        <v>0</v>
      </c>
      <c r="W45" s="93"/>
      <c r="X45" s="93"/>
      <c r="Y45" s="49"/>
      <c r="Z45" s="94"/>
      <c r="AA45" s="51">
        <f t="shared" si="1"/>
        <v>22458</v>
      </c>
      <c r="AB45" s="73"/>
      <c r="AC45" s="95">
        <v>22458</v>
      </c>
      <c r="AD45" s="54">
        <f t="shared" si="7"/>
        <v>93076</v>
      </c>
      <c r="AE45" s="55">
        <v>70618</v>
      </c>
      <c r="AF45" s="56">
        <v>22458</v>
      </c>
      <c r="AG45" s="57">
        <f>+AH45+AI45</f>
        <v>313301.27</v>
      </c>
      <c r="AH45" s="61">
        <v>313301.27</v>
      </c>
      <c r="AI45" s="72"/>
      <c r="AJ45" s="60">
        <f t="shared" si="3"/>
        <v>0</v>
      </c>
      <c r="AK45" s="61"/>
      <c r="AL45" s="62"/>
      <c r="AM45" s="60">
        <f t="shared" si="4"/>
        <v>0</v>
      </c>
      <c r="AN45" s="61"/>
      <c r="AO45" s="62"/>
      <c r="AP45" s="60">
        <f t="shared" si="5"/>
        <v>0</v>
      </c>
      <c r="AQ45" s="61"/>
      <c r="AR45" s="62"/>
      <c r="AS45" s="63"/>
      <c r="AT45" s="66" t="s">
        <v>52</v>
      </c>
      <c r="AU45" s="46"/>
      <c r="AZ45" s="18"/>
      <c r="BA45" s="18"/>
      <c r="BB45" s="46"/>
      <c r="BC45" s="18"/>
      <c r="BD45" s="17"/>
      <c r="BE45" s="44"/>
    </row>
    <row r="46" spans="1:57">
      <c r="A46" s="11"/>
      <c r="B46" s="37">
        <v>50</v>
      </c>
      <c r="C46" s="37" t="s">
        <v>231</v>
      </c>
      <c r="D46" s="96" t="s">
        <v>229</v>
      </c>
      <c r="E46" s="37" t="s">
        <v>98</v>
      </c>
      <c r="F46" s="37" t="s">
        <v>268</v>
      </c>
      <c r="G46" s="39" t="s">
        <v>230</v>
      </c>
      <c r="H46" s="39"/>
      <c r="I46" s="37" t="s">
        <v>102</v>
      </c>
      <c r="J46" s="37" t="s">
        <v>66</v>
      </c>
      <c r="K46" s="17" t="s">
        <v>95</v>
      </c>
      <c r="L46" s="17" t="s">
        <v>228</v>
      </c>
      <c r="M46" s="41">
        <v>25</v>
      </c>
      <c r="N46" s="42" t="s">
        <v>209</v>
      </c>
      <c r="O46" s="43">
        <v>41818</v>
      </c>
      <c r="P46" s="66">
        <v>78000</v>
      </c>
      <c r="Q46" s="45">
        <f t="shared" si="6"/>
        <v>386296.3</v>
      </c>
      <c r="R46" s="45">
        <v>509000</v>
      </c>
      <c r="S46" s="55"/>
      <c r="T46" s="55"/>
      <c r="U46" s="55"/>
      <c r="V46" s="48">
        <f t="shared" si="0"/>
        <v>0</v>
      </c>
      <c r="W46" s="93"/>
      <c r="X46" s="93"/>
      <c r="Y46" s="49"/>
      <c r="Z46" s="94"/>
      <c r="AA46" s="51">
        <f t="shared" si="1"/>
        <v>0</v>
      </c>
      <c r="AB46" s="73"/>
      <c r="AC46" s="97"/>
      <c r="AD46" s="54">
        <f t="shared" si="7"/>
        <v>0</v>
      </c>
      <c r="AE46" s="55">
        <v>0</v>
      </c>
      <c r="AF46" s="56">
        <v>0</v>
      </c>
      <c r="AG46" s="57">
        <f t="shared" si="2"/>
        <v>386296.3</v>
      </c>
      <c r="AH46" s="61">
        <v>386296.3</v>
      </c>
      <c r="AI46" s="72"/>
      <c r="AJ46" s="60">
        <f t="shared" si="3"/>
        <v>0</v>
      </c>
      <c r="AK46" s="61"/>
      <c r="AL46" s="62"/>
      <c r="AM46" s="60">
        <f t="shared" si="4"/>
        <v>0</v>
      </c>
      <c r="AN46" s="61"/>
      <c r="AO46" s="62"/>
      <c r="AP46" s="60">
        <f t="shared" si="5"/>
        <v>0</v>
      </c>
      <c r="AQ46" s="61"/>
      <c r="AR46" s="62"/>
      <c r="AS46" s="63"/>
      <c r="AT46" s="66" t="s">
        <v>52</v>
      </c>
      <c r="AU46" s="46"/>
      <c r="AZ46" s="18"/>
      <c r="BA46" s="18"/>
      <c r="BB46" s="46"/>
      <c r="BC46" s="18"/>
    </row>
    <row r="47" spans="1:57">
      <c r="A47" s="12"/>
      <c r="B47" s="37">
        <v>51</v>
      </c>
      <c r="C47" s="37" t="s">
        <v>236</v>
      </c>
      <c r="D47" s="76" t="s">
        <v>232</v>
      </c>
      <c r="E47" s="37" t="s">
        <v>233</v>
      </c>
      <c r="F47" s="37" t="s">
        <v>270</v>
      </c>
      <c r="G47" s="39" t="s">
        <v>234</v>
      </c>
      <c r="H47" s="39" t="s">
        <v>235</v>
      </c>
      <c r="I47" s="37" t="s">
        <v>48</v>
      </c>
      <c r="J47" s="37" t="s">
        <v>41</v>
      </c>
      <c r="K47" s="17" t="s">
        <v>34</v>
      </c>
      <c r="L47" s="17"/>
      <c r="M47" s="41">
        <v>200</v>
      </c>
      <c r="N47" s="42" t="s">
        <v>209</v>
      </c>
      <c r="O47" s="43">
        <v>42064</v>
      </c>
      <c r="P47" s="66">
        <v>100000</v>
      </c>
      <c r="Q47" s="45">
        <f t="shared" si="6"/>
        <v>650000</v>
      </c>
      <c r="R47" s="46" t="e">
        <f>+Q47*#REF!</f>
        <v>#REF!</v>
      </c>
      <c r="S47" s="55"/>
      <c r="T47" s="55"/>
      <c r="U47" s="55"/>
      <c r="V47" s="48">
        <f t="shared" si="0"/>
        <v>100000</v>
      </c>
      <c r="W47" s="93"/>
      <c r="X47" s="93"/>
      <c r="Y47" s="49">
        <v>100000</v>
      </c>
      <c r="Z47" s="94"/>
      <c r="AA47" s="51">
        <f t="shared" si="1"/>
        <v>0</v>
      </c>
      <c r="AB47" s="73"/>
      <c r="AC47" s="97"/>
      <c r="AD47" s="54">
        <f t="shared" si="7"/>
        <v>0</v>
      </c>
      <c r="AE47" s="55">
        <v>0</v>
      </c>
      <c r="AF47" s="56">
        <v>0</v>
      </c>
      <c r="AG47" s="57">
        <f t="shared" si="2"/>
        <v>650000</v>
      </c>
      <c r="AH47" s="61">
        <v>650000</v>
      </c>
      <c r="AI47" s="72"/>
      <c r="AJ47" s="60">
        <f t="shared" si="3"/>
        <v>0</v>
      </c>
      <c r="AK47" s="61"/>
      <c r="AL47" s="62"/>
      <c r="AM47" s="60">
        <f t="shared" si="4"/>
        <v>0</v>
      </c>
      <c r="AN47" s="61"/>
      <c r="AO47" s="62"/>
      <c r="AP47" s="60">
        <f t="shared" si="5"/>
        <v>0</v>
      </c>
      <c r="AQ47" s="61"/>
      <c r="AR47" s="62"/>
      <c r="AS47" s="63"/>
      <c r="AT47" s="66" t="s">
        <v>52</v>
      </c>
      <c r="AU47" s="46"/>
      <c r="AY47" s="65"/>
      <c r="AZ47" s="18"/>
      <c r="BA47" s="18"/>
      <c r="BB47" s="18"/>
      <c r="BC47" s="18"/>
      <c r="BD47" s="17"/>
      <c r="BE47" s="44"/>
    </row>
    <row r="48" spans="1:57">
      <c r="A48" s="13"/>
      <c r="B48" s="37">
        <v>52</v>
      </c>
      <c r="C48" s="37" t="s">
        <v>241</v>
      </c>
      <c r="D48" s="76" t="s">
        <v>239</v>
      </c>
      <c r="E48" s="37" t="s">
        <v>240</v>
      </c>
      <c r="F48" s="37" t="s">
        <v>270</v>
      </c>
      <c r="G48" s="39"/>
      <c r="H48" s="39"/>
      <c r="I48" s="37" t="s">
        <v>48</v>
      </c>
      <c r="J48" s="37" t="s">
        <v>33</v>
      </c>
      <c r="K48" s="17" t="s">
        <v>95</v>
      </c>
      <c r="L48" s="17" t="s">
        <v>242</v>
      </c>
      <c r="M48" s="41">
        <v>25</v>
      </c>
      <c r="N48" s="42" t="s">
        <v>209</v>
      </c>
      <c r="O48" s="43">
        <v>41850</v>
      </c>
      <c r="P48" s="66">
        <v>52000</v>
      </c>
      <c r="Q48" s="45">
        <f t="shared" si="6"/>
        <v>286482.27</v>
      </c>
      <c r="R48" s="45">
        <v>375000</v>
      </c>
      <c r="S48" s="55"/>
      <c r="T48" s="55"/>
      <c r="U48" s="55"/>
      <c r="V48" s="48">
        <f t="shared" si="0"/>
        <v>75000</v>
      </c>
      <c r="W48" s="93">
        <v>75000</v>
      </c>
      <c r="X48" s="93"/>
      <c r="Y48" s="93"/>
      <c r="Z48" s="94"/>
      <c r="AA48" s="51">
        <f t="shared" si="1"/>
        <v>0</v>
      </c>
      <c r="AB48" s="73"/>
      <c r="AC48" s="97"/>
      <c r="AD48" s="54">
        <f t="shared" si="7"/>
        <v>0</v>
      </c>
      <c r="AE48" s="55">
        <v>0</v>
      </c>
      <c r="AF48" s="56">
        <v>0</v>
      </c>
      <c r="AG48" s="57">
        <f t="shared" si="2"/>
        <v>286482.27</v>
      </c>
      <c r="AH48" s="61">
        <v>286482.27</v>
      </c>
      <c r="AI48" s="72"/>
      <c r="AJ48" s="60">
        <f t="shared" si="3"/>
        <v>0</v>
      </c>
      <c r="AK48" s="61"/>
      <c r="AL48" s="62"/>
      <c r="AM48" s="60">
        <f t="shared" si="4"/>
        <v>0</v>
      </c>
      <c r="AN48" s="61"/>
      <c r="AO48" s="62"/>
      <c r="AP48" s="60">
        <f t="shared" si="5"/>
        <v>0</v>
      </c>
      <c r="AQ48" s="61"/>
      <c r="AR48" s="62"/>
      <c r="AS48" s="63"/>
      <c r="AT48" s="66" t="s">
        <v>165</v>
      </c>
      <c r="AU48" s="37"/>
      <c r="AV48" s="37" t="s">
        <v>212</v>
      </c>
      <c r="AW48" s="37" t="s">
        <v>213</v>
      </c>
      <c r="AX48" s="37" t="s">
        <v>214</v>
      </c>
      <c r="AY48" s="37"/>
      <c r="AZ48" s="66"/>
      <c r="BA48" s="66"/>
      <c r="BB48" s="66"/>
      <c r="BC48" s="18"/>
    </row>
    <row r="49" spans="1:87">
      <c r="A49" s="11"/>
      <c r="B49" s="37">
        <v>53</v>
      </c>
      <c r="C49" s="37" t="s">
        <v>243</v>
      </c>
      <c r="D49" s="76" t="s">
        <v>243</v>
      </c>
      <c r="E49" s="37" t="s">
        <v>244</v>
      </c>
      <c r="F49" s="37" t="s">
        <v>268</v>
      </c>
      <c r="G49" s="39"/>
      <c r="H49" s="39"/>
      <c r="I49" s="37" t="s">
        <v>102</v>
      </c>
      <c r="J49" s="37" t="s">
        <v>33</v>
      </c>
      <c r="K49" s="17" t="s">
        <v>95</v>
      </c>
      <c r="L49" s="17" t="s">
        <v>130</v>
      </c>
      <c r="M49" s="41">
        <v>10</v>
      </c>
      <c r="N49" s="42" t="s">
        <v>209</v>
      </c>
      <c r="O49" s="43">
        <v>42278</v>
      </c>
      <c r="P49" s="66">
        <v>75000</v>
      </c>
      <c r="Q49" s="45">
        <f t="shared" si="6"/>
        <v>535000</v>
      </c>
      <c r="R49" s="46" t="e">
        <f>+Q49*#REF!</f>
        <v>#REF!</v>
      </c>
      <c r="S49" s="79"/>
      <c r="T49" s="79"/>
      <c r="U49" s="79"/>
      <c r="V49" s="48">
        <f t="shared" si="0"/>
        <v>75000</v>
      </c>
      <c r="W49" s="93"/>
      <c r="X49" s="93"/>
      <c r="Y49" s="93"/>
      <c r="Z49" s="94">
        <v>75000</v>
      </c>
      <c r="AA49" s="51">
        <f t="shared" si="1"/>
        <v>62500</v>
      </c>
      <c r="AB49" s="73"/>
      <c r="AC49" s="95">
        <v>62500</v>
      </c>
      <c r="AD49" s="54">
        <f t="shared" si="7"/>
        <v>12500</v>
      </c>
      <c r="AE49" s="55">
        <v>0</v>
      </c>
      <c r="AF49" s="56">
        <v>12500</v>
      </c>
      <c r="AG49" s="57">
        <f t="shared" si="2"/>
        <v>460000</v>
      </c>
      <c r="AH49" s="61">
        <v>460000</v>
      </c>
      <c r="AI49" s="72"/>
      <c r="AJ49" s="60">
        <f t="shared" si="3"/>
        <v>0</v>
      </c>
      <c r="AK49" s="61"/>
      <c r="AL49" s="62"/>
      <c r="AM49" s="60">
        <f t="shared" si="4"/>
        <v>0</v>
      </c>
      <c r="AN49" s="61"/>
      <c r="AO49" s="62"/>
      <c r="AP49" s="60">
        <f t="shared" si="5"/>
        <v>0</v>
      </c>
      <c r="AQ49" s="61"/>
      <c r="AR49" s="62"/>
      <c r="AS49" s="63"/>
      <c r="AT49" s="66" t="s">
        <v>52</v>
      </c>
      <c r="AU49" s="46"/>
      <c r="AZ49" s="18"/>
      <c r="BA49" s="18"/>
      <c r="BB49" s="46"/>
      <c r="BC49" s="18"/>
      <c r="BD49" s="17"/>
      <c r="BE49" s="44"/>
    </row>
    <row r="50" spans="1:87">
      <c r="A50" s="12"/>
      <c r="B50" s="37">
        <v>54</v>
      </c>
      <c r="C50" s="37" t="s">
        <v>311</v>
      </c>
      <c r="D50" s="76" t="s">
        <v>245</v>
      </c>
      <c r="E50" s="37" t="s">
        <v>246</v>
      </c>
      <c r="F50" s="37" t="s">
        <v>268</v>
      </c>
      <c r="G50" s="39"/>
      <c r="H50" s="39"/>
      <c r="I50" s="37" t="s">
        <v>102</v>
      </c>
      <c r="J50" s="37" t="s">
        <v>33</v>
      </c>
      <c r="K50" s="17" t="s">
        <v>95</v>
      </c>
      <c r="L50" s="17" t="s">
        <v>247</v>
      </c>
      <c r="M50" s="41">
        <v>35</v>
      </c>
      <c r="N50" s="42" t="s">
        <v>209</v>
      </c>
      <c r="O50" s="43">
        <v>42674</v>
      </c>
      <c r="P50" s="66">
        <v>35000</v>
      </c>
      <c r="Q50" s="45">
        <f t="shared" si="6"/>
        <v>335000</v>
      </c>
      <c r="R50" s="46" t="e">
        <f>+Q50*#REF!</f>
        <v>#REF!</v>
      </c>
      <c r="S50" s="55"/>
      <c r="T50" s="55"/>
      <c r="U50" s="55"/>
      <c r="V50" s="48">
        <f t="shared" si="0"/>
        <v>0</v>
      </c>
      <c r="W50" s="93"/>
      <c r="X50" s="93"/>
      <c r="Y50" s="93"/>
      <c r="Z50" s="94"/>
      <c r="AA50" s="51">
        <f t="shared" si="1"/>
        <v>0</v>
      </c>
      <c r="AB50" s="73"/>
      <c r="AC50" s="97"/>
      <c r="AD50" s="54">
        <f t="shared" si="7"/>
        <v>0</v>
      </c>
      <c r="AE50" s="55">
        <v>0</v>
      </c>
      <c r="AF50" s="56">
        <v>0</v>
      </c>
      <c r="AG50" s="57">
        <f t="shared" si="2"/>
        <v>335000</v>
      </c>
      <c r="AH50" s="61">
        <v>335000</v>
      </c>
      <c r="AI50" s="72"/>
      <c r="AJ50" s="60">
        <f t="shared" si="3"/>
        <v>0</v>
      </c>
      <c r="AK50" s="61"/>
      <c r="AL50" s="62"/>
      <c r="AM50" s="60">
        <f t="shared" si="4"/>
        <v>0</v>
      </c>
      <c r="AN50" s="61"/>
      <c r="AO50" s="62"/>
      <c r="AP50" s="60">
        <f t="shared" si="5"/>
        <v>0</v>
      </c>
      <c r="AQ50" s="61"/>
      <c r="AR50" s="62"/>
      <c r="AS50" s="63"/>
      <c r="AT50" s="66" t="s">
        <v>52</v>
      </c>
      <c r="AU50" s="46"/>
      <c r="AZ50" s="18"/>
      <c r="BA50" s="18"/>
      <c r="BB50" s="46"/>
      <c r="BC50" s="18"/>
    </row>
    <row r="51" spans="1:87">
      <c r="A51" s="13"/>
      <c r="B51" s="76">
        <v>55</v>
      </c>
      <c r="C51" s="76" t="s">
        <v>313</v>
      </c>
      <c r="D51" s="96" t="s">
        <v>248</v>
      </c>
      <c r="E51" s="76" t="s">
        <v>29</v>
      </c>
      <c r="F51" s="76" t="s">
        <v>267</v>
      </c>
      <c r="G51" s="39"/>
      <c r="H51" s="39"/>
      <c r="I51" s="76" t="s">
        <v>32</v>
      </c>
      <c r="J51" s="76" t="s">
        <v>33</v>
      </c>
      <c r="K51" s="17" t="s">
        <v>34</v>
      </c>
      <c r="L51" s="17"/>
      <c r="M51" s="41"/>
      <c r="N51" s="42" t="s">
        <v>209</v>
      </c>
      <c r="O51" s="43">
        <v>42005</v>
      </c>
      <c r="P51" s="66">
        <v>80000</v>
      </c>
      <c r="Q51" s="45">
        <f t="shared" si="6"/>
        <v>400000</v>
      </c>
      <c r="R51" s="46" t="e">
        <f>+Q51*#REF!</f>
        <v>#REF!</v>
      </c>
      <c r="S51" s="55"/>
      <c r="T51" s="55"/>
      <c r="U51" s="55"/>
      <c r="V51" s="48">
        <f t="shared" si="0"/>
        <v>75000</v>
      </c>
      <c r="W51" s="93">
        <v>75000</v>
      </c>
      <c r="X51" s="93"/>
      <c r="Y51" s="93"/>
      <c r="Z51" s="94"/>
      <c r="AA51" s="51">
        <f t="shared" si="1"/>
        <v>0</v>
      </c>
      <c r="AB51" s="73"/>
      <c r="AC51" s="97"/>
      <c r="AD51" s="54">
        <f t="shared" si="7"/>
        <v>0</v>
      </c>
      <c r="AE51" s="55">
        <v>0</v>
      </c>
      <c r="AF51" s="56">
        <v>0</v>
      </c>
      <c r="AG51" s="57">
        <f t="shared" si="2"/>
        <v>400000</v>
      </c>
      <c r="AH51" s="61">
        <v>400000</v>
      </c>
      <c r="AI51" s="72"/>
      <c r="AJ51" s="60">
        <f t="shared" si="3"/>
        <v>0</v>
      </c>
      <c r="AK51" s="61"/>
      <c r="AL51" s="62"/>
      <c r="AM51" s="60">
        <f t="shared" si="4"/>
        <v>0</v>
      </c>
      <c r="AN51" s="61"/>
      <c r="AO51" s="62"/>
      <c r="AP51" s="60">
        <f t="shared" si="5"/>
        <v>0</v>
      </c>
      <c r="AQ51" s="61"/>
      <c r="AR51" s="62"/>
      <c r="AS51" s="63"/>
      <c r="AT51" s="66" t="s">
        <v>52</v>
      </c>
      <c r="AU51" s="46"/>
      <c r="AX51" s="88"/>
      <c r="AY51" s="88"/>
      <c r="AZ51" s="44"/>
      <c r="BA51" s="44"/>
      <c r="BB51" s="46"/>
      <c r="BC51" s="66"/>
    </row>
    <row r="52" spans="1:87">
      <c r="A52" s="11"/>
      <c r="B52" s="37">
        <v>56</v>
      </c>
      <c r="C52" s="76" t="s">
        <v>312</v>
      </c>
      <c r="D52" s="76" t="s">
        <v>279</v>
      </c>
      <c r="E52" s="76" t="s">
        <v>280</v>
      </c>
      <c r="F52" s="76" t="s">
        <v>271</v>
      </c>
      <c r="G52" s="39"/>
      <c r="H52" s="39"/>
      <c r="I52" s="76" t="s">
        <v>32</v>
      </c>
      <c r="J52" s="76" t="s">
        <v>33</v>
      </c>
      <c r="K52" s="17" t="s">
        <v>34</v>
      </c>
      <c r="L52" s="17"/>
      <c r="M52" s="41">
        <v>5</v>
      </c>
      <c r="N52" s="42" t="s">
        <v>209</v>
      </c>
      <c r="O52" s="43">
        <v>42036</v>
      </c>
      <c r="P52" s="66">
        <v>40000</v>
      </c>
      <c r="Q52" s="45">
        <f t="shared" si="6"/>
        <v>375625</v>
      </c>
      <c r="R52" s="46" t="e">
        <f>+Q52*#REF!</f>
        <v>#REF!</v>
      </c>
      <c r="S52" s="55"/>
      <c r="T52" s="55"/>
      <c r="U52" s="108">
        <f>16875*2</f>
        <v>33750</v>
      </c>
      <c r="V52" s="48">
        <f t="shared" si="0"/>
        <v>16875</v>
      </c>
      <c r="W52" s="93"/>
      <c r="X52" s="93"/>
      <c r="Y52" s="93">
        <v>16875</v>
      </c>
      <c r="Z52" s="94"/>
      <c r="AA52" s="51">
        <f t="shared" si="1"/>
        <v>16875</v>
      </c>
      <c r="AB52" s="73"/>
      <c r="AC52" s="95">
        <v>16875</v>
      </c>
      <c r="AD52" s="54">
        <f t="shared" si="7"/>
        <v>70000</v>
      </c>
      <c r="AE52" s="55">
        <v>70000</v>
      </c>
      <c r="AF52" s="56">
        <v>0</v>
      </c>
      <c r="AG52" s="57">
        <f t="shared" si="2"/>
        <v>255000</v>
      </c>
      <c r="AH52" s="61">
        <v>255000</v>
      </c>
      <c r="AI52" s="72"/>
      <c r="AJ52" s="60">
        <f t="shared" si="3"/>
        <v>0</v>
      </c>
      <c r="AK52" s="61"/>
      <c r="AL52" s="62"/>
      <c r="AM52" s="60">
        <f t="shared" si="4"/>
        <v>0</v>
      </c>
      <c r="AN52" s="61"/>
      <c r="AO52" s="62"/>
      <c r="AP52" s="60">
        <f t="shared" si="5"/>
        <v>0</v>
      </c>
      <c r="AQ52" s="61"/>
      <c r="AR52" s="62"/>
      <c r="AS52" s="63"/>
      <c r="AT52" s="66" t="s">
        <v>52</v>
      </c>
      <c r="AU52" s="46"/>
      <c r="AZ52" s="18"/>
      <c r="BA52" s="18"/>
      <c r="BB52" s="46"/>
      <c r="BC52" s="66"/>
    </row>
    <row r="53" spans="1:87">
      <c r="A53" s="12"/>
      <c r="B53" s="76">
        <v>57</v>
      </c>
      <c r="C53" s="76" t="s">
        <v>315</v>
      </c>
      <c r="D53" s="76" t="s">
        <v>282</v>
      </c>
      <c r="E53" s="76" t="s">
        <v>277</v>
      </c>
      <c r="F53" s="76" t="s">
        <v>269</v>
      </c>
      <c r="G53" s="39"/>
      <c r="H53" s="39"/>
      <c r="I53" s="76" t="s">
        <v>61</v>
      </c>
      <c r="J53" s="76" t="s">
        <v>41</v>
      </c>
      <c r="K53" s="17" t="s">
        <v>95</v>
      </c>
      <c r="L53" s="17" t="s">
        <v>278</v>
      </c>
      <c r="M53" s="41"/>
      <c r="N53" s="42" t="s">
        <v>209</v>
      </c>
      <c r="O53" s="98">
        <v>42125</v>
      </c>
      <c r="P53" s="66"/>
      <c r="Q53" s="45">
        <f t="shared" si="6"/>
        <v>210000</v>
      </c>
      <c r="R53" s="46" t="e">
        <f>+Q53*#REF!</f>
        <v>#REF!</v>
      </c>
      <c r="S53" s="55"/>
      <c r="T53" s="55"/>
      <c r="U53" s="55"/>
      <c r="V53" s="48">
        <f t="shared" si="0"/>
        <v>0</v>
      </c>
      <c r="W53" s="93"/>
      <c r="X53" s="93"/>
      <c r="Y53" s="93"/>
      <c r="Z53" s="94"/>
      <c r="AA53" s="51">
        <f t="shared" si="1"/>
        <v>0</v>
      </c>
      <c r="AB53" s="73"/>
      <c r="AC53" s="97"/>
      <c r="AD53" s="54">
        <f t="shared" si="7"/>
        <v>0</v>
      </c>
      <c r="AE53" s="55">
        <v>0</v>
      </c>
      <c r="AF53" s="56">
        <v>0</v>
      </c>
      <c r="AG53" s="57">
        <f t="shared" si="2"/>
        <v>210000</v>
      </c>
      <c r="AH53" s="61">
        <v>210000</v>
      </c>
      <c r="AI53" s="72">
        <v>0</v>
      </c>
      <c r="AJ53" s="60"/>
      <c r="AK53" s="61"/>
      <c r="AL53" s="62"/>
      <c r="AM53" s="60"/>
      <c r="AN53" s="61"/>
      <c r="AO53" s="62"/>
      <c r="AP53" s="60"/>
      <c r="AQ53" s="61"/>
      <c r="AR53" s="62"/>
      <c r="AS53" s="63"/>
      <c r="AT53" s="66"/>
      <c r="AU53" s="46"/>
      <c r="AX53" s="17"/>
      <c r="AY53" s="17"/>
      <c r="AZ53" s="44"/>
      <c r="BA53" s="44"/>
      <c r="BB53" s="46"/>
      <c r="BC53" s="66"/>
    </row>
    <row r="54" spans="1:87">
      <c r="A54" s="13"/>
      <c r="B54" s="37">
        <v>58</v>
      </c>
      <c r="C54" s="76" t="s">
        <v>337</v>
      </c>
      <c r="D54" s="96" t="s">
        <v>275</v>
      </c>
      <c r="E54" s="76" t="s">
        <v>273</v>
      </c>
      <c r="F54" s="76" t="s">
        <v>268</v>
      </c>
      <c r="G54" s="39"/>
      <c r="H54" s="39"/>
      <c r="I54" s="76" t="s">
        <v>102</v>
      </c>
      <c r="J54" s="76" t="s">
        <v>274</v>
      </c>
      <c r="K54" s="17" t="s">
        <v>95</v>
      </c>
      <c r="L54" s="17"/>
      <c r="M54" s="41"/>
      <c r="N54" s="42" t="s">
        <v>209</v>
      </c>
      <c r="O54" s="98">
        <v>42064</v>
      </c>
      <c r="P54" s="66"/>
      <c r="Q54" s="45">
        <f t="shared" si="6"/>
        <v>321120</v>
      </c>
      <c r="R54" s="46" t="e">
        <f>+Q54*#REF!</f>
        <v>#REF!</v>
      </c>
      <c r="S54" s="55"/>
      <c r="T54" s="55"/>
      <c r="U54" s="55"/>
      <c r="V54" s="48">
        <f t="shared" si="0"/>
        <v>0</v>
      </c>
      <c r="W54" s="93"/>
      <c r="X54" s="93"/>
      <c r="Y54" s="93"/>
      <c r="Z54" s="94"/>
      <c r="AA54" s="51">
        <f t="shared" si="1"/>
        <v>0</v>
      </c>
      <c r="AB54" s="73"/>
      <c r="AC54" s="97"/>
      <c r="AD54" s="54">
        <f t="shared" si="7"/>
        <v>0</v>
      </c>
      <c r="AE54" s="55">
        <v>0</v>
      </c>
      <c r="AF54" s="56">
        <v>0</v>
      </c>
      <c r="AG54" s="57">
        <f t="shared" si="2"/>
        <v>321120</v>
      </c>
      <c r="AH54" s="61">
        <f>160560*2</f>
        <v>321120</v>
      </c>
      <c r="AI54" s="72"/>
      <c r="AJ54" s="60"/>
      <c r="AK54" s="61"/>
      <c r="AL54" s="62"/>
      <c r="AM54" s="60"/>
      <c r="AN54" s="61"/>
      <c r="AO54" s="62"/>
      <c r="AP54" s="60"/>
      <c r="AQ54" s="61"/>
      <c r="AR54" s="62"/>
      <c r="AS54" s="63"/>
      <c r="AT54" s="66"/>
      <c r="AU54" s="46"/>
      <c r="AZ54" s="18"/>
      <c r="BA54" s="18"/>
      <c r="BB54" s="46"/>
      <c r="BC54" s="18"/>
    </row>
    <row r="55" spans="1:87">
      <c r="A55" s="11"/>
      <c r="B55" s="76">
        <v>59</v>
      </c>
      <c r="C55" s="76"/>
      <c r="D55" s="96" t="s">
        <v>276</v>
      </c>
      <c r="E55" s="76" t="s">
        <v>69</v>
      </c>
      <c r="F55" s="76" t="s">
        <v>270</v>
      </c>
      <c r="G55" s="39"/>
      <c r="H55" s="39"/>
      <c r="I55" s="76" t="s">
        <v>48</v>
      </c>
      <c r="J55" s="76" t="s">
        <v>33</v>
      </c>
      <c r="K55" s="17" t="s">
        <v>95</v>
      </c>
      <c r="L55" s="17"/>
      <c r="M55" s="41"/>
      <c r="N55" s="42" t="s">
        <v>209</v>
      </c>
      <c r="O55" s="98"/>
      <c r="P55" s="66"/>
      <c r="Q55" s="45">
        <f t="shared" si="6"/>
        <v>0</v>
      </c>
      <c r="R55" s="46" t="e">
        <f>+Q55*#REF!</f>
        <v>#REF!</v>
      </c>
      <c r="S55" s="55"/>
      <c r="T55" s="55"/>
      <c r="U55" s="55"/>
      <c r="V55" s="48">
        <f t="shared" si="0"/>
        <v>0</v>
      </c>
      <c r="W55" s="99"/>
      <c r="X55" s="99"/>
      <c r="Y55" s="99"/>
      <c r="Z55" s="100"/>
      <c r="AA55" s="51">
        <f t="shared" si="1"/>
        <v>0</v>
      </c>
      <c r="AB55" s="73"/>
      <c r="AC55" s="97"/>
      <c r="AD55" s="54">
        <f t="shared" si="7"/>
        <v>0</v>
      </c>
      <c r="AE55" s="55">
        <v>0</v>
      </c>
      <c r="AF55" s="56">
        <v>0</v>
      </c>
      <c r="AG55" s="57">
        <f t="shared" si="2"/>
        <v>0</v>
      </c>
      <c r="AH55" s="79"/>
      <c r="AI55" s="72"/>
      <c r="AJ55" s="60"/>
      <c r="AK55" s="61"/>
      <c r="AL55" s="62"/>
      <c r="AM55" s="60"/>
      <c r="AN55" s="61"/>
      <c r="AO55" s="62"/>
      <c r="AP55" s="60"/>
      <c r="AQ55" s="61"/>
      <c r="AR55" s="62"/>
      <c r="AS55" s="63"/>
      <c r="AT55" s="66"/>
      <c r="AU55" s="46"/>
      <c r="AZ55" s="18"/>
      <c r="BA55" s="18"/>
      <c r="BB55" s="18"/>
      <c r="BC55" s="18"/>
    </row>
    <row r="56" spans="1:87">
      <c r="A56" s="12"/>
      <c r="B56" s="37">
        <v>60</v>
      </c>
      <c r="C56" s="76" t="s">
        <v>353</v>
      </c>
      <c r="D56" s="76" t="s">
        <v>272</v>
      </c>
      <c r="E56" s="76" t="s">
        <v>272</v>
      </c>
      <c r="F56" s="76" t="s">
        <v>271</v>
      </c>
      <c r="G56" s="39"/>
      <c r="H56" s="39"/>
      <c r="I56" s="76" t="s">
        <v>102</v>
      </c>
      <c r="J56" s="76" t="s">
        <v>33</v>
      </c>
      <c r="K56" s="17" t="s">
        <v>144</v>
      </c>
      <c r="L56" s="17" t="s">
        <v>283</v>
      </c>
      <c r="M56" s="41"/>
      <c r="N56" s="42" t="s">
        <v>301</v>
      </c>
      <c r="O56" s="98">
        <v>41821</v>
      </c>
      <c r="P56" s="66"/>
      <c r="Q56" s="45">
        <f t="shared" si="6"/>
        <v>355000</v>
      </c>
      <c r="R56" s="46"/>
      <c r="S56" s="55"/>
      <c r="T56" s="55"/>
      <c r="U56" s="55"/>
      <c r="V56" s="48">
        <f t="shared" si="0"/>
        <v>0</v>
      </c>
      <c r="W56" s="93"/>
      <c r="X56" s="93"/>
      <c r="Y56" s="93"/>
      <c r="Z56" s="94"/>
      <c r="AA56" s="51">
        <f t="shared" si="1"/>
        <v>0</v>
      </c>
      <c r="AB56" s="73"/>
      <c r="AC56" s="97"/>
      <c r="AD56" s="54">
        <f t="shared" si="7"/>
        <v>355000</v>
      </c>
      <c r="AE56" s="55">
        <v>355000</v>
      </c>
      <c r="AF56" s="56">
        <v>0</v>
      </c>
      <c r="AG56" s="57">
        <f t="shared" si="2"/>
        <v>0</v>
      </c>
      <c r="AH56" s="61"/>
      <c r="AI56" s="72"/>
      <c r="AJ56" s="60">
        <f>+AK56+AL56</f>
        <v>0</v>
      </c>
      <c r="AK56" s="61"/>
      <c r="AL56" s="62"/>
      <c r="AM56" s="60">
        <f>+AN56+AO56</f>
        <v>0</v>
      </c>
      <c r="AN56" s="61"/>
      <c r="AO56" s="62"/>
      <c r="AP56" s="60">
        <f>+AQ56+AR56</f>
        <v>0</v>
      </c>
      <c r="AQ56" s="61"/>
      <c r="AR56" s="62"/>
      <c r="AS56" s="63"/>
      <c r="AT56" s="66"/>
      <c r="AU56" s="46"/>
      <c r="AZ56" s="18"/>
      <c r="BA56" s="18"/>
      <c r="BB56" s="46"/>
      <c r="BC56" s="18"/>
    </row>
    <row r="57" spans="1:87">
      <c r="A57" s="13"/>
      <c r="B57" s="76">
        <v>61</v>
      </c>
      <c r="C57" s="37" t="s">
        <v>352</v>
      </c>
      <c r="D57" s="76" t="s">
        <v>323</v>
      </c>
      <c r="E57" s="37" t="s">
        <v>98</v>
      </c>
      <c r="F57" s="37" t="s">
        <v>268</v>
      </c>
      <c r="G57" s="39"/>
      <c r="H57" s="39"/>
      <c r="I57" s="37" t="s">
        <v>102</v>
      </c>
      <c r="J57" s="37"/>
      <c r="K57" s="17"/>
      <c r="L57" s="17" t="s">
        <v>228</v>
      </c>
      <c r="M57" s="41"/>
      <c r="N57" s="42" t="s">
        <v>301</v>
      </c>
      <c r="O57" s="43">
        <v>42186</v>
      </c>
      <c r="P57" s="66"/>
      <c r="Q57" s="45">
        <f t="shared" si="6"/>
        <v>322900.35681004828</v>
      </c>
      <c r="R57" s="46"/>
      <c r="S57" s="46"/>
      <c r="T57" s="46"/>
      <c r="U57" s="46"/>
      <c r="V57" s="48">
        <f t="shared" si="0"/>
        <v>0</v>
      </c>
      <c r="W57" s="93"/>
      <c r="X57" s="93"/>
      <c r="Y57" s="49"/>
      <c r="Z57" s="94"/>
      <c r="AA57" s="51">
        <f t="shared" si="1"/>
        <v>0</v>
      </c>
      <c r="AB57" s="73"/>
      <c r="AC57" s="97"/>
      <c r="AD57" s="54">
        <f t="shared" si="7"/>
        <v>322900.35681004828</v>
      </c>
      <c r="AE57" s="55">
        <f>(220000/1.3635)+(220000/1.3618)</f>
        <v>322900.35681004828</v>
      </c>
      <c r="AF57" s="56">
        <v>0</v>
      </c>
      <c r="AG57" s="57">
        <f t="shared" si="2"/>
        <v>0</v>
      </c>
      <c r="AH57" s="61"/>
      <c r="AI57" s="72"/>
      <c r="AJ57" s="60"/>
      <c r="AK57" s="61"/>
      <c r="AL57" s="62"/>
      <c r="AM57" s="60"/>
      <c r="AN57" s="61"/>
      <c r="AO57" s="62"/>
      <c r="AP57" s="60"/>
      <c r="AQ57" s="61"/>
      <c r="AR57" s="62"/>
      <c r="AS57" s="63"/>
      <c r="AT57" s="66"/>
      <c r="AU57" s="46"/>
      <c r="AZ57" s="18"/>
      <c r="BA57" s="18"/>
      <c r="BB57" s="46"/>
      <c r="BC57" s="66"/>
    </row>
    <row r="58" spans="1:87" s="101" customFormat="1">
      <c r="A58" s="11"/>
      <c r="B58" s="76">
        <v>62</v>
      </c>
      <c r="C58" s="37" t="s">
        <v>330</v>
      </c>
      <c r="D58" s="76" t="s">
        <v>329</v>
      </c>
      <c r="E58" s="37" t="s">
        <v>98</v>
      </c>
      <c r="F58" s="37" t="s">
        <v>268</v>
      </c>
      <c r="G58" s="39"/>
      <c r="H58" s="39"/>
      <c r="I58" s="37" t="s">
        <v>102</v>
      </c>
      <c r="J58" s="37" t="s">
        <v>33</v>
      </c>
      <c r="K58" s="17" t="s">
        <v>95</v>
      </c>
      <c r="L58" s="17" t="s">
        <v>331</v>
      </c>
      <c r="M58" s="41"/>
      <c r="N58" s="42" t="s">
        <v>301</v>
      </c>
      <c r="O58" s="43">
        <v>42248</v>
      </c>
      <c r="P58" s="66">
        <v>91000</v>
      </c>
      <c r="Q58" s="45">
        <f t="shared" si="6"/>
        <v>371035</v>
      </c>
      <c r="R58" s="46"/>
      <c r="S58" s="46"/>
      <c r="T58" s="46"/>
      <c r="U58" s="46"/>
      <c r="V58" s="48">
        <f t="shared" si="0"/>
        <v>0</v>
      </c>
      <c r="W58" s="93"/>
      <c r="X58" s="93"/>
      <c r="Y58" s="49"/>
      <c r="Z58" s="94"/>
      <c r="AA58" s="51">
        <f t="shared" si="1"/>
        <v>0</v>
      </c>
      <c r="AB58" s="73"/>
      <c r="AC58" s="97"/>
      <c r="AD58" s="54">
        <f t="shared" si="7"/>
        <v>371035</v>
      </c>
      <c r="AE58" s="55">
        <v>371035</v>
      </c>
      <c r="AF58" s="56">
        <v>0</v>
      </c>
      <c r="AG58" s="57">
        <f t="shared" si="2"/>
        <v>0</v>
      </c>
      <c r="AH58" s="61"/>
      <c r="AI58" s="72"/>
      <c r="AJ58" s="60"/>
      <c r="AK58" s="61"/>
      <c r="AL58" s="62"/>
      <c r="AM58" s="60"/>
      <c r="AN58" s="61"/>
      <c r="AO58" s="62"/>
      <c r="AP58" s="60"/>
      <c r="AQ58" s="61"/>
      <c r="AR58" s="62"/>
      <c r="AS58" s="63"/>
      <c r="AT58" s="66"/>
      <c r="AU58" s="46"/>
      <c r="AV58" s="5"/>
      <c r="AW58" s="5"/>
      <c r="AX58" s="5"/>
      <c r="AY58" s="5"/>
      <c r="AZ58" s="18"/>
      <c r="BA58" s="18"/>
      <c r="BB58" s="46"/>
      <c r="BC58" s="66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87" s="101" customFormat="1">
      <c r="A59" s="12"/>
      <c r="B59" s="76">
        <v>63</v>
      </c>
      <c r="C59" s="37" t="s">
        <v>344</v>
      </c>
      <c r="D59" s="76" t="s">
        <v>316</v>
      </c>
      <c r="E59" s="37" t="s">
        <v>317</v>
      </c>
      <c r="F59" s="37" t="s">
        <v>267</v>
      </c>
      <c r="G59" s="39"/>
      <c r="H59" s="39"/>
      <c r="I59" s="37" t="s">
        <v>32</v>
      </c>
      <c r="J59" s="37"/>
      <c r="K59" s="17"/>
      <c r="L59" s="17" t="s">
        <v>318</v>
      </c>
      <c r="M59" s="41"/>
      <c r="N59" s="102">
        <v>2014</v>
      </c>
      <c r="O59" s="43">
        <v>42005</v>
      </c>
      <c r="P59" s="66"/>
      <c r="Q59" s="45">
        <f t="shared" si="6"/>
        <v>430000</v>
      </c>
      <c r="R59" s="46"/>
      <c r="S59" s="103"/>
      <c r="T59" s="103"/>
      <c r="U59" s="103"/>
      <c r="V59" s="48">
        <f t="shared" si="0"/>
        <v>0</v>
      </c>
      <c r="W59" s="99"/>
      <c r="X59" s="99"/>
      <c r="Y59" s="104"/>
      <c r="Z59" s="100"/>
      <c r="AA59" s="51">
        <f t="shared" si="1"/>
        <v>0</v>
      </c>
      <c r="AB59" s="105"/>
      <c r="AC59" s="106"/>
      <c r="AD59" s="54">
        <f t="shared" si="7"/>
        <v>430000</v>
      </c>
      <c r="AE59" s="55">
        <v>430000</v>
      </c>
      <c r="AF59" s="56">
        <v>0</v>
      </c>
      <c r="AG59" s="57"/>
      <c r="AH59" s="61"/>
      <c r="AI59" s="72"/>
      <c r="AJ59" s="60"/>
      <c r="AK59" s="61"/>
      <c r="AL59" s="62"/>
      <c r="AM59" s="60"/>
      <c r="AN59" s="61"/>
      <c r="AO59" s="62"/>
      <c r="AP59" s="60"/>
      <c r="AQ59" s="61"/>
      <c r="AR59" s="62"/>
      <c r="AS59" s="63"/>
      <c r="AT59" s="66"/>
      <c r="AU59" s="46"/>
      <c r="AV59" s="5"/>
      <c r="AW59" s="5"/>
      <c r="AX59" s="5"/>
      <c r="AY59" s="5"/>
      <c r="AZ59" s="18"/>
      <c r="BA59" s="18"/>
      <c r="BB59" s="46"/>
      <c r="BC59" s="66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</row>
    <row r="60" spans="1:87">
      <c r="A60" s="11"/>
      <c r="B60" s="76">
        <v>64</v>
      </c>
      <c r="C60" s="37" t="s">
        <v>340</v>
      </c>
      <c r="D60" s="76" t="s">
        <v>339</v>
      </c>
      <c r="E60" s="37" t="s">
        <v>98</v>
      </c>
      <c r="F60" s="37" t="s">
        <v>268</v>
      </c>
      <c r="G60" s="39"/>
      <c r="H60" s="39"/>
      <c r="I60" s="37" t="s">
        <v>102</v>
      </c>
      <c r="J60" s="37" t="s">
        <v>33</v>
      </c>
      <c r="K60" s="17" t="s">
        <v>72</v>
      </c>
      <c r="L60" s="17" t="s">
        <v>331</v>
      </c>
      <c r="M60" s="41"/>
      <c r="N60" s="102">
        <v>2014</v>
      </c>
      <c r="O60" s="43">
        <v>42309</v>
      </c>
      <c r="P60" s="66"/>
      <c r="Q60" s="45">
        <f t="shared" si="6"/>
        <v>401788</v>
      </c>
      <c r="R60" s="46"/>
      <c r="S60" s="103"/>
      <c r="T60" s="103"/>
      <c r="U60" s="103"/>
      <c r="V60" s="48">
        <f t="shared" si="0"/>
        <v>0</v>
      </c>
      <c r="W60" s="99"/>
      <c r="X60" s="99"/>
      <c r="Y60" s="104"/>
      <c r="Z60" s="100"/>
      <c r="AA60" s="51">
        <f t="shared" si="1"/>
        <v>0</v>
      </c>
      <c r="AB60" s="105"/>
      <c r="AC60" s="106"/>
      <c r="AD60" s="54">
        <f t="shared" si="7"/>
        <v>401788</v>
      </c>
      <c r="AE60" s="55">
        <v>401788</v>
      </c>
      <c r="AF60" s="56">
        <v>0</v>
      </c>
      <c r="AG60" s="57"/>
      <c r="AH60" s="61"/>
      <c r="AI60" s="72"/>
      <c r="AJ60" s="60"/>
      <c r="AK60" s="61"/>
      <c r="AL60" s="62"/>
      <c r="AM60" s="60"/>
      <c r="AN60" s="61"/>
      <c r="AO60" s="62"/>
      <c r="AP60" s="60"/>
      <c r="AQ60" s="61"/>
      <c r="AR60" s="62"/>
      <c r="AS60" s="63"/>
      <c r="AT60" s="66"/>
      <c r="AU60" s="46"/>
      <c r="AZ60" s="18"/>
      <c r="BA60" s="18"/>
      <c r="BB60" s="46"/>
      <c r="BC60" s="66"/>
    </row>
    <row r="61" spans="1:87">
      <c r="A61" s="13"/>
      <c r="B61" s="76">
        <v>65</v>
      </c>
      <c r="C61" s="37" t="s">
        <v>341</v>
      </c>
      <c r="D61" s="76" t="s">
        <v>338</v>
      </c>
      <c r="E61" s="37" t="s">
        <v>98</v>
      </c>
      <c r="F61" s="37" t="s">
        <v>268</v>
      </c>
      <c r="G61" s="39"/>
      <c r="H61" s="39"/>
      <c r="I61" s="37" t="s">
        <v>102</v>
      </c>
      <c r="J61" s="37" t="s">
        <v>33</v>
      </c>
      <c r="K61" s="17" t="s">
        <v>95</v>
      </c>
      <c r="L61" s="17" t="s">
        <v>331</v>
      </c>
      <c r="M61" s="41"/>
      <c r="N61" s="102">
        <v>2014</v>
      </c>
      <c r="O61" s="43">
        <v>42005</v>
      </c>
      <c r="P61" s="66"/>
      <c r="Q61" s="45">
        <f t="shared" si="6"/>
        <v>421397</v>
      </c>
      <c r="R61" s="46"/>
      <c r="S61" s="103"/>
      <c r="T61" s="103"/>
      <c r="U61" s="103"/>
      <c r="V61" s="48">
        <f t="shared" si="0"/>
        <v>0</v>
      </c>
      <c r="W61" s="99"/>
      <c r="X61" s="99"/>
      <c r="Y61" s="104"/>
      <c r="Z61" s="100"/>
      <c r="AA61" s="51">
        <f t="shared" si="1"/>
        <v>0</v>
      </c>
      <c r="AB61" s="105"/>
      <c r="AC61" s="106"/>
      <c r="AD61" s="54">
        <f t="shared" si="7"/>
        <v>421397</v>
      </c>
      <c r="AE61" s="55">
        <v>421397</v>
      </c>
      <c r="AF61" s="56">
        <v>0</v>
      </c>
      <c r="AG61" s="57"/>
      <c r="AH61" s="61"/>
      <c r="AI61" s="72"/>
      <c r="AJ61" s="60"/>
      <c r="AK61" s="61"/>
      <c r="AL61" s="62"/>
      <c r="AM61" s="60"/>
      <c r="AN61" s="61"/>
      <c r="AO61" s="62"/>
      <c r="AP61" s="60"/>
      <c r="AQ61" s="61"/>
      <c r="AR61" s="62"/>
      <c r="AS61" s="63"/>
      <c r="AT61" s="66"/>
      <c r="AU61" s="46"/>
      <c r="AZ61" s="18"/>
      <c r="BA61" s="18"/>
      <c r="BB61" s="46"/>
      <c r="BC61" s="66"/>
    </row>
    <row r="62" spans="1:87">
      <c r="A62" s="12"/>
      <c r="B62" s="76">
        <v>66</v>
      </c>
      <c r="C62" s="37" t="s">
        <v>342</v>
      </c>
      <c r="D62" s="76" t="s">
        <v>335</v>
      </c>
      <c r="E62" s="37" t="s">
        <v>336</v>
      </c>
      <c r="F62" s="37" t="s">
        <v>268</v>
      </c>
      <c r="G62" s="39"/>
      <c r="H62" s="39"/>
      <c r="I62" s="37" t="s">
        <v>102</v>
      </c>
      <c r="J62" s="37" t="s">
        <v>33</v>
      </c>
      <c r="K62" s="17" t="s">
        <v>95</v>
      </c>
      <c r="L62" s="17" t="s">
        <v>343</v>
      </c>
      <c r="M62" s="41"/>
      <c r="N62" s="102">
        <v>2014</v>
      </c>
      <c r="O62" s="43">
        <v>43374</v>
      </c>
      <c r="P62" s="66"/>
      <c r="Q62" s="45">
        <f t="shared" si="6"/>
        <v>2289157</v>
      </c>
      <c r="R62" s="46"/>
      <c r="S62" s="74">
        <v>175000</v>
      </c>
      <c r="T62" s="74">
        <v>175000</v>
      </c>
      <c r="U62" s="74">
        <v>175000</v>
      </c>
      <c r="V62" s="48">
        <f>+SUM(W62:Z62)</f>
        <v>0</v>
      </c>
      <c r="W62" s="99"/>
      <c r="X62" s="99"/>
      <c r="Y62" s="104"/>
      <c r="Z62" s="100"/>
      <c r="AA62" s="51">
        <f t="shared" si="1"/>
        <v>0</v>
      </c>
      <c r="AB62" s="105"/>
      <c r="AC62" s="106"/>
      <c r="AD62" s="54">
        <f t="shared" si="7"/>
        <v>1764157</v>
      </c>
      <c r="AE62" s="55">
        <v>1764157</v>
      </c>
      <c r="AF62" s="56">
        <v>0</v>
      </c>
      <c r="AG62" s="57"/>
      <c r="AH62" s="61"/>
      <c r="AI62" s="72"/>
      <c r="AJ62" s="60"/>
      <c r="AK62" s="61"/>
      <c r="AL62" s="62"/>
      <c r="AM62" s="60"/>
      <c r="AN62" s="61"/>
      <c r="AO62" s="62"/>
      <c r="AP62" s="60"/>
      <c r="AQ62" s="61"/>
      <c r="AR62" s="62"/>
      <c r="AS62" s="63"/>
      <c r="AT62" s="66"/>
      <c r="AU62" s="46"/>
      <c r="AZ62" s="18"/>
      <c r="BA62" s="18"/>
      <c r="BB62" s="46"/>
      <c r="BC62" s="66"/>
    </row>
    <row r="63" spans="1:87">
      <c r="A63" s="11"/>
      <c r="B63" s="76">
        <v>67</v>
      </c>
      <c r="C63" s="37" t="s">
        <v>345</v>
      </c>
      <c r="D63" s="76" t="s">
        <v>334</v>
      </c>
      <c r="E63" s="37" t="s">
        <v>98</v>
      </c>
      <c r="F63" s="37" t="s">
        <v>268</v>
      </c>
      <c r="G63" s="39"/>
      <c r="H63" s="39"/>
      <c r="I63" s="37" t="s">
        <v>102</v>
      </c>
      <c r="J63" s="37" t="s">
        <v>33</v>
      </c>
      <c r="K63" s="17" t="s">
        <v>95</v>
      </c>
      <c r="L63" s="17" t="s">
        <v>228</v>
      </c>
      <c r="M63" s="41"/>
      <c r="N63" s="126">
        <v>42036</v>
      </c>
      <c r="O63" s="43"/>
      <c r="P63" s="66"/>
      <c r="Q63" s="45">
        <f t="shared" si="6"/>
        <v>748003</v>
      </c>
      <c r="R63" s="46"/>
      <c r="S63" s="125">
        <v>100000</v>
      </c>
      <c r="T63" s="125">
        <v>100000</v>
      </c>
      <c r="U63" s="125">
        <v>100000</v>
      </c>
      <c r="V63" s="48">
        <f t="shared" si="0"/>
        <v>0</v>
      </c>
      <c r="W63" s="99"/>
      <c r="X63" s="99"/>
      <c r="Y63" s="104"/>
      <c r="Z63" s="100"/>
      <c r="AA63" s="51">
        <f t="shared" si="1"/>
        <v>0</v>
      </c>
      <c r="AB63" s="105"/>
      <c r="AC63" s="106"/>
      <c r="AD63" s="54">
        <f t="shared" si="7"/>
        <v>448003</v>
      </c>
      <c r="AE63" s="55">
        <v>448003</v>
      </c>
      <c r="AF63" s="56">
        <v>0</v>
      </c>
      <c r="AG63" s="57"/>
      <c r="AH63" s="61"/>
      <c r="AI63" s="72"/>
      <c r="AJ63" s="60"/>
      <c r="AK63" s="61"/>
      <c r="AL63" s="62"/>
      <c r="AM63" s="60"/>
      <c r="AN63" s="61"/>
      <c r="AO63" s="62"/>
      <c r="AP63" s="60"/>
      <c r="AQ63" s="61"/>
      <c r="AR63" s="62"/>
      <c r="AS63" s="63"/>
      <c r="AT63" s="66"/>
      <c r="AU63" s="46"/>
      <c r="AZ63" s="18"/>
      <c r="BA63" s="18"/>
      <c r="BB63" s="46"/>
      <c r="BC63" s="66"/>
    </row>
    <row r="64" spans="1:87">
      <c r="A64" s="13"/>
      <c r="B64" s="76">
        <v>68</v>
      </c>
      <c r="C64" s="37" t="s">
        <v>346</v>
      </c>
      <c r="D64" s="76" t="s">
        <v>464</v>
      </c>
      <c r="E64" s="37" t="s">
        <v>240</v>
      </c>
      <c r="F64" s="37" t="s">
        <v>270</v>
      </c>
      <c r="G64" s="39"/>
      <c r="H64" s="39"/>
      <c r="I64" s="37" t="s">
        <v>48</v>
      </c>
      <c r="J64" s="37" t="s">
        <v>33</v>
      </c>
      <c r="K64" s="17" t="s">
        <v>95</v>
      </c>
      <c r="L64" s="17" t="s">
        <v>347</v>
      </c>
      <c r="M64" s="41"/>
      <c r="N64" s="102">
        <v>2014</v>
      </c>
      <c r="O64" s="43"/>
      <c r="P64" s="66"/>
      <c r="Q64" s="45">
        <f t="shared" si="6"/>
        <v>180000</v>
      </c>
      <c r="R64" s="46"/>
      <c r="S64" s="103"/>
      <c r="T64" s="103"/>
      <c r="U64" s="74"/>
      <c r="V64" s="48">
        <f t="shared" si="0"/>
        <v>180000</v>
      </c>
      <c r="W64" s="93">
        <v>180000</v>
      </c>
      <c r="X64" s="99"/>
      <c r="Y64" s="104"/>
      <c r="Z64" s="100"/>
      <c r="AA64" s="51">
        <f t="shared" si="1"/>
        <v>180000</v>
      </c>
      <c r="AB64" s="105"/>
      <c r="AC64" s="95">
        <v>180000</v>
      </c>
      <c r="AD64" s="107">
        <f t="shared" si="7"/>
        <v>0</v>
      </c>
      <c r="AE64" s="108">
        <v>0</v>
      </c>
      <c r="AF64" s="56">
        <v>0</v>
      </c>
      <c r="AG64" s="57"/>
      <c r="AH64" s="61"/>
      <c r="AI64" s="72"/>
      <c r="AJ64" s="60"/>
      <c r="AK64" s="61"/>
      <c r="AL64" s="62"/>
      <c r="AM64" s="60"/>
      <c r="AN64" s="61"/>
      <c r="AO64" s="62"/>
      <c r="AP64" s="60"/>
      <c r="AQ64" s="61"/>
      <c r="AR64" s="62"/>
      <c r="AS64" s="63"/>
      <c r="AT64" s="66"/>
      <c r="AU64" s="46"/>
      <c r="AZ64" s="18"/>
      <c r="BA64" s="18"/>
      <c r="BB64" s="46"/>
      <c r="BC64" s="66"/>
    </row>
    <row r="65" spans="1:55">
      <c r="A65" s="12"/>
      <c r="B65" s="76">
        <v>69</v>
      </c>
      <c r="C65" s="37" t="s">
        <v>348</v>
      </c>
      <c r="D65" s="76" t="s">
        <v>332</v>
      </c>
      <c r="E65" s="37" t="s">
        <v>333</v>
      </c>
      <c r="F65" s="37" t="s">
        <v>270</v>
      </c>
      <c r="G65" s="39"/>
      <c r="H65" s="39"/>
      <c r="I65" s="37" t="s">
        <v>48</v>
      </c>
      <c r="J65" s="37"/>
      <c r="K65" s="17" t="s">
        <v>95</v>
      </c>
      <c r="L65" s="17" t="s">
        <v>349</v>
      </c>
      <c r="M65" s="41"/>
      <c r="N65" s="102">
        <v>2014</v>
      </c>
      <c r="O65" s="43">
        <v>42370</v>
      </c>
      <c r="P65" s="66"/>
      <c r="Q65" s="45">
        <f t="shared" si="6"/>
        <v>281169</v>
      </c>
      <c r="R65" s="45">
        <v>350000</v>
      </c>
      <c r="S65" s="84"/>
      <c r="T65" s="147">
        <v>13389</v>
      </c>
      <c r="U65" s="147">
        <v>66945</v>
      </c>
      <c r="V65" s="48">
        <f t="shared" si="0"/>
        <v>0</v>
      </c>
      <c r="W65" s="99"/>
      <c r="X65" s="99"/>
      <c r="Y65" s="104"/>
      <c r="Z65" s="100"/>
      <c r="AA65" s="51">
        <f t="shared" si="1"/>
        <v>0</v>
      </c>
      <c r="AB65" s="105"/>
      <c r="AC65" s="95"/>
      <c r="AD65" s="54">
        <f t="shared" si="7"/>
        <v>200835</v>
      </c>
      <c r="AE65" s="55">
        <v>200835</v>
      </c>
      <c r="AF65" s="56">
        <v>0</v>
      </c>
      <c r="AG65" s="57">
        <f>+AH65+AI65</f>
        <v>0</v>
      </c>
      <c r="AH65" s="61"/>
      <c r="AI65" s="72"/>
      <c r="AJ65" s="60"/>
      <c r="AK65" s="61"/>
      <c r="AL65" s="62"/>
      <c r="AM65" s="60"/>
      <c r="AN65" s="61"/>
      <c r="AO65" s="62"/>
      <c r="AP65" s="60"/>
      <c r="AQ65" s="61"/>
      <c r="AR65" s="62"/>
      <c r="AS65" s="63"/>
      <c r="AT65" s="66"/>
      <c r="AU65" s="46"/>
      <c r="AZ65" s="18"/>
      <c r="BA65" s="18"/>
      <c r="BB65" s="46"/>
      <c r="BC65" s="66"/>
    </row>
    <row r="66" spans="1:55">
      <c r="A66" s="14"/>
      <c r="B66" s="76">
        <v>70</v>
      </c>
      <c r="C66" s="37" t="s">
        <v>350</v>
      </c>
      <c r="D66" s="76" t="s">
        <v>351</v>
      </c>
      <c r="E66" s="37" t="s">
        <v>310</v>
      </c>
      <c r="F66" s="37" t="s">
        <v>303</v>
      </c>
      <c r="G66" s="39"/>
      <c r="H66" s="39"/>
      <c r="I66" s="37" t="s">
        <v>32</v>
      </c>
      <c r="J66" s="37" t="s">
        <v>33</v>
      </c>
      <c r="K66" s="17" t="s">
        <v>34</v>
      </c>
      <c r="L66" s="17"/>
      <c r="M66" s="41"/>
      <c r="N66" s="102">
        <v>2014</v>
      </c>
      <c r="O66" s="43">
        <v>43101</v>
      </c>
      <c r="P66" s="66"/>
      <c r="Q66" s="45">
        <f t="shared" si="6"/>
        <v>486500</v>
      </c>
      <c r="R66" s="46"/>
      <c r="S66" s="74"/>
      <c r="T66" s="74">
        <v>70000</v>
      </c>
      <c r="U66" s="74">
        <v>70000</v>
      </c>
      <c r="V66" s="48">
        <f t="shared" si="0"/>
        <v>0</v>
      </c>
      <c r="W66" s="99"/>
      <c r="X66" s="99"/>
      <c r="Y66" s="104"/>
      <c r="Z66" s="100"/>
      <c r="AA66" s="51">
        <f t="shared" si="1"/>
        <v>0</v>
      </c>
      <c r="AB66" s="105"/>
      <c r="AC66" s="106"/>
      <c r="AD66" s="54">
        <f t="shared" si="7"/>
        <v>346500</v>
      </c>
      <c r="AE66" s="55">
        <v>346500</v>
      </c>
      <c r="AF66" s="56">
        <v>0</v>
      </c>
      <c r="AG66" s="57">
        <f>+AH66+AI66</f>
        <v>0</v>
      </c>
      <c r="AH66" s="61"/>
      <c r="AI66" s="72"/>
      <c r="AJ66" s="60"/>
      <c r="AK66" s="61"/>
      <c r="AL66" s="62"/>
      <c r="AM66" s="60"/>
      <c r="AN66" s="61"/>
      <c r="AO66" s="62"/>
      <c r="AP66" s="60"/>
      <c r="AQ66" s="61"/>
      <c r="AR66" s="62"/>
      <c r="AS66" s="63"/>
      <c r="AT66" s="66"/>
      <c r="AU66" s="46"/>
      <c r="AZ66" s="18"/>
      <c r="BA66" s="18"/>
      <c r="BB66" s="46"/>
      <c r="BC66" s="66"/>
    </row>
    <row r="67" spans="1:55" ht="16.5" thickBot="1">
      <c r="A67" s="15"/>
      <c r="B67" s="76"/>
      <c r="C67" s="37"/>
      <c r="D67" s="76"/>
      <c r="E67" s="37"/>
      <c r="F67" s="37"/>
      <c r="G67" s="39"/>
      <c r="H67" s="39"/>
      <c r="I67" s="37"/>
      <c r="J67" s="37"/>
      <c r="K67" s="17"/>
      <c r="L67" s="17"/>
      <c r="M67" s="41"/>
      <c r="N67" s="102"/>
      <c r="O67" s="43"/>
      <c r="P67" s="66"/>
      <c r="Q67" s="45">
        <f t="shared" si="6"/>
        <v>0</v>
      </c>
      <c r="R67" s="46"/>
      <c r="S67" s="74"/>
      <c r="T67" s="74"/>
      <c r="U67" s="74"/>
      <c r="V67" s="48">
        <f t="shared" si="7"/>
        <v>0</v>
      </c>
      <c r="W67" s="99">
        <v>0</v>
      </c>
      <c r="X67" s="99">
        <v>0</v>
      </c>
      <c r="Y67" s="104">
        <f>+Z67+AA67</f>
        <v>0</v>
      </c>
      <c r="Z67" s="100"/>
      <c r="AA67" s="51"/>
      <c r="AB67" s="105"/>
      <c r="AC67" s="106"/>
      <c r="AD67" s="54"/>
      <c r="AE67" s="55"/>
      <c r="AF67" s="56"/>
      <c r="AG67" s="57"/>
      <c r="AH67" s="61"/>
      <c r="AI67" s="72"/>
      <c r="AJ67" s="60"/>
      <c r="AK67" s="61"/>
      <c r="AL67" s="62"/>
      <c r="AM67" s="60"/>
      <c r="AN67" s="61"/>
      <c r="AO67" s="62"/>
      <c r="AP67" s="60"/>
      <c r="AQ67" s="61"/>
      <c r="AR67" s="62"/>
      <c r="AS67" s="63"/>
      <c r="AT67" s="66"/>
      <c r="AU67" s="46"/>
      <c r="AZ67" s="18"/>
      <c r="BA67" s="18"/>
      <c r="BB67" s="46"/>
      <c r="BC67" s="66"/>
    </row>
    <row r="68" spans="1:55" ht="16.5" thickBot="1">
      <c r="B68" s="76"/>
      <c r="C68" s="37"/>
      <c r="D68" s="76"/>
      <c r="E68" s="37"/>
      <c r="F68" s="37"/>
      <c r="G68" s="39"/>
      <c r="H68" s="39"/>
      <c r="I68" s="37"/>
      <c r="J68" s="37"/>
      <c r="K68" s="17"/>
      <c r="L68" s="17"/>
      <c r="M68" s="41"/>
      <c r="N68" s="42"/>
      <c r="Q68" s="45">
        <f t="shared" si="6"/>
        <v>39118241.465065397</v>
      </c>
      <c r="R68" s="46"/>
      <c r="S68" s="45">
        <f t="shared" ref="S68:T68" si="8">+SUM(S4:S67)</f>
        <v>275000</v>
      </c>
      <c r="T68" s="45">
        <f t="shared" si="8"/>
        <v>413389</v>
      </c>
      <c r="U68" s="45">
        <f t="shared" ref="U68:AS68" si="9">+SUM(U4:U67)</f>
        <v>640695</v>
      </c>
      <c r="V68" s="117">
        <f>+SUM(V4:V67)</f>
        <v>1675975</v>
      </c>
      <c r="W68" s="118">
        <f>+SUM(W4:W67)</f>
        <v>565000</v>
      </c>
      <c r="X68" s="118">
        <f t="shared" ref="X68" si="10">+SUM(X4:X67)</f>
        <v>549750</v>
      </c>
      <c r="Y68" s="118">
        <f t="shared" si="9"/>
        <v>382475</v>
      </c>
      <c r="Z68" s="119">
        <f t="shared" si="9"/>
        <v>178750</v>
      </c>
      <c r="AA68" s="117">
        <f t="shared" si="9"/>
        <v>1673130</v>
      </c>
      <c r="AB68" s="120">
        <f t="shared" si="9"/>
        <v>0</v>
      </c>
      <c r="AC68" s="121">
        <f t="shared" si="9"/>
        <v>1673130</v>
      </c>
      <c r="AD68" s="122">
        <f t="shared" si="9"/>
        <v>7850730.4017320629</v>
      </c>
      <c r="AE68" s="120">
        <f t="shared" si="9"/>
        <v>5839988.2017320637</v>
      </c>
      <c r="AF68" s="121">
        <f t="shared" si="9"/>
        <v>2010742.2</v>
      </c>
      <c r="AG68" s="123">
        <f t="shared" si="9"/>
        <v>8762139.0633333344</v>
      </c>
      <c r="AH68" s="109">
        <f t="shared" si="9"/>
        <v>7742994.1899999995</v>
      </c>
      <c r="AI68" s="110">
        <f t="shared" si="9"/>
        <v>1019144.8733333332</v>
      </c>
      <c r="AJ68" s="123">
        <f t="shared" si="9"/>
        <v>9745037</v>
      </c>
      <c r="AK68" s="110">
        <f t="shared" si="9"/>
        <v>9240104</v>
      </c>
      <c r="AL68" s="110"/>
      <c r="AM68" s="123">
        <f t="shared" si="9"/>
        <v>3964071</v>
      </c>
      <c r="AN68" s="123">
        <f t="shared" si="9"/>
        <v>3428938</v>
      </c>
      <c r="AO68" s="123">
        <f t="shared" si="9"/>
        <v>535133</v>
      </c>
      <c r="AP68" s="123">
        <f t="shared" si="9"/>
        <v>2201300</v>
      </c>
      <c r="AQ68" s="123">
        <f t="shared" si="9"/>
        <v>1991300</v>
      </c>
      <c r="AR68" s="123">
        <f t="shared" si="9"/>
        <v>210000</v>
      </c>
      <c r="AS68" s="123">
        <f t="shared" si="9"/>
        <v>3592750</v>
      </c>
      <c r="AT68" s="46"/>
      <c r="AU68" s="66"/>
    </row>
    <row r="69" spans="1:55">
      <c r="B69" s="76"/>
      <c r="C69" s="37"/>
      <c r="D69" s="76"/>
      <c r="E69" s="37"/>
      <c r="F69" s="37"/>
      <c r="G69" s="39"/>
      <c r="H69" s="39"/>
      <c r="I69" s="37"/>
      <c r="J69" s="37"/>
      <c r="K69" s="17"/>
      <c r="L69" s="17"/>
      <c r="M69" s="41"/>
      <c r="N69" s="42"/>
      <c r="Q69" s="45"/>
      <c r="R69" s="46"/>
      <c r="S69" s="45"/>
      <c r="T69" s="45"/>
      <c r="U69" s="45"/>
      <c r="V69" s="130"/>
      <c r="W69" s="130"/>
      <c r="X69" s="130"/>
      <c r="Y69" s="130"/>
      <c r="Z69" s="130"/>
      <c r="AA69" s="130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46"/>
      <c r="AU69" s="66"/>
    </row>
    <row r="70" spans="1:55" ht="16.5" thickBot="1">
      <c r="Q70" s="111"/>
      <c r="R70" s="111"/>
      <c r="V70" s="112"/>
      <c r="W70" s="112"/>
      <c r="X70" s="112"/>
      <c r="Y70" s="112"/>
      <c r="Z70" s="112"/>
      <c r="AA70" s="112"/>
      <c r="AB70" s="112"/>
      <c r="AC70" s="18"/>
      <c r="AE70" s="18"/>
      <c r="AF70" s="18"/>
      <c r="AH70" s="18"/>
      <c r="AI70" s="18"/>
    </row>
    <row r="71" spans="1:55" ht="20.25" thickBot="1">
      <c r="D71" s="19"/>
      <c r="O71" s="5"/>
      <c r="P71" s="5"/>
      <c r="S71" s="20" t="s">
        <v>362</v>
      </c>
      <c r="T71" s="20" t="s">
        <v>362</v>
      </c>
      <c r="U71" s="20" t="s">
        <v>362</v>
      </c>
      <c r="V71" s="151" t="s">
        <v>308</v>
      </c>
      <c r="W71" s="152"/>
      <c r="X71" s="152"/>
      <c r="Y71" s="152"/>
      <c r="Z71" s="153"/>
      <c r="AB71" s="19"/>
      <c r="AC71" s="20"/>
      <c r="AT71" s="18"/>
      <c r="AW71" s="18"/>
    </row>
    <row r="72" spans="1:55">
      <c r="B72" s="128" t="s">
        <v>406</v>
      </c>
      <c r="D72" s="21" t="s">
        <v>1</v>
      </c>
      <c r="E72" s="21" t="s">
        <v>2</v>
      </c>
      <c r="F72" s="21" t="s">
        <v>302</v>
      </c>
      <c r="G72" s="21" t="s">
        <v>3</v>
      </c>
      <c r="H72" s="21" t="s">
        <v>4</v>
      </c>
      <c r="I72" s="21" t="s">
        <v>6</v>
      </c>
      <c r="J72" s="21" t="s">
        <v>7</v>
      </c>
      <c r="K72" s="21" t="s">
        <v>8</v>
      </c>
      <c r="L72" s="21" t="s">
        <v>9</v>
      </c>
      <c r="M72" s="22" t="s">
        <v>10</v>
      </c>
      <c r="N72" s="21" t="s">
        <v>11</v>
      </c>
      <c r="O72" s="23" t="s">
        <v>16</v>
      </c>
      <c r="P72" s="23" t="s">
        <v>17</v>
      </c>
      <c r="Q72" s="23" t="s">
        <v>12</v>
      </c>
      <c r="R72" s="23" t="s">
        <v>285</v>
      </c>
      <c r="S72" s="24">
        <v>2018</v>
      </c>
      <c r="T72" s="24">
        <v>2017</v>
      </c>
      <c r="U72" s="24">
        <v>2016</v>
      </c>
      <c r="V72" s="25" t="s">
        <v>356</v>
      </c>
      <c r="W72" s="26" t="s">
        <v>304</v>
      </c>
      <c r="X72" s="26" t="s">
        <v>305</v>
      </c>
      <c r="Y72" s="26" t="s">
        <v>306</v>
      </c>
      <c r="Z72" s="27" t="s">
        <v>307</v>
      </c>
      <c r="AB72" s="18"/>
      <c r="AU72" s="5"/>
    </row>
    <row r="73" spans="1:55">
      <c r="A73" s="127"/>
      <c r="B73" s="76" t="s">
        <v>363</v>
      </c>
      <c r="C73" s="37"/>
      <c r="D73" s="129" t="s">
        <v>407</v>
      </c>
      <c r="E73" s="70" t="s">
        <v>446</v>
      </c>
      <c r="F73" s="70" t="s">
        <v>459</v>
      </c>
      <c r="G73" s="39"/>
      <c r="H73" s="39"/>
      <c r="I73" s="37"/>
      <c r="J73" s="37"/>
      <c r="K73" s="17"/>
      <c r="L73" s="17"/>
      <c r="M73" s="41"/>
      <c r="N73" s="102"/>
      <c r="O73" s="43"/>
      <c r="P73" s="66"/>
      <c r="Q73" s="45"/>
      <c r="R73" s="46"/>
      <c r="S73" s="74"/>
      <c r="T73" s="74"/>
      <c r="U73" s="74"/>
      <c r="V73" s="48">
        <f t="shared" ref="V73:V115" si="11">+SUM(W73:Z73)</f>
        <v>588000</v>
      </c>
      <c r="W73" s="99">
        <v>588000</v>
      </c>
      <c r="X73" s="99"/>
      <c r="Y73" s="104"/>
      <c r="Z73" s="100"/>
      <c r="AA73" s="66"/>
      <c r="AB73" s="46"/>
      <c r="AG73" s="18"/>
      <c r="AH73" s="18"/>
      <c r="AI73" s="46"/>
      <c r="AJ73" s="66"/>
      <c r="AU73" s="5"/>
    </row>
    <row r="74" spans="1:55">
      <c r="A74" s="127"/>
      <c r="B74" s="76" t="s">
        <v>364</v>
      </c>
      <c r="C74" s="37"/>
      <c r="D74" s="129" t="s">
        <v>408</v>
      </c>
      <c r="E74" s="70" t="s">
        <v>446</v>
      </c>
      <c r="F74" s="70" t="s">
        <v>459</v>
      </c>
      <c r="G74" s="39"/>
      <c r="H74" s="39"/>
      <c r="I74" s="37"/>
      <c r="J74" s="37"/>
      <c r="K74" s="17"/>
      <c r="L74" s="17"/>
      <c r="M74" s="41"/>
      <c r="N74" s="102"/>
      <c r="O74" s="43"/>
      <c r="P74" s="66"/>
      <c r="Q74" s="45"/>
      <c r="R74" s="46"/>
      <c r="S74" s="74"/>
      <c r="T74" s="74"/>
      <c r="U74" s="74"/>
      <c r="V74" s="48">
        <f t="shared" si="11"/>
        <v>0</v>
      </c>
      <c r="W74" s="99"/>
      <c r="X74" s="99"/>
      <c r="Y74" s="104"/>
      <c r="Z74" s="100"/>
      <c r="AA74" s="66"/>
      <c r="AB74" s="46"/>
      <c r="AG74" s="18"/>
      <c r="AH74" s="18"/>
      <c r="AI74" s="46"/>
      <c r="AJ74" s="66"/>
      <c r="AU74" s="5"/>
    </row>
    <row r="75" spans="1:55">
      <c r="A75" s="127"/>
      <c r="B75" s="76" t="s">
        <v>365</v>
      </c>
      <c r="C75" s="37"/>
      <c r="D75" s="129" t="s">
        <v>409</v>
      </c>
      <c r="E75" s="70" t="s">
        <v>446</v>
      </c>
      <c r="F75" s="70" t="s">
        <v>459</v>
      </c>
      <c r="G75" s="39"/>
      <c r="H75" s="39"/>
      <c r="I75" s="37"/>
      <c r="J75" s="37"/>
      <c r="K75" s="17"/>
      <c r="L75" s="17"/>
      <c r="M75" s="41"/>
      <c r="N75" s="102"/>
      <c r="O75" s="43"/>
      <c r="P75" s="66"/>
      <c r="Q75" s="45"/>
      <c r="R75" s="46"/>
      <c r="S75" s="74"/>
      <c r="T75" s="74"/>
      <c r="U75" s="74"/>
      <c r="V75" s="48">
        <f t="shared" si="11"/>
        <v>0</v>
      </c>
      <c r="W75" s="99"/>
      <c r="X75" s="99"/>
      <c r="Y75" s="104"/>
      <c r="Z75" s="100"/>
      <c r="AA75" s="66"/>
      <c r="AB75" s="46"/>
      <c r="AG75" s="18"/>
      <c r="AH75" s="18"/>
      <c r="AI75" s="46"/>
      <c r="AJ75" s="66"/>
      <c r="AU75" s="5"/>
    </row>
    <row r="76" spans="1:55">
      <c r="A76" s="127"/>
      <c r="B76" s="76" t="s">
        <v>366</v>
      </c>
      <c r="C76" s="37"/>
      <c r="D76" s="129" t="s">
        <v>410</v>
      </c>
      <c r="E76" s="70" t="s">
        <v>69</v>
      </c>
      <c r="F76" s="70" t="s">
        <v>459</v>
      </c>
      <c r="G76" s="39"/>
      <c r="H76" s="39"/>
      <c r="I76" s="37"/>
      <c r="J76" s="37"/>
      <c r="K76" s="17"/>
      <c r="L76" s="17"/>
      <c r="M76" s="41"/>
      <c r="N76" s="102"/>
      <c r="O76" s="43"/>
      <c r="P76" s="66"/>
      <c r="Q76" s="45"/>
      <c r="R76" s="46"/>
      <c r="S76" s="74"/>
      <c r="T76" s="74"/>
      <c r="U76" s="74"/>
      <c r="V76" s="48">
        <f t="shared" si="11"/>
        <v>550000</v>
      </c>
      <c r="W76" s="99">
        <v>550000</v>
      </c>
      <c r="X76" s="99"/>
      <c r="Y76" s="104"/>
      <c r="Z76" s="100"/>
      <c r="AA76" s="66"/>
      <c r="AB76" s="46"/>
      <c r="AG76" s="18"/>
      <c r="AH76" s="18"/>
      <c r="AI76" s="46"/>
      <c r="AJ76" s="66"/>
      <c r="AU76" s="5"/>
    </row>
    <row r="77" spans="1:55">
      <c r="A77" s="127"/>
      <c r="B77" s="76" t="s">
        <v>367</v>
      </c>
      <c r="C77" s="37"/>
      <c r="D77" s="129" t="s">
        <v>411</v>
      </c>
      <c r="E77" s="70" t="s">
        <v>69</v>
      </c>
      <c r="F77" s="70" t="s">
        <v>459</v>
      </c>
      <c r="G77" s="39"/>
      <c r="H77" s="39"/>
      <c r="I77" s="37"/>
      <c r="J77" s="37"/>
      <c r="K77" s="17"/>
      <c r="L77" s="17"/>
      <c r="M77" s="41"/>
      <c r="N77" s="102"/>
      <c r="O77" s="43"/>
      <c r="P77" s="66"/>
      <c r="Q77" s="45"/>
      <c r="R77" s="46"/>
      <c r="S77" s="74"/>
      <c r="T77" s="74"/>
      <c r="U77" s="74"/>
      <c r="V77" s="48">
        <f t="shared" si="11"/>
        <v>450000</v>
      </c>
      <c r="W77" s="99">
        <v>450000</v>
      </c>
      <c r="X77" s="99"/>
      <c r="Y77" s="104"/>
      <c r="Z77" s="100"/>
      <c r="AA77" s="66"/>
      <c r="AB77" s="46"/>
      <c r="AG77" s="18"/>
      <c r="AH77" s="18"/>
      <c r="AI77" s="46"/>
      <c r="AJ77" s="66"/>
      <c r="AU77" s="5"/>
    </row>
    <row r="78" spans="1:55">
      <c r="A78" s="127"/>
      <c r="B78" s="76" t="s">
        <v>368</v>
      </c>
      <c r="C78" s="37"/>
      <c r="D78" s="129" t="s">
        <v>412</v>
      </c>
      <c r="E78" s="70" t="s">
        <v>69</v>
      </c>
      <c r="F78" s="70" t="s">
        <v>459</v>
      </c>
      <c r="G78" s="39"/>
      <c r="H78" s="39"/>
      <c r="I78" s="37"/>
      <c r="J78" s="37"/>
      <c r="K78" s="17"/>
      <c r="L78" s="17"/>
      <c r="M78" s="41"/>
      <c r="N78" s="102"/>
      <c r="O78" s="43"/>
      <c r="P78" s="66"/>
      <c r="Q78" s="45"/>
      <c r="R78" s="46"/>
      <c r="S78" s="74"/>
      <c r="T78" s="74"/>
      <c r="U78" s="74"/>
      <c r="V78" s="48">
        <f t="shared" si="11"/>
        <v>0</v>
      </c>
      <c r="W78" s="99"/>
      <c r="X78" s="99"/>
      <c r="Y78" s="104"/>
      <c r="Z78" s="100"/>
      <c r="AA78" s="66"/>
      <c r="AB78" s="46"/>
      <c r="AG78" s="18"/>
      <c r="AH78" s="18"/>
      <c r="AI78" s="46"/>
      <c r="AJ78" s="66"/>
      <c r="AU78" s="5"/>
    </row>
    <row r="79" spans="1:55">
      <c r="A79" s="127"/>
      <c r="B79" s="76" t="s">
        <v>369</v>
      </c>
      <c r="C79" s="37"/>
      <c r="D79" s="129" t="s">
        <v>413</v>
      </c>
      <c r="E79" s="70" t="s">
        <v>44</v>
      </c>
      <c r="F79" s="70" t="s">
        <v>459</v>
      </c>
      <c r="G79" s="39"/>
      <c r="H79" s="39"/>
      <c r="I79" s="37"/>
      <c r="J79" s="37"/>
      <c r="K79" s="17"/>
      <c r="L79" s="17"/>
      <c r="M79" s="41"/>
      <c r="N79" s="102"/>
      <c r="O79" s="43"/>
      <c r="P79" s="66"/>
      <c r="Q79" s="45"/>
      <c r="R79" s="46"/>
      <c r="S79" s="74"/>
      <c r="T79" s="74"/>
      <c r="U79" s="74"/>
      <c r="V79" s="48">
        <f t="shared" si="11"/>
        <v>0</v>
      </c>
      <c r="W79" s="99"/>
      <c r="X79" s="99"/>
      <c r="Y79" s="104"/>
      <c r="Z79" s="100"/>
      <c r="AA79" s="66"/>
      <c r="AB79" s="46"/>
      <c r="AG79" s="18"/>
      <c r="AH79" s="18"/>
      <c r="AI79" s="46"/>
      <c r="AJ79" s="66"/>
      <c r="AU79" s="5"/>
    </row>
    <row r="80" spans="1:55">
      <c r="A80" s="127"/>
      <c r="B80" s="76" t="s">
        <v>370</v>
      </c>
      <c r="C80" s="37"/>
      <c r="D80" s="129" t="s">
        <v>414</v>
      </c>
      <c r="E80" s="70" t="s">
        <v>240</v>
      </c>
      <c r="F80" s="70" t="s">
        <v>459</v>
      </c>
      <c r="G80" s="39"/>
      <c r="H80" s="39"/>
      <c r="I80" s="37"/>
      <c r="J80" s="37"/>
      <c r="K80" s="17"/>
      <c r="L80" s="17"/>
      <c r="M80" s="41"/>
      <c r="N80" s="102"/>
      <c r="O80" s="43"/>
      <c r="P80" s="66"/>
      <c r="Q80" s="45"/>
      <c r="R80" s="46"/>
      <c r="S80" s="74"/>
      <c r="T80" s="74"/>
      <c r="U80" s="74"/>
      <c r="V80" s="48">
        <f t="shared" si="11"/>
        <v>490000</v>
      </c>
      <c r="W80" s="99"/>
      <c r="X80" s="99"/>
      <c r="Y80" s="104"/>
      <c r="Z80" s="100">
        <v>490000</v>
      </c>
      <c r="AA80" s="66"/>
      <c r="AB80" s="46"/>
      <c r="AG80" s="18"/>
      <c r="AH80" s="18"/>
      <c r="AI80" s="46"/>
      <c r="AJ80" s="66"/>
      <c r="AU80" s="5"/>
    </row>
    <row r="81" spans="1:47">
      <c r="A81" s="127"/>
      <c r="B81" s="76" t="s">
        <v>371</v>
      </c>
      <c r="C81" s="37"/>
      <c r="D81" s="129" t="s">
        <v>415</v>
      </c>
      <c r="E81" s="70" t="s">
        <v>447</v>
      </c>
      <c r="F81" s="70" t="s">
        <v>459</v>
      </c>
      <c r="G81" s="39"/>
      <c r="H81" s="39"/>
      <c r="I81" s="37"/>
      <c r="J81" s="37"/>
      <c r="K81" s="17"/>
      <c r="L81" s="17"/>
      <c r="M81" s="41"/>
      <c r="N81" s="102"/>
      <c r="O81" s="43"/>
      <c r="P81" s="66"/>
      <c r="Q81" s="45"/>
      <c r="R81" s="46"/>
      <c r="S81" s="74"/>
      <c r="T81" s="74"/>
      <c r="U81" s="74"/>
      <c r="V81" s="48">
        <f t="shared" si="11"/>
        <v>800000</v>
      </c>
      <c r="W81" s="99"/>
      <c r="X81" s="99">
        <v>800000</v>
      </c>
      <c r="Y81" s="104"/>
      <c r="Z81" s="100"/>
      <c r="AA81" s="66"/>
      <c r="AB81" s="46"/>
      <c r="AG81" s="18"/>
      <c r="AH81" s="18"/>
      <c r="AI81" s="46"/>
      <c r="AJ81" s="66"/>
      <c r="AU81" s="5"/>
    </row>
    <row r="82" spans="1:47">
      <c r="A82" s="127"/>
      <c r="B82" s="76" t="s">
        <v>372</v>
      </c>
      <c r="C82" s="37"/>
      <c r="D82" s="129" t="s">
        <v>416</v>
      </c>
      <c r="E82" s="70" t="s">
        <v>448</v>
      </c>
      <c r="F82" s="70" t="s">
        <v>459</v>
      </c>
      <c r="G82" s="39"/>
      <c r="H82" s="39"/>
      <c r="I82" s="37"/>
      <c r="J82" s="37"/>
      <c r="K82" s="17"/>
      <c r="L82" s="17"/>
      <c r="M82" s="41"/>
      <c r="N82" s="102"/>
      <c r="O82" s="43"/>
      <c r="P82" s="66"/>
      <c r="Q82" s="45"/>
      <c r="R82" s="46"/>
      <c r="S82" s="74"/>
      <c r="T82" s="74"/>
      <c r="U82" s="74"/>
      <c r="V82" s="48">
        <f t="shared" si="11"/>
        <v>0</v>
      </c>
      <c r="W82" s="99"/>
      <c r="X82" s="99"/>
      <c r="Y82" s="104"/>
      <c r="Z82" s="100"/>
      <c r="AA82" s="66"/>
      <c r="AB82" s="46"/>
      <c r="AG82" s="18"/>
      <c r="AH82" s="18"/>
      <c r="AI82" s="46"/>
      <c r="AJ82" s="66"/>
      <c r="AU82" s="5"/>
    </row>
    <row r="83" spans="1:47">
      <c r="A83" s="127"/>
      <c r="B83" s="76" t="s">
        <v>373</v>
      </c>
      <c r="C83" s="37"/>
      <c r="D83" s="129" t="s">
        <v>417</v>
      </c>
      <c r="E83" s="70" t="s">
        <v>449</v>
      </c>
      <c r="F83" s="70" t="s">
        <v>459</v>
      </c>
      <c r="G83" s="39"/>
      <c r="H83" s="39"/>
      <c r="I83" s="37"/>
      <c r="J83" s="37"/>
      <c r="K83" s="17"/>
      <c r="L83" s="17"/>
      <c r="M83" s="41"/>
      <c r="N83" s="102"/>
      <c r="O83" s="43"/>
      <c r="P83" s="66"/>
      <c r="Q83" s="45"/>
      <c r="R83" s="46"/>
      <c r="S83" s="74"/>
      <c r="T83" s="74"/>
      <c r="U83" s="74"/>
      <c r="V83" s="48">
        <f t="shared" si="11"/>
        <v>0</v>
      </c>
      <c r="W83" s="99"/>
      <c r="X83" s="99"/>
      <c r="Y83" s="104"/>
      <c r="Z83" s="100"/>
      <c r="AA83" s="66"/>
      <c r="AB83" s="46"/>
      <c r="AG83" s="18"/>
      <c r="AH83" s="18"/>
      <c r="AI83" s="46"/>
      <c r="AJ83" s="66"/>
      <c r="AU83" s="5"/>
    </row>
    <row r="84" spans="1:47">
      <c r="A84" s="127"/>
      <c r="B84" s="76" t="s">
        <v>374</v>
      </c>
      <c r="C84" s="37"/>
      <c r="D84" s="129" t="s">
        <v>418</v>
      </c>
      <c r="E84" s="70" t="s">
        <v>233</v>
      </c>
      <c r="F84" s="70" t="s">
        <v>459</v>
      </c>
      <c r="G84" s="39"/>
      <c r="H84" s="39"/>
      <c r="I84" s="37"/>
      <c r="J84" s="37"/>
      <c r="K84" s="17"/>
      <c r="L84" s="17"/>
      <c r="M84" s="41"/>
      <c r="N84" s="102"/>
      <c r="O84" s="43"/>
      <c r="P84" s="66"/>
      <c r="Q84" s="45"/>
      <c r="R84" s="46"/>
      <c r="S84" s="74"/>
      <c r="T84" s="74"/>
      <c r="U84" s="74"/>
      <c r="V84" s="48">
        <f t="shared" si="11"/>
        <v>0</v>
      </c>
      <c r="W84" s="99"/>
      <c r="X84" s="99"/>
      <c r="Y84" s="104"/>
      <c r="Z84" s="100"/>
      <c r="AA84" s="66"/>
      <c r="AB84" s="46"/>
      <c r="AG84" s="18"/>
      <c r="AH84" s="18"/>
      <c r="AI84" s="46"/>
      <c r="AJ84" s="66"/>
      <c r="AU84" s="5"/>
    </row>
    <row r="85" spans="1:47">
      <c r="A85" s="127"/>
      <c r="B85" s="76" t="s">
        <v>375</v>
      </c>
      <c r="C85" s="37"/>
      <c r="D85" s="129" t="s">
        <v>419</v>
      </c>
      <c r="E85" s="70" t="s">
        <v>109</v>
      </c>
      <c r="F85" s="70" t="s">
        <v>303</v>
      </c>
      <c r="G85" s="39"/>
      <c r="H85" s="39"/>
      <c r="I85" s="37"/>
      <c r="J85" s="37"/>
      <c r="K85" s="17"/>
      <c r="L85" s="17"/>
      <c r="M85" s="41"/>
      <c r="N85" s="102"/>
      <c r="O85" s="43"/>
      <c r="P85" s="66"/>
      <c r="Q85" s="45"/>
      <c r="R85" s="46"/>
      <c r="S85" s="74"/>
      <c r="T85" s="74"/>
      <c r="U85" s="74"/>
      <c r="V85" s="48">
        <f t="shared" si="11"/>
        <v>750000</v>
      </c>
      <c r="W85" s="99">
        <v>750000</v>
      </c>
      <c r="X85" s="99"/>
      <c r="Y85" s="104"/>
      <c r="Z85" s="100"/>
      <c r="AA85" s="66"/>
      <c r="AB85" s="46"/>
      <c r="AG85" s="18"/>
      <c r="AH85" s="18"/>
      <c r="AI85" s="46"/>
      <c r="AJ85" s="66"/>
      <c r="AU85" s="5"/>
    </row>
    <row r="86" spans="1:47">
      <c r="A86" s="127"/>
      <c r="B86" s="76" t="s">
        <v>376</v>
      </c>
      <c r="C86" s="37"/>
      <c r="D86" s="129" t="s">
        <v>420</v>
      </c>
      <c r="E86" s="70" t="s">
        <v>109</v>
      </c>
      <c r="F86" s="70" t="s">
        <v>303</v>
      </c>
      <c r="G86" s="39"/>
      <c r="H86" s="39"/>
      <c r="I86" s="37"/>
      <c r="J86" s="37"/>
      <c r="K86" s="17"/>
      <c r="L86" s="17"/>
      <c r="M86" s="41"/>
      <c r="N86" s="102"/>
      <c r="O86" s="43"/>
      <c r="P86" s="66"/>
      <c r="Q86" s="45"/>
      <c r="R86" s="46"/>
      <c r="S86" s="74"/>
      <c r="T86" s="74"/>
      <c r="U86" s="74"/>
      <c r="V86" s="48">
        <f t="shared" si="11"/>
        <v>800000</v>
      </c>
      <c r="W86" s="99"/>
      <c r="X86" s="99">
        <v>800000</v>
      </c>
      <c r="Y86" s="104"/>
      <c r="Z86" s="100"/>
      <c r="AA86" s="66"/>
      <c r="AB86" s="46"/>
      <c r="AG86" s="18"/>
      <c r="AH86" s="18"/>
      <c r="AI86" s="46"/>
      <c r="AJ86" s="66"/>
      <c r="AU86" s="5"/>
    </row>
    <row r="87" spans="1:47">
      <c r="A87" s="127"/>
      <c r="B87" s="76" t="s">
        <v>377</v>
      </c>
      <c r="C87" s="37"/>
      <c r="D87" s="129" t="s">
        <v>421</v>
      </c>
      <c r="E87" s="70" t="s">
        <v>109</v>
      </c>
      <c r="F87" s="70" t="s">
        <v>303</v>
      </c>
      <c r="G87" s="39"/>
      <c r="H87" s="39"/>
      <c r="I87" s="37"/>
      <c r="J87" s="37"/>
      <c r="K87" s="17"/>
      <c r="L87" s="17"/>
      <c r="M87" s="41"/>
      <c r="N87" s="102"/>
      <c r="O87" s="43"/>
      <c r="P87" s="66"/>
      <c r="Q87" s="45"/>
      <c r="R87" s="46"/>
      <c r="S87" s="74"/>
      <c r="T87" s="74"/>
      <c r="U87" s="74"/>
      <c r="V87" s="48">
        <f t="shared" si="11"/>
        <v>1100000</v>
      </c>
      <c r="W87" s="99"/>
      <c r="X87" s="99"/>
      <c r="Y87" s="104"/>
      <c r="Z87" s="100">
        <v>1100000</v>
      </c>
      <c r="AA87" s="66"/>
      <c r="AB87" s="46"/>
      <c r="AG87" s="18"/>
      <c r="AH87" s="18"/>
      <c r="AI87" s="46"/>
      <c r="AJ87" s="66"/>
      <c r="AU87" s="5"/>
    </row>
    <row r="88" spans="1:47">
      <c r="A88" s="127"/>
      <c r="B88" s="76" t="s">
        <v>378</v>
      </c>
      <c r="C88" s="37"/>
      <c r="D88" s="129" t="s">
        <v>422</v>
      </c>
      <c r="E88" s="70" t="s">
        <v>136</v>
      </c>
      <c r="F88" s="70" t="s">
        <v>303</v>
      </c>
      <c r="G88" s="39"/>
      <c r="H88" s="39"/>
      <c r="I88" s="37"/>
      <c r="J88" s="37"/>
      <c r="K88" s="17"/>
      <c r="L88" s="17"/>
      <c r="M88" s="41"/>
      <c r="N88" s="102"/>
      <c r="O88" s="43"/>
      <c r="P88" s="66"/>
      <c r="Q88" s="45"/>
      <c r="R88" s="46"/>
      <c r="S88" s="74"/>
      <c r="T88" s="74"/>
      <c r="U88" s="74"/>
      <c r="V88" s="48">
        <f t="shared" si="11"/>
        <v>830000</v>
      </c>
      <c r="W88" s="99">
        <v>830000</v>
      </c>
      <c r="X88" s="99"/>
      <c r="Y88" s="104"/>
      <c r="Z88" s="100"/>
      <c r="AA88" s="66"/>
      <c r="AB88" s="46"/>
      <c r="AG88" s="18"/>
      <c r="AH88" s="18"/>
      <c r="AI88" s="46"/>
      <c r="AJ88" s="66"/>
      <c r="AU88" s="5"/>
    </row>
    <row r="89" spans="1:47">
      <c r="A89" s="127"/>
      <c r="B89" s="76" t="s">
        <v>379</v>
      </c>
      <c r="C89" s="37"/>
      <c r="D89" s="129" t="s">
        <v>423</v>
      </c>
      <c r="E89" s="70" t="s">
        <v>136</v>
      </c>
      <c r="F89" s="70" t="s">
        <v>303</v>
      </c>
      <c r="G89" s="39"/>
      <c r="H89" s="39"/>
      <c r="I89" s="37"/>
      <c r="J89" s="37"/>
      <c r="K89" s="17"/>
      <c r="L89" s="17"/>
      <c r="M89" s="41"/>
      <c r="N89" s="102"/>
      <c r="O89" s="43"/>
      <c r="P89" s="66"/>
      <c r="Q89" s="45"/>
      <c r="R89" s="46"/>
      <c r="S89" s="74"/>
      <c r="T89" s="74"/>
      <c r="U89" s="74"/>
      <c r="V89" s="48">
        <f t="shared" si="11"/>
        <v>790000</v>
      </c>
      <c r="W89" s="99"/>
      <c r="X89" s="99">
        <v>790000</v>
      </c>
      <c r="Y89" s="104"/>
      <c r="Z89" s="100"/>
      <c r="AA89" s="66"/>
      <c r="AB89" s="46"/>
      <c r="AG89" s="18"/>
      <c r="AH89" s="18"/>
      <c r="AI89" s="46"/>
      <c r="AJ89" s="66"/>
      <c r="AU89" s="5"/>
    </row>
    <row r="90" spans="1:47">
      <c r="A90" s="127"/>
      <c r="B90" s="76" t="s">
        <v>380</v>
      </c>
      <c r="C90" s="37"/>
      <c r="D90" s="129" t="s">
        <v>424</v>
      </c>
      <c r="E90" s="70" t="s">
        <v>121</v>
      </c>
      <c r="F90" s="70" t="s">
        <v>303</v>
      </c>
      <c r="G90" s="39"/>
      <c r="H90" s="39"/>
      <c r="I90" s="37"/>
      <c r="J90" s="37"/>
      <c r="K90" s="17"/>
      <c r="L90" s="17"/>
      <c r="M90" s="41"/>
      <c r="N90" s="102"/>
      <c r="O90" s="43"/>
      <c r="P90" s="66"/>
      <c r="Q90" s="45"/>
      <c r="R90" s="46"/>
      <c r="S90" s="74"/>
      <c r="T90" s="74"/>
      <c r="U90" s="74"/>
      <c r="V90" s="48">
        <f t="shared" si="11"/>
        <v>600000</v>
      </c>
      <c r="W90" s="99"/>
      <c r="X90" s="99">
        <v>600000</v>
      </c>
      <c r="Y90" s="104"/>
      <c r="Z90" s="100"/>
      <c r="AA90" s="66"/>
      <c r="AB90" s="46"/>
      <c r="AG90" s="18"/>
      <c r="AH90" s="18"/>
      <c r="AI90" s="46"/>
      <c r="AJ90" s="66"/>
      <c r="AU90" s="5"/>
    </row>
    <row r="91" spans="1:47">
      <c r="A91" s="127"/>
      <c r="B91" s="76" t="s">
        <v>381</v>
      </c>
      <c r="C91" s="37"/>
      <c r="D91" s="129" t="s">
        <v>425</v>
      </c>
      <c r="E91" s="70" t="s">
        <v>58</v>
      </c>
      <c r="F91" s="70" t="s">
        <v>303</v>
      </c>
      <c r="G91" s="39"/>
      <c r="H91" s="39"/>
      <c r="I91" s="37"/>
      <c r="J91" s="37"/>
      <c r="K91" s="17"/>
      <c r="L91" s="17"/>
      <c r="M91" s="41"/>
      <c r="N91" s="102"/>
      <c r="O91" s="43"/>
      <c r="P91" s="66"/>
      <c r="Q91" s="45"/>
      <c r="R91" s="46"/>
      <c r="S91" s="74"/>
      <c r="T91" s="74"/>
      <c r="U91" s="74"/>
      <c r="V91" s="48">
        <f t="shared" si="11"/>
        <v>487000</v>
      </c>
      <c r="W91" s="99">
        <v>487000</v>
      </c>
      <c r="X91" s="99"/>
      <c r="Y91" s="104"/>
      <c r="Z91" s="100"/>
      <c r="AA91" s="66"/>
      <c r="AB91" s="46"/>
      <c r="AG91" s="18"/>
      <c r="AH91" s="18"/>
      <c r="AI91" s="46"/>
      <c r="AJ91" s="66"/>
      <c r="AU91" s="5"/>
    </row>
    <row r="92" spans="1:47">
      <c r="A92" s="127"/>
      <c r="B92" s="76" t="s">
        <v>382</v>
      </c>
      <c r="C92" s="37"/>
      <c r="D92" s="129" t="s">
        <v>426</v>
      </c>
      <c r="E92" s="70" t="s">
        <v>87</v>
      </c>
      <c r="F92" s="70" t="s">
        <v>303</v>
      </c>
      <c r="G92" s="39"/>
      <c r="H92" s="39"/>
      <c r="I92" s="37"/>
      <c r="J92" s="37"/>
      <c r="K92" s="17"/>
      <c r="L92" s="17"/>
      <c r="M92" s="41"/>
      <c r="N92" s="102"/>
      <c r="O92" s="43"/>
      <c r="P92" s="66"/>
      <c r="Q92" s="45"/>
      <c r="R92" s="46"/>
      <c r="S92" s="74"/>
      <c r="T92" s="74"/>
      <c r="U92" s="74"/>
      <c r="V92" s="48">
        <f t="shared" si="11"/>
        <v>1000000</v>
      </c>
      <c r="W92" s="99">
        <v>1000000</v>
      </c>
      <c r="X92" s="99"/>
      <c r="Y92" s="104"/>
      <c r="Z92" s="100"/>
      <c r="AA92" s="66"/>
      <c r="AB92" s="46"/>
      <c r="AG92" s="18"/>
      <c r="AH92" s="18"/>
      <c r="AI92" s="46"/>
      <c r="AJ92" s="66"/>
      <c r="AU92" s="5"/>
    </row>
    <row r="93" spans="1:47">
      <c r="A93" s="127"/>
      <c r="B93" s="76" t="s">
        <v>383</v>
      </c>
      <c r="C93" s="37"/>
      <c r="D93" s="129" t="s">
        <v>427</v>
      </c>
      <c r="E93" s="70" t="s">
        <v>450</v>
      </c>
      <c r="F93" s="70" t="s">
        <v>303</v>
      </c>
      <c r="G93" s="39"/>
      <c r="H93" s="39"/>
      <c r="I93" s="37"/>
      <c r="J93" s="37"/>
      <c r="K93" s="17"/>
      <c r="L93" s="17"/>
      <c r="M93" s="41"/>
      <c r="N93" s="102"/>
      <c r="O93" s="43"/>
      <c r="P93" s="66"/>
      <c r="Q93" s="45"/>
      <c r="R93" s="46"/>
      <c r="S93" s="74"/>
      <c r="T93" s="74"/>
      <c r="U93" s="74"/>
      <c r="V93" s="48">
        <f t="shared" si="11"/>
        <v>658000</v>
      </c>
      <c r="W93" s="99"/>
      <c r="X93" s="99">
        <v>658000</v>
      </c>
      <c r="Y93" s="104"/>
      <c r="Z93" s="100"/>
      <c r="AA93" s="66"/>
      <c r="AB93" s="46"/>
      <c r="AG93" s="18"/>
      <c r="AH93" s="18"/>
      <c r="AI93" s="46"/>
      <c r="AJ93" s="66"/>
      <c r="AU93" s="5"/>
    </row>
    <row r="94" spans="1:47">
      <c r="A94" s="127"/>
      <c r="B94" s="76" t="s">
        <v>384</v>
      </c>
      <c r="C94" s="37"/>
      <c r="D94" s="129" t="s">
        <v>428</v>
      </c>
      <c r="E94" s="70" t="s">
        <v>451</v>
      </c>
      <c r="F94" s="70" t="s">
        <v>303</v>
      </c>
      <c r="G94" s="39"/>
      <c r="H94" s="39"/>
      <c r="I94" s="37"/>
      <c r="J94" s="37"/>
      <c r="K94" s="17"/>
      <c r="L94" s="17"/>
      <c r="M94" s="41"/>
      <c r="N94" s="102"/>
      <c r="O94" s="43"/>
      <c r="P94" s="66"/>
      <c r="Q94" s="45"/>
      <c r="R94" s="46"/>
      <c r="S94" s="74"/>
      <c r="T94" s="74"/>
      <c r="U94" s="74"/>
      <c r="V94" s="48">
        <f t="shared" si="11"/>
        <v>1500000</v>
      </c>
      <c r="W94" s="99"/>
      <c r="X94" s="99"/>
      <c r="Y94" s="104">
        <v>1500000</v>
      </c>
      <c r="Z94" s="100"/>
      <c r="AA94" s="66"/>
      <c r="AB94" s="46"/>
      <c r="AG94" s="18"/>
      <c r="AH94" s="18"/>
      <c r="AI94" s="46"/>
      <c r="AJ94" s="66"/>
      <c r="AU94" s="5"/>
    </row>
    <row r="95" spans="1:47">
      <c r="A95" s="127"/>
      <c r="B95" s="76" t="s">
        <v>385</v>
      </c>
      <c r="C95" s="37"/>
      <c r="D95" s="129" t="s">
        <v>429</v>
      </c>
      <c r="E95" s="70" t="s">
        <v>452</v>
      </c>
      <c r="F95" s="70" t="s">
        <v>303</v>
      </c>
      <c r="G95" s="39"/>
      <c r="H95" s="39"/>
      <c r="I95" s="37"/>
      <c r="J95" s="37"/>
      <c r="K95" s="17"/>
      <c r="L95" s="17"/>
      <c r="M95" s="41"/>
      <c r="N95" s="102"/>
      <c r="O95" s="43"/>
      <c r="P95" s="66"/>
      <c r="Q95" s="45"/>
      <c r="R95" s="46"/>
      <c r="S95" s="74"/>
      <c r="T95" s="74"/>
      <c r="U95" s="74"/>
      <c r="V95" s="48">
        <f t="shared" si="11"/>
        <v>1000000</v>
      </c>
      <c r="W95" s="99"/>
      <c r="X95" s="99"/>
      <c r="Y95" s="104"/>
      <c r="Z95" s="100">
        <v>1000000</v>
      </c>
      <c r="AA95" s="66"/>
      <c r="AB95" s="46"/>
      <c r="AG95" s="18"/>
      <c r="AH95" s="18"/>
      <c r="AI95" s="46"/>
      <c r="AJ95" s="66"/>
      <c r="AU95" s="5"/>
    </row>
    <row r="96" spans="1:47">
      <c r="A96" s="127"/>
      <c r="B96" s="76" t="s">
        <v>386</v>
      </c>
      <c r="C96" s="37"/>
      <c r="D96" s="129" t="s">
        <v>430</v>
      </c>
      <c r="E96" s="70" t="s">
        <v>453</v>
      </c>
      <c r="F96" s="70" t="s">
        <v>303</v>
      </c>
      <c r="G96" s="39"/>
      <c r="H96" s="39"/>
      <c r="I96" s="37"/>
      <c r="J96" s="37"/>
      <c r="K96" s="17"/>
      <c r="L96" s="17"/>
      <c r="M96" s="41"/>
      <c r="N96" s="102"/>
      <c r="O96" s="43"/>
      <c r="P96" s="66"/>
      <c r="Q96" s="45"/>
      <c r="R96" s="46"/>
      <c r="S96" s="74"/>
      <c r="T96" s="74"/>
      <c r="U96" s="74"/>
      <c r="V96" s="48">
        <f t="shared" si="11"/>
        <v>493000</v>
      </c>
      <c r="W96" s="99"/>
      <c r="X96" s="99"/>
      <c r="Y96" s="104">
        <v>493000</v>
      </c>
      <c r="Z96" s="100"/>
      <c r="AA96" s="66"/>
      <c r="AB96" s="46"/>
      <c r="AG96" s="18"/>
      <c r="AH96" s="18"/>
      <c r="AI96" s="46"/>
      <c r="AJ96" s="66"/>
      <c r="AU96" s="5"/>
    </row>
    <row r="97" spans="1:47">
      <c r="A97" s="127"/>
      <c r="B97" s="76" t="s">
        <v>387</v>
      </c>
      <c r="C97" s="37"/>
      <c r="D97" s="129" t="s">
        <v>431</v>
      </c>
      <c r="E97" s="70" t="s">
        <v>454</v>
      </c>
      <c r="F97" s="70" t="s">
        <v>271</v>
      </c>
      <c r="G97" s="39"/>
      <c r="H97" s="39"/>
      <c r="I97" s="37"/>
      <c r="J97" s="37"/>
      <c r="K97" s="17"/>
      <c r="L97" s="17"/>
      <c r="M97" s="41"/>
      <c r="N97" s="102"/>
      <c r="O97" s="43"/>
      <c r="P97" s="66"/>
      <c r="Q97" s="45"/>
      <c r="R97" s="46"/>
      <c r="S97" s="74"/>
      <c r="T97" s="74"/>
      <c r="U97" s="74"/>
      <c r="V97" s="48">
        <f t="shared" si="11"/>
        <v>300000</v>
      </c>
      <c r="W97" s="99"/>
      <c r="X97" s="99"/>
      <c r="Y97" s="104">
        <v>300000</v>
      </c>
      <c r="Z97" s="100"/>
      <c r="AA97" s="66"/>
      <c r="AB97" s="46"/>
      <c r="AG97" s="18"/>
      <c r="AH97" s="18"/>
      <c r="AI97" s="46"/>
      <c r="AJ97" s="66"/>
      <c r="AU97" s="5"/>
    </row>
    <row r="98" spans="1:47">
      <c r="A98" s="127"/>
      <c r="B98" s="76" t="s">
        <v>388</v>
      </c>
      <c r="C98" s="37"/>
      <c r="D98" s="129" t="s">
        <v>432</v>
      </c>
      <c r="E98" s="70" t="s">
        <v>246</v>
      </c>
      <c r="F98" s="70" t="s">
        <v>271</v>
      </c>
      <c r="G98" s="39"/>
      <c r="H98" s="39"/>
      <c r="I98" s="37"/>
      <c r="J98" s="37"/>
      <c r="K98" s="17"/>
      <c r="L98" s="17"/>
      <c r="M98" s="41"/>
      <c r="N98" s="102"/>
      <c r="O98" s="43"/>
      <c r="P98" s="66"/>
      <c r="Q98" s="45"/>
      <c r="R98" s="46"/>
      <c r="S98" s="74"/>
      <c r="T98" s="74"/>
      <c r="U98" s="74"/>
      <c r="V98" s="48">
        <f t="shared" si="11"/>
        <v>750000</v>
      </c>
      <c r="W98" s="99"/>
      <c r="X98" s="99">
        <v>750000</v>
      </c>
      <c r="Y98" s="104"/>
      <c r="Z98" s="100"/>
      <c r="AA98" s="66"/>
      <c r="AB98" s="46"/>
      <c r="AG98" s="18"/>
      <c r="AH98" s="18"/>
      <c r="AI98" s="46"/>
      <c r="AJ98" s="66"/>
      <c r="AU98" s="5"/>
    </row>
    <row r="99" spans="1:47">
      <c r="A99" s="127"/>
      <c r="B99" s="76" t="s">
        <v>389</v>
      </c>
      <c r="C99" s="37"/>
      <c r="D99" s="129" t="s">
        <v>433</v>
      </c>
      <c r="E99" s="70" t="s">
        <v>455</v>
      </c>
      <c r="F99" s="70" t="s">
        <v>271</v>
      </c>
      <c r="G99" s="39"/>
      <c r="H99" s="39"/>
      <c r="I99" s="37"/>
      <c r="J99" s="37"/>
      <c r="K99" s="17"/>
      <c r="L99" s="17"/>
      <c r="M99" s="41"/>
      <c r="N99" s="102"/>
      <c r="O99" s="43"/>
      <c r="P99" s="66"/>
      <c r="Q99" s="45"/>
      <c r="R99" s="46"/>
      <c r="S99" s="74"/>
      <c r="T99" s="74"/>
      <c r="U99" s="74"/>
      <c r="V99" s="48">
        <f t="shared" si="11"/>
        <v>300000</v>
      </c>
      <c r="W99" s="99"/>
      <c r="X99" s="99">
        <v>300000</v>
      </c>
      <c r="Y99" s="104"/>
      <c r="Z99" s="100"/>
      <c r="AA99" s="66"/>
      <c r="AB99" s="46"/>
      <c r="AG99" s="18"/>
      <c r="AH99" s="18"/>
      <c r="AI99" s="46"/>
      <c r="AJ99" s="66"/>
      <c r="AU99" s="5"/>
    </row>
    <row r="100" spans="1:47">
      <c r="A100" s="127"/>
      <c r="B100" s="76" t="s">
        <v>390</v>
      </c>
      <c r="C100" s="37"/>
      <c r="D100" s="129" t="s">
        <v>434</v>
      </c>
      <c r="E100" s="70" t="s">
        <v>456</v>
      </c>
      <c r="F100" s="70" t="s">
        <v>271</v>
      </c>
      <c r="G100" s="39"/>
      <c r="H100" s="39"/>
      <c r="I100" s="37"/>
      <c r="J100" s="37"/>
      <c r="K100" s="17"/>
      <c r="L100" s="17"/>
      <c r="M100" s="41"/>
      <c r="N100" s="102"/>
      <c r="O100" s="43"/>
      <c r="P100" s="66"/>
      <c r="Q100" s="45"/>
      <c r="R100" s="46"/>
      <c r="S100" s="74"/>
      <c r="T100" s="74"/>
      <c r="U100" s="74"/>
      <c r="V100" s="48">
        <f t="shared" si="11"/>
        <v>0</v>
      </c>
      <c r="W100" s="99"/>
      <c r="X100" s="99"/>
      <c r="Y100" s="104"/>
      <c r="Z100" s="100"/>
      <c r="AA100" s="66"/>
      <c r="AB100" s="46"/>
      <c r="AG100" s="18"/>
      <c r="AH100" s="18"/>
      <c r="AI100" s="46"/>
      <c r="AJ100" s="66"/>
      <c r="AU100" s="5"/>
    </row>
    <row r="101" spans="1:47">
      <c r="A101" s="127"/>
      <c r="B101" s="76" t="s">
        <v>391</v>
      </c>
      <c r="C101" s="37"/>
      <c r="D101" s="129" t="s">
        <v>435</v>
      </c>
      <c r="E101" s="70" t="s">
        <v>39</v>
      </c>
      <c r="F101" s="70" t="s">
        <v>271</v>
      </c>
      <c r="G101" s="39"/>
      <c r="H101" s="39"/>
      <c r="I101" s="37"/>
      <c r="J101" s="37"/>
      <c r="K101" s="17"/>
      <c r="L101" s="17"/>
      <c r="M101" s="41"/>
      <c r="N101" s="102"/>
      <c r="O101" s="43"/>
      <c r="P101" s="66"/>
      <c r="Q101" s="45"/>
      <c r="R101" s="46"/>
      <c r="S101" s="74"/>
      <c r="T101" s="74"/>
      <c r="U101" s="74"/>
      <c r="V101" s="48">
        <f t="shared" si="11"/>
        <v>0</v>
      </c>
      <c r="W101" s="99"/>
      <c r="X101" s="99"/>
      <c r="Y101" s="104"/>
      <c r="Z101" s="100"/>
      <c r="AA101" s="66"/>
      <c r="AB101" s="46"/>
      <c r="AG101" s="18"/>
      <c r="AH101" s="18"/>
      <c r="AI101" s="46"/>
      <c r="AJ101" s="66"/>
      <c r="AU101" s="5"/>
    </row>
    <row r="102" spans="1:47">
      <c r="A102" s="127"/>
      <c r="B102" s="76" t="s">
        <v>392</v>
      </c>
      <c r="C102" s="37"/>
      <c r="D102" s="129" t="s">
        <v>436</v>
      </c>
      <c r="E102" s="70" t="s">
        <v>457</v>
      </c>
      <c r="F102" s="70" t="s">
        <v>271</v>
      </c>
      <c r="G102" s="39"/>
      <c r="H102" s="39"/>
      <c r="I102" s="37"/>
      <c r="J102" s="37"/>
      <c r="K102" s="17"/>
      <c r="L102" s="17"/>
      <c r="M102" s="41"/>
      <c r="N102" s="102"/>
      <c r="O102" s="43"/>
      <c r="P102" s="66"/>
      <c r="Q102" s="45"/>
      <c r="R102" s="46"/>
      <c r="S102" s="74"/>
      <c r="T102" s="74"/>
      <c r="U102" s="74"/>
      <c r="V102" s="48">
        <f t="shared" si="11"/>
        <v>0</v>
      </c>
      <c r="W102" s="99"/>
      <c r="X102" s="99"/>
      <c r="Y102" s="104"/>
      <c r="Z102" s="100"/>
      <c r="AA102" s="66"/>
      <c r="AB102" s="46"/>
      <c r="AG102" s="18"/>
      <c r="AH102" s="18"/>
      <c r="AI102" s="46"/>
      <c r="AJ102" s="66"/>
      <c r="AU102" s="5"/>
    </row>
    <row r="103" spans="1:47">
      <c r="A103" s="127"/>
      <c r="B103" s="76" t="s">
        <v>393</v>
      </c>
      <c r="C103" s="37"/>
      <c r="D103" s="129" t="s">
        <v>437</v>
      </c>
      <c r="E103" s="70" t="s">
        <v>458</v>
      </c>
      <c r="F103" s="70" t="s">
        <v>271</v>
      </c>
      <c r="G103" s="39"/>
      <c r="H103" s="39"/>
      <c r="I103" s="37"/>
      <c r="J103" s="37"/>
      <c r="K103" s="17"/>
      <c r="L103" s="17"/>
      <c r="M103" s="41"/>
      <c r="N103" s="102"/>
      <c r="O103" s="43"/>
      <c r="P103" s="66"/>
      <c r="Q103" s="45"/>
      <c r="R103" s="46"/>
      <c r="S103" s="74"/>
      <c r="T103" s="74"/>
      <c r="U103" s="74"/>
      <c r="V103" s="48">
        <f t="shared" si="11"/>
        <v>0</v>
      </c>
      <c r="W103" s="99"/>
      <c r="X103" s="99"/>
      <c r="Y103" s="104"/>
      <c r="Z103" s="100"/>
      <c r="AA103" s="66"/>
      <c r="AB103" s="46"/>
      <c r="AG103" s="18"/>
      <c r="AH103" s="18"/>
      <c r="AI103" s="46"/>
      <c r="AJ103" s="66"/>
      <c r="AU103" s="5"/>
    </row>
    <row r="104" spans="1:47">
      <c r="A104" s="127"/>
      <c r="B104" s="76" t="s">
        <v>394</v>
      </c>
      <c r="C104" s="37"/>
      <c r="D104" s="129" t="s">
        <v>438</v>
      </c>
      <c r="E104" s="70" t="s">
        <v>156</v>
      </c>
      <c r="F104" s="70" t="s">
        <v>271</v>
      </c>
      <c r="G104" s="39"/>
      <c r="H104" s="39"/>
      <c r="I104" s="37"/>
      <c r="J104" s="37"/>
      <c r="K104" s="17"/>
      <c r="L104" s="17"/>
      <c r="M104" s="41"/>
      <c r="N104" s="102"/>
      <c r="O104" s="43"/>
      <c r="P104" s="66"/>
      <c r="Q104" s="45"/>
      <c r="R104" s="46"/>
      <c r="S104" s="74"/>
      <c r="T104" s="74"/>
      <c r="U104" s="74"/>
      <c r="V104" s="48">
        <f t="shared" si="11"/>
        <v>720000</v>
      </c>
      <c r="W104" s="99">
        <v>720000</v>
      </c>
      <c r="X104" s="99"/>
      <c r="Y104" s="104"/>
      <c r="Z104" s="100"/>
      <c r="AA104" s="66"/>
      <c r="AB104" s="46"/>
      <c r="AG104" s="18"/>
      <c r="AH104" s="18"/>
      <c r="AI104" s="46"/>
      <c r="AJ104" s="66"/>
      <c r="AU104" s="5"/>
    </row>
    <row r="105" spans="1:47">
      <c r="A105" s="127"/>
      <c r="B105" s="76" t="s">
        <v>395</v>
      </c>
      <c r="C105" s="37"/>
      <c r="D105" s="129" t="s">
        <v>114</v>
      </c>
      <c r="E105" s="70" t="s">
        <v>115</v>
      </c>
      <c r="F105" s="70" t="s">
        <v>268</v>
      </c>
      <c r="G105" s="39"/>
      <c r="H105" s="39"/>
      <c r="I105" s="37"/>
      <c r="J105" s="37"/>
      <c r="K105" s="17"/>
      <c r="L105" s="17"/>
      <c r="M105" s="41"/>
      <c r="N105" s="102"/>
      <c r="O105" s="43"/>
      <c r="P105" s="66"/>
      <c r="Q105" s="45"/>
      <c r="R105" s="46"/>
      <c r="S105" s="74"/>
      <c r="T105" s="74"/>
      <c r="U105" s="74"/>
      <c r="V105" s="48">
        <f t="shared" si="11"/>
        <v>600000</v>
      </c>
      <c r="W105" s="99"/>
      <c r="X105" s="99">
        <v>600000</v>
      </c>
      <c r="Y105" s="104"/>
      <c r="Z105" s="100"/>
      <c r="AA105" s="66"/>
      <c r="AB105" s="46"/>
      <c r="AG105" s="18"/>
      <c r="AH105" s="18"/>
      <c r="AI105" s="46"/>
      <c r="AJ105" s="66"/>
      <c r="AU105" s="5"/>
    </row>
    <row r="106" spans="1:47">
      <c r="A106" s="127"/>
      <c r="B106" s="76" t="s">
        <v>396</v>
      </c>
      <c r="C106" s="37"/>
      <c r="D106" s="129" t="s">
        <v>201</v>
      </c>
      <c r="E106" s="70" t="s">
        <v>115</v>
      </c>
      <c r="F106" s="70" t="s">
        <v>268</v>
      </c>
      <c r="G106" s="39"/>
      <c r="H106" s="39"/>
      <c r="I106" s="37"/>
      <c r="J106" s="37"/>
      <c r="K106" s="17"/>
      <c r="L106" s="17"/>
      <c r="M106" s="41"/>
      <c r="N106" s="102"/>
      <c r="O106" s="43"/>
      <c r="P106" s="66"/>
      <c r="Q106" s="45"/>
      <c r="R106" s="46"/>
      <c r="S106" s="74"/>
      <c r="T106" s="74"/>
      <c r="U106" s="74"/>
      <c r="V106" s="48">
        <f t="shared" si="11"/>
        <v>1200000</v>
      </c>
      <c r="W106" s="99"/>
      <c r="X106" s="99">
        <v>1200000</v>
      </c>
      <c r="Y106" s="104"/>
      <c r="Z106" s="100"/>
      <c r="AA106" s="66"/>
      <c r="AB106" s="46"/>
      <c r="AG106" s="18"/>
      <c r="AH106" s="18"/>
      <c r="AI106" s="46"/>
      <c r="AJ106" s="66"/>
      <c r="AU106" s="5"/>
    </row>
    <row r="107" spans="1:47">
      <c r="A107" s="127"/>
      <c r="B107" s="76" t="s">
        <v>397</v>
      </c>
      <c r="C107" s="37"/>
      <c r="D107" s="129" t="s">
        <v>439</v>
      </c>
      <c r="E107" s="70" t="s">
        <v>439</v>
      </c>
      <c r="F107" s="70" t="s">
        <v>268</v>
      </c>
      <c r="G107" s="39"/>
      <c r="H107" s="39"/>
      <c r="I107" s="37"/>
      <c r="J107" s="37"/>
      <c r="K107" s="17"/>
      <c r="L107" s="17"/>
      <c r="M107" s="41"/>
      <c r="N107" s="102"/>
      <c r="O107" s="43"/>
      <c r="P107" s="66"/>
      <c r="Q107" s="45"/>
      <c r="R107" s="46"/>
      <c r="S107" s="74"/>
      <c r="T107" s="74"/>
      <c r="U107" s="74"/>
      <c r="V107" s="48">
        <f t="shared" si="11"/>
        <v>500000</v>
      </c>
      <c r="W107" s="99">
        <v>500000</v>
      </c>
      <c r="X107" s="99"/>
      <c r="Y107" s="104"/>
      <c r="Z107" s="100"/>
      <c r="AA107" s="66"/>
      <c r="AB107" s="46"/>
      <c r="AG107" s="18"/>
      <c r="AH107" s="18"/>
      <c r="AI107" s="46"/>
      <c r="AJ107" s="66"/>
      <c r="AU107" s="5"/>
    </row>
    <row r="108" spans="1:47">
      <c r="A108" s="127"/>
      <c r="B108" s="76" t="s">
        <v>398</v>
      </c>
      <c r="C108" s="37"/>
      <c r="D108" s="129" t="s">
        <v>440</v>
      </c>
      <c r="E108" s="70" t="s">
        <v>98</v>
      </c>
      <c r="F108" s="70" t="s">
        <v>268</v>
      </c>
      <c r="G108" s="39"/>
      <c r="H108" s="39"/>
      <c r="I108" s="37"/>
      <c r="J108" s="37"/>
      <c r="K108" s="17"/>
      <c r="L108" s="17"/>
      <c r="M108" s="41"/>
      <c r="N108" s="102"/>
      <c r="O108" s="43"/>
      <c r="P108" s="66"/>
      <c r="Q108" s="45"/>
      <c r="R108" s="46"/>
      <c r="S108" s="74"/>
      <c r="T108" s="74"/>
      <c r="U108" s="74"/>
      <c r="V108" s="48">
        <f t="shared" si="11"/>
        <v>0</v>
      </c>
      <c r="W108" s="99"/>
      <c r="X108" s="99"/>
      <c r="Y108" s="104"/>
      <c r="Z108" s="100"/>
      <c r="AA108" s="66"/>
      <c r="AB108" s="46"/>
      <c r="AG108" s="18"/>
      <c r="AH108" s="18"/>
      <c r="AI108" s="46"/>
      <c r="AJ108" s="66"/>
      <c r="AU108" s="5"/>
    </row>
    <row r="109" spans="1:47">
      <c r="A109" s="127"/>
      <c r="B109" s="76" t="s">
        <v>399</v>
      </c>
      <c r="C109" s="37"/>
      <c r="D109" s="129" t="s">
        <v>441</v>
      </c>
      <c r="E109" s="70" t="s">
        <v>98</v>
      </c>
      <c r="F109" s="70" t="s">
        <v>268</v>
      </c>
      <c r="G109" s="39"/>
      <c r="H109" s="39"/>
      <c r="I109" s="37"/>
      <c r="J109" s="37"/>
      <c r="K109" s="17"/>
      <c r="L109" s="17"/>
      <c r="M109" s="41"/>
      <c r="N109" s="102"/>
      <c r="O109" s="43"/>
      <c r="P109" s="66"/>
      <c r="Q109" s="45"/>
      <c r="R109" s="46"/>
      <c r="S109" s="74"/>
      <c r="T109" s="74"/>
      <c r="U109" s="74"/>
      <c r="V109" s="48">
        <f t="shared" si="11"/>
        <v>0</v>
      </c>
      <c r="W109" s="99"/>
      <c r="X109" s="99"/>
      <c r="Y109" s="104"/>
      <c r="Z109" s="100"/>
      <c r="AA109" s="66"/>
      <c r="AB109" s="46"/>
      <c r="AG109" s="18"/>
      <c r="AH109" s="18"/>
      <c r="AI109" s="46"/>
      <c r="AJ109" s="66"/>
      <c r="AU109" s="5"/>
    </row>
    <row r="110" spans="1:47">
      <c r="A110" s="127"/>
      <c r="B110" s="76" t="s">
        <v>400</v>
      </c>
      <c r="C110" s="37"/>
      <c r="D110" s="129" t="s">
        <v>442</v>
      </c>
      <c r="E110" s="70" t="s">
        <v>98</v>
      </c>
      <c r="F110" s="70" t="s">
        <v>268</v>
      </c>
      <c r="G110" s="39"/>
      <c r="H110" s="39"/>
      <c r="I110" s="37"/>
      <c r="J110" s="37"/>
      <c r="K110" s="17"/>
      <c r="L110" s="17"/>
      <c r="M110" s="41"/>
      <c r="N110" s="102"/>
      <c r="O110" s="43"/>
      <c r="P110" s="66"/>
      <c r="Q110" s="45"/>
      <c r="R110" s="46"/>
      <c r="S110" s="74"/>
      <c r="T110" s="74"/>
      <c r="U110" s="74"/>
      <c r="V110" s="48">
        <f t="shared" si="11"/>
        <v>0</v>
      </c>
      <c r="W110" s="99"/>
      <c r="X110" s="99"/>
      <c r="Y110" s="104"/>
      <c r="Z110" s="100"/>
      <c r="AA110" s="66"/>
      <c r="AB110" s="46"/>
      <c r="AG110" s="18"/>
      <c r="AH110" s="18"/>
      <c r="AI110" s="46"/>
      <c r="AJ110" s="66"/>
      <c r="AU110" s="5"/>
    </row>
    <row r="111" spans="1:47">
      <c r="A111" s="127"/>
      <c r="B111" s="76" t="s">
        <v>401</v>
      </c>
      <c r="C111" s="37"/>
      <c r="D111" s="129" t="s">
        <v>443</v>
      </c>
      <c r="E111" s="70" t="s">
        <v>98</v>
      </c>
      <c r="F111" s="70" t="s">
        <v>268</v>
      </c>
      <c r="G111" s="39"/>
      <c r="H111" s="39"/>
      <c r="I111" s="37"/>
      <c r="J111" s="37"/>
      <c r="K111" s="17"/>
      <c r="L111" s="17"/>
      <c r="M111" s="41"/>
      <c r="N111" s="102"/>
      <c r="O111" s="43"/>
      <c r="P111" s="66"/>
      <c r="Q111" s="45"/>
      <c r="R111" s="46"/>
      <c r="S111" s="74"/>
      <c r="T111" s="74"/>
      <c r="U111" s="74"/>
      <c r="V111" s="48">
        <f t="shared" si="11"/>
        <v>0</v>
      </c>
      <c r="W111" s="99"/>
      <c r="X111" s="99"/>
      <c r="Y111" s="104"/>
      <c r="Z111" s="100"/>
      <c r="AA111" s="66"/>
      <c r="AB111" s="46"/>
      <c r="AG111" s="18"/>
      <c r="AH111" s="18"/>
      <c r="AI111" s="46"/>
      <c r="AJ111" s="66"/>
      <c r="AU111" s="5"/>
    </row>
    <row r="112" spans="1:47">
      <c r="A112" s="127"/>
      <c r="B112" s="76" t="s">
        <v>402</v>
      </c>
      <c r="C112" s="37"/>
      <c r="D112" s="129" t="s">
        <v>444</v>
      </c>
      <c r="E112" s="70" t="s">
        <v>98</v>
      </c>
      <c r="F112" s="70" t="s">
        <v>268</v>
      </c>
      <c r="G112" s="39"/>
      <c r="H112" s="39"/>
      <c r="I112" s="37"/>
      <c r="J112" s="37"/>
      <c r="K112" s="17"/>
      <c r="L112" s="17"/>
      <c r="M112" s="41"/>
      <c r="N112" s="102"/>
      <c r="O112" s="43"/>
      <c r="P112" s="66"/>
      <c r="Q112" s="45"/>
      <c r="R112" s="46"/>
      <c r="S112" s="74"/>
      <c r="T112" s="74"/>
      <c r="U112" s="74"/>
      <c r="V112" s="48">
        <f t="shared" si="11"/>
        <v>0</v>
      </c>
      <c r="W112" s="99"/>
      <c r="X112" s="99"/>
      <c r="Y112" s="104"/>
      <c r="Z112" s="100"/>
      <c r="AA112" s="66"/>
      <c r="AB112" s="46"/>
      <c r="AG112" s="18"/>
      <c r="AH112" s="18"/>
      <c r="AI112" s="46"/>
      <c r="AJ112" s="66"/>
      <c r="AU112" s="5"/>
    </row>
    <row r="113" spans="1:49">
      <c r="A113" s="127"/>
      <c r="B113" s="76" t="s">
        <v>403</v>
      </c>
      <c r="C113" s="37"/>
      <c r="D113" s="129" t="s">
        <v>445</v>
      </c>
      <c r="E113" s="70" t="s">
        <v>445</v>
      </c>
      <c r="F113" s="70" t="s">
        <v>268</v>
      </c>
      <c r="G113" s="39"/>
      <c r="H113" s="39"/>
      <c r="I113" s="37"/>
      <c r="J113" s="37"/>
      <c r="K113" s="17"/>
      <c r="L113" s="17"/>
      <c r="M113" s="41"/>
      <c r="N113" s="102"/>
      <c r="O113" s="43"/>
      <c r="P113" s="66"/>
      <c r="Q113" s="45"/>
      <c r="R113" s="46"/>
      <c r="S113" s="74"/>
      <c r="T113" s="74"/>
      <c r="U113" s="74"/>
      <c r="V113" s="48">
        <f t="shared" si="11"/>
        <v>0</v>
      </c>
      <c r="W113" s="99"/>
      <c r="X113" s="99"/>
      <c r="Y113" s="104"/>
      <c r="Z113" s="100"/>
      <c r="AA113" s="66"/>
      <c r="AB113" s="46"/>
      <c r="AG113" s="18"/>
      <c r="AH113" s="18"/>
      <c r="AI113" s="46"/>
      <c r="AJ113" s="66"/>
      <c r="AU113" s="5"/>
    </row>
    <row r="114" spans="1:49">
      <c r="A114" s="127"/>
      <c r="B114" s="76" t="s">
        <v>404</v>
      </c>
      <c r="C114" s="37"/>
      <c r="D114" s="129" t="s">
        <v>246</v>
      </c>
      <c r="E114" s="70" t="s">
        <v>246</v>
      </c>
      <c r="F114" s="70" t="s">
        <v>268</v>
      </c>
      <c r="G114" s="39"/>
      <c r="H114" s="39"/>
      <c r="I114" s="37"/>
      <c r="J114" s="37"/>
      <c r="K114" s="17"/>
      <c r="L114" s="17"/>
      <c r="M114" s="41"/>
      <c r="N114" s="102"/>
      <c r="O114" s="43"/>
      <c r="P114" s="66"/>
      <c r="Q114" s="45"/>
      <c r="R114" s="46"/>
      <c r="S114" s="74"/>
      <c r="T114" s="74"/>
      <c r="U114" s="74"/>
      <c r="V114" s="48">
        <f t="shared" si="11"/>
        <v>0</v>
      </c>
      <c r="W114" s="99"/>
      <c r="X114" s="99"/>
      <c r="Y114" s="104"/>
      <c r="Z114" s="100"/>
      <c r="AA114" s="66"/>
      <c r="AB114" s="46"/>
      <c r="AG114" s="18"/>
      <c r="AH114" s="18"/>
      <c r="AI114" s="46"/>
      <c r="AJ114" s="66"/>
      <c r="AU114" s="5"/>
    </row>
    <row r="115" spans="1:49" ht="16.5" thickBot="1">
      <c r="A115" s="127"/>
      <c r="B115" s="76" t="s">
        <v>405</v>
      </c>
      <c r="C115" s="37"/>
      <c r="D115" s="129" t="s">
        <v>336</v>
      </c>
      <c r="E115" s="70" t="s">
        <v>336</v>
      </c>
      <c r="F115" s="70" t="s">
        <v>268</v>
      </c>
      <c r="G115" s="39"/>
      <c r="H115" s="39"/>
      <c r="I115" s="37"/>
      <c r="J115" s="37"/>
      <c r="K115" s="17"/>
      <c r="L115" s="17"/>
      <c r="M115" s="41"/>
      <c r="N115" s="102"/>
      <c r="O115" s="43"/>
      <c r="P115" s="66"/>
      <c r="Q115" s="45"/>
      <c r="R115" s="46"/>
      <c r="S115" s="74"/>
      <c r="T115" s="74"/>
      <c r="U115" s="74"/>
      <c r="V115" s="48">
        <f t="shared" si="11"/>
        <v>0</v>
      </c>
      <c r="W115" s="99"/>
      <c r="X115" s="99"/>
      <c r="Y115" s="104"/>
      <c r="Z115" s="100"/>
      <c r="AA115" s="66"/>
      <c r="AB115" s="46"/>
      <c r="AG115" s="18"/>
      <c r="AH115" s="18"/>
      <c r="AI115" s="46"/>
      <c r="AJ115" s="66"/>
      <c r="AU115" s="5"/>
    </row>
    <row r="116" spans="1:49" ht="16.5" thickBot="1">
      <c r="Q116" s="111"/>
      <c r="R116" s="111"/>
      <c r="S116" s="113"/>
      <c r="T116" s="113"/>
      <c r="U116" s="113"/>
      <c r="V116" s="117">
        <f>+SUM(V73:V115)</f>
        <v>17256000</v>
      </c>
      <c r="W116" s="118">
        <f t="shared" ref="W116:Z116" si="12">+SUM(W73:W115)</f>
        <v>5875000</v>
      </c>
      <c r="X116" s="118">
        <f t="shared" si="12"/>
        <v>6498000</v>
      </c>
      <c r="Y116" s="118">
        <f t="shared" si="12"/>
        <v>2293000</v>
      </c>
      <c r="Z116" s="119">
        <f t="shared" si="12"/>
        <v>2590000</v>
      </c>
      <c r="AA116" s="112"/>
      <c r="AB116" s="112"/>
    </row>
    <row r="117" spans="1:49">
      <c r="V117" s="112"/>
      <c r="W117" s="112"/>
      <c r="X117" s="112"/>
      <c r="Y117" s="112"/>
      <c r="Z117" s="112"/>
      <c r="AA117" s="112"/>
      <c r="AB117" s="112"/>
    </row>
    <row r="118" spans="1:49">
      <c r="V118" s="112"/>
      <c r="W118" s="112"/>
      <c r="X118" s="112"/>
      <c r="Y118" s="112"/>
      <c r="Z118" s="112"/>
      <c r="AA118" s="112"/>
      <c r="AB118" s="112"/>
    </row>
    <row r="119" spans="1:49">
      <c r="V119" s="148" t="s">
        <v>308</v>
      </c>
      <c r="W119" s="149"/>
      <c r="X119" s="149"/>
      <c r="Y119" s="149"/>
      <c r="Z119" s="150"/>
      <c r="AA119" s="148" t="s">
        <v>319</v>
      </c>
      <c r="AB119" s="149"/>
      <c r="AC119" s="150"/>
    </row>
    <row r="120" spans="1:49">
      <c r="U120" s="112"/>
      <c r="V120" s="134" t="s">
        <v>13</v>
      </c>
      <c r="W120" s="132" t="s">
        <v>304</v>
      </c>
      <c r="X120" s="132" t="s">
        <v>305</v>
      </c>
      <c r="Y120" s="132" t="s">
        <v>306</v>
      </c>
      <c r="Z120" s="135" t="s">
        <v>307</v>
      </c>
      <c r="AA120" s="134" t="s">
        <v>13</v>
      </c>
      <c r="AB120" s="132" t="s">
        <v>462</v>
      </c>
      <c r="AC120" s="133" t="s">
        <v>14</v>
      </c>
    </row>
    <row r="121" spans="1:49">
      <c r="U121" s="140" t="s">
        <v>461</v>
      </c>
      <c r="V121" s="141">
        <f>SUM(W121:Z121)</f>
        <v>1675975</v>
      </c>
      <c r="W121" s="142">
        <f>W68</f>
        <v>565000</v>
      </c>
      <c r="X121" s="142">
        <f t="shared" ref="X121:Z121" si="13">X68</f>
        <v>549750</v>
      </c>
      <c r="Y121" s="142">
        <f t="shared" si="13"/>
        <v>382475</v>
      </c>
      <c r="Z121" s="143">
        <f t="shared" si="13"/>
        <v>178750</v>
      </c>
      <c r="AA121" s="141">
        <f>SUM(AB121:AC121)</f>
        <v>1673130</v>
      </c>
      <c r="AB121" s="142">
        <f>AB68</f>
        <v>0</v>
      </c>
      <c r="AC121" s="143">
        <f>AC68</f>
        <v>1673130</v>
      </c>
    </row>
    <row r="122" spans="1:49">
      <c r="U122" s="144" t="s">
        <v>460</v>
      </c>
      <c r="V122" s="136">
        <f>SUM(W122:Z122)</f>
        <v>17256000</v>
      </c>
      <c r="W122" s="137">
        <f>W116</f>
        <v>5875000</v>
      </c>
      <c r="X122" s="137">
        <f t="shared" ref="X122:Z122" si="14">X116</f>
        <v>6498000</v>
      </c>
      <c r="Y122" s="137">
        <f t="shared" si="14"/>
        <v>2293000</v>
      </c>
      <c r="Z122" s="138">
        <f t="shared" si="14"/>
        <v>2590000</v>
      </c>
      <c r="AA122" s="136"/>
      <c r="AB122" s="137"/>
      <c r="AC122" s="139"/>
    </row>
    <row r="123" spans="1:49" ht="16.5" thickBot="1">
      <c r="V123" s="112"/>
      <c r="W123" s="112"/>
      <c r="X123" s="112"/>
      <c r="Y123" s="112"/>
      <c r="Z123" s="112"/>
      <c r="AA123" s="112"/>
      <c r="AB123" s="112"/>
    </row>
    <row r="124" spans="1:49" ht="16.5" thickBot="1">
      <c r="U124" s="145" t="s">
        <v>463</v>
      </c>
      <c r="V124" s="146">
        <f>SUM(V121:V122,AA121)</f>
        <v>20605105</v>
      </c>
      <c r="W124" s="112"/>
      <c r="X124" s="112"/>
      <c r="Y124" s="112"/>
      <c r="Z124" s="112"/>
      <c r="AA124" s="112"/>
      <c r="AB124" s="112"/>
    </row>
    <row r="125" spans="1:49">
      <c r="B125" s="21" t="s">
        <v>0</v>
      </c>
      <c r="C125" s="21" t="s">
        <v>5</v>
      </c>
      <c r="D125" s="21" t="s">
        <v>1</v>
      </c>
      <c r="E125" s="21" t="s">
        <v>2</v>
      </c>
      <c r="F125" s="21"/>
      <c r="G125" s="21"/>
      <c r="H125" s="21"/>
      <c r="I125" s="21" t="s">
        <v>6</v>
      </c>
      <c r="J125" s="21" t="s">
        <v>7</v>
      </c>
      <c r="K125" s="21" t="s">
        <v>8</v>
      </c>
      <c r="L125" s="21" t="s">
        <v>9</v>
      </c>
      <c r="M125" s="22" t="s">
        <v>10</v>
      </c>
      <c r="N125" s="21" t="s">
        <v>11</v>
      </c>
      <c r="O125" s="36" t="s">
        <v>24</v>
      </c>
      <c r="P125" s="36" t="s">
        <v>25</v>
      </c>
      <c r="Q125" s="23" t="s">
        <v>12</v>
      </c>
      <c r="R125" s="23" t="s">
        <v>12</v>
      </c>
      <c r="S125" s="23"/>
      <c r="T125" s="23"/>
      <c r="U125" s="23"/>
      <c r="V125" s="114"/>
      <c r="W125" s="114"/>
      <c r="X125" s="114"/>
      <c r="Y125" s="114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36"/>
    </row>
    <row r="126" spans="1:49">
      <c r="B126" s="37">
        <v>17</v>
      </c>
      <c r="C126" s="37" t="s">
        <v>250</v>
      </c>
      <c r="D126" s="85" t="s">
        <v>249</v>
      </c>
      <c r="E126" s="37" t="s">
        <v>98</v>
      </c>
      <c r="F126" s="37"/>
      <c r="G126" s="37"/>
      <c r="H126" s="37"/>
      <c r="I126" s="37" t="s">
        <v>102</v>
      </c>
      <c r="J126" s="37" t="s">
        <v>33</v>
      </c>
      <c r="K126" s="17" t="s">
        <v>95</v>
      </c>
      <c r="L126" s="17" t="s">
        <v>251</v>
      </c>
      <c r="M126" s="41">
        <v>100</v>
      </c>
      <c r="N126" s="42" t="s">
        <v>85</v>
      </c>
      <c r="O126" s="44"/>
      <c r="P126" s="44"/>
      <c r="Q126" s="45">
        <f t="shared" ref="Q126:Q130" si="15">+U126+AB126+AE126+AH126+AK126</f>
        <v>0</v>
      </c>
      <c r="R126" s="46" t="e">
        <f>+Q126*#REF!</f>
        <v>#REF!</v>
      </c>
      <c r="S126" s="103"/>
      <c r="T126" s="103"/>
      <c r="U126" s="103"/>
      <c r="V126" s="55"/>
      <c r="W126" s="55"/>
      <c r="X126" s="55"/>
      <c r="Y126" s="55"/>
      <c r="Z126" s="61"/>
      <c r="AA126" s="62"/>
      <c r="AB126" s="58"/>
      <c r="AC126" s="61"/>
      <c r="AD126" s="62"/>
      <c r="AE126" s="58"/>
      <c r="AF126" s="61"/>
      <c r="AG126" s="62"/>
      <c r="AH126" s="58"/>
      <c r="AI126" s="61"/>
      <c r="AJ126" s="62"/>
      <c r="AK126" s="44"/>
      <c r="AL126" s="66"/>
      <c r="AM126" s="66"/>
      <c r="AN126" s="66"/>
      <c r="AO126" s="46"/>
      <c r="AR126" s="17"/>
      <c r="AS126" s="17"/>
      <c r="AT126" s="46"/>
      <c r="AU126" s="66"/>
      <c r="AV126" s="17"/>
      <c r="AW126" s="44"/>
    </row>
    <row r="127" spans="1:49">
      <c r="B127" s="37">
        <v>18</v>
      </c>
      <c r="C127" s="37" t="s">
        <v>254</v>
      </c>
      <c r="D127" s="85" t="s">
        <v>252</v>
      </c>
      <c r="E127" s="37" t="s">
        <v>253</v>
      </c>
      <c r="F127" s="37"/>
      <c r="G127" s="37"/>
      <c r="H127" s="37"/>
      <c r="I127" s="37" t="s">
        <v>61</v>
      </c>
      <c r="J127" s="37" t="s">
        <v>66</v>
      </c>
      <c r="K127" s="17" t="s">
        <v>72</v>
      </c>
      <c r="L127" s="17" t="s">
        <v>255</v>
      </c>
      <c r="M127" s="41">
        <v>5</v>
      </c>
      <c r="N127" s="42" t="s">
        <v>85</v>
      </c>
      <c r="Q127" s="45">
        <f t="shared" si="15"/>
        <v>0</v>
      </c>
      <c r="R127" s="46" t="e">
        <f>+Q127*#REF!</f>
        <v>#REF!</v>
      </c>
      <c r="S127" s="103"/>
      <c r="T127" s="103"/>
      <c r="U127" s="103"/>
      <c r="V127" s="55"/>
      <c r="W127" s="55"/>
      <c r="X127" s="55"/>
      <c r="Y127" s="55"/>
      <c r="Z127" s="61"/>
      <c r="AA127" s="62"/>
      <c r="AB127" s="58"/>
      <c r="AC127" s="61"/>
      <c r="AD127" s="62"/>
      <c r="AE127" s="58"/>
      <c r="AF127" s="61"/>
      <c r="AG127" s="62"/>
      <c r="AH127" s="58"/>
      <c r="AI127" s="61"/>
      <c r="AJ127" s="62"/>
      <c r="AK127" s="44"/>
      <c r="AL127" s="18"/>
      <c r="AM127" s="18"/>
      <c r="AN127" s="18"/>
      <c r="AO127" s="46"/>
      <c r="AT127" s="46"/>
      <c r="AU127" s="66"/>
      <c r="AV127" s="17"/>
      <c r="AW127" s="44"/>
    </row>
    <row r="128" spans="1:49">
      <c r="B128" s="37">
        <v>28</v>
      </c>
      <c r="C128" s="37" t="s">
        <v>257</v>
      </c>
      <c r="D128" s="85" t="s">
        <v>256</v>
      </c>
      <c r="E128" s="37" t="s">
        <v>98</v>
      </c>
      <c r="F128" s="37"/>
      <c r="G128" s="37"/>
      <c r="H128" s="37"/>
      <c r="I128" s="37" t="s">
        <v>102</v>
      </c>
      <c r="J128" s="37" t="s">
        <v>33</v>
      </c>
      <c r="K128" s="17" t="s">
        <v>72</v>
      </c>
      <c r="L128" s="17" t="s">
        <v>258</v>
      </c>
      <c r="M128" s="41">
        <v>110</v>
      </c>
      <c r="N128" s="42" t="s">
        <v>113</v>
      </c>
      <c r="Q128" s="45">
        <f t="shared" si="15"/>
        <v>0</v>
      </c>
      <c r="R128" s="46" t="e">
        <f>+Q128*#REF!</f>
        <v>#REF!</v>
      </c>
      <c r="S128" s="103"/>
      <c r="T128" s="103"/>
      <c r="U128" s="103"/>
      <c r="V128" s="55"/>
      <c r="W128" s="55"/>
      <c r="X128" s="55"/>
      <c r="Y128" s="55"/>
      <c r="Z128" s="61"/>
      <c r="AA128" s="62"/>
      <c r="AB128" s="58"/>
      <c r="AC128" s="61"/>
      <c r="AD128" s="62"/>
      <c r="AE128" s="58"/>
      <c r="AF128" s="61"/>
      <c r="AG128" s="62"/>
      <c r="AH128" s="58"/>
      <c r="AI128" s="61"/>
      <c r="AJ128" s="62"/>
      <c r="AK128" s="44"/>
      <c r="AL128" s="43"/>
      <c r="AM128" s="66"/>
      <c r="AN128" s="66"/>
      <c r="AO128" s="46"/>
      <c r="AT128" s="46"/>
      <c r="AU128" s="66"/>
    </row>
    <row r="129" spans="2:49">
      <c r="B129" s="37">
        <v>5</v>
      </c>
      <c r="C129" s="37" t="s">
        <v>262</v>
      </c>
      <c r="D129" s="85" t="s">
        <v>261</v>
      </c>
      <c r="E129" s="37" t="s">
        <v>39</v>
      </c>
      <c r="F129" s="37"/>
      <c r="G129" s="37"/>
      <c r="H129" s="37"/>
      <c r="I129" s="37" t="s">
        <v>32</v>
      </c>
      <c r="J129" s="37" t="s">
        <v>33</v>
      </c>
      <c r="K129" s="37" t="s">
        <v>95</v>
      </c>
      <c r="L129" s="37" t="s">
        <v>263</v>
      </c>
      <c r="M129" s="77">
        <v>10</v>
      </c>
      <c r="N129" s="42" t="s">
        <v>51</v>
      </c>
      <c r="O129" s="44"/>
      <c r="P129" s="44"/>
      <c r="Q129" s="45">
        <f t="shared" si="15"/>
        <v>0</v>
      </c>
      <c r="R129" s="46" t="e">
        <f>+Q129*#REF!</f>
        <v>#REF!</v>
      </c>
      <c r="S129" s="103"/>
      <c r="T129" s="103"/>
      <c r="U129" s="103"/>
      <c r="V129" s="55"/>
      <c r="W129" s="55"/>
      <c r="X129" s="55"/>
      <c r="Y129" s="55"/>
      <c r="Z129" s="61"/>
      <c r="AA129" s="62"/>
      <c r="AB129" s="58"/>
      <c r="AC129" s="61"/>
      <c r="AD129" s="62"/>
      <c r="AE129" s="58"/>
      <c r="AF129" s="61"/>
      <c r="AG129" s="62"/>
      <c r="AH129" s="58"/>
      <c r="AI129" s="61"/>
      <c r="AJ129" s="62"/>
      <c r="AK129" s="44"/>
      <c r="AL129" s="66"/>
      <c r="AM129" s="66"/>
      <c r="AN129" s="66"/>
      <c r="AO129" s="46"/>
      <c r="AR129" s="64"/>
      <c r="AS129" s="17"/>
      <c r="AT129" s="46"/>
      <c r="AU129" s="66"/>
    </row>
    <row r="130" spans="2:49">
      <c r="B130" s="37">
        <v>7</v>
      </c>
      <c r="C130" s="37" t="s">
        <v>264</v>
      </c>
      <c r="D130" s="85" t="s">
        <v>264</v>
      </c>
      <c r="E130" s="37" t="s">
        <v>98</v>
      </c>
      <c r="F130" s="37"/>
      <c r="G130" s="37"/>
      <c r="H130" s="37"/>
      <c r="I130" s="37" t="s">
        <v>102</v>
      </c>
      <c r="J130" s="37" t="s">
        <v>66</v>
      </c>
      <c r="K130" s="17" t="s">
        <v>49</v>
      </c>
      <c r="L130" s="82" t="s">
        <v>264</v>
      </c>
      <c r="M130" s="83">
        <v>100</v>
      </c>
      <c r="N130" s="42" t="s">
        <v>62</v>
      </c>
      <c r="O130" s="44"/>
      <c r="P130" s="44"/>
      <c r="Q130" s="45">
        <f t="shared" si="15"/>
        <v>0</v>
      </c>
      <c r="R130" s="46" t="e">
        <f>+Q130*#REF!</f>
        <v>#REF!</v>
      </c>
      <c r="S130" s="103"/>
      <c r="T130" s="103"/>
      <c r="U130" s="103"/>
      <c r="V130" s="55"/>
      <c r="W130" s="55"/>
      <c r="X130" s="55"/>
      <c r="Y130" s="55"/>
      <c r="Z130" s="61"/>
      <c r="AA130" s="62"/>
      <c r="AB130" s="58"/>
      <c r="AC130" s="61"/>
      <c r="AD130" s="62"/>
      <c r="AE130" s="58"/>
      <c r="AF130" s="61"/>
      <c r="AG130" s="62"/>
      <c r="AH130" s="58"/>
      <c r="AI130" s="61"/>
      <c r="AJ130" s="62"/>
      <c r="AK130" s="44"/>
      <c r="AL130" s="67"/>
      <c r="AM130" s="115"/>
      <c r="AN130" s="115"/>
      <c r="AO130" s="46"/>
      <c r="AR130" s="17"/>
      <c r="AS130" s="17"/>
      <c r="AT130" s="46"/>
      <c r="AU130" s="66"/>
      <c r="AV130" s="17"/>
      <c r="AW130" s="44"/>
    </row>
    <row r="131" spans="2:49">
      <c r="B131" s="37">
        <v>12</v>
      </c>
      <c r="C131" s="37" t="s">
        <v>265</v>
      </c>
      <c r="D131" s="85" t="s">
        <v>265</v>
      </c>
      <c r="E131" s="37" t="s">
        <v>266</v>
      </c>
      <c r="F131" s="37"/>
      <c r="G131" s="37"/>
      <c r="H131" s="37"/>
      <c r="I131" s="37" t="s">
        <v>48</v>
      </c>
      <c r="J131" s="37" t="s">
        <v>33</v>
      </c>
      <c r="K131" s="17" t="s">
        <v>34</v>
      </c>
      <c r="L131" s="40" t="s">
        <v>35</v>
      </c>
      <c r="M131" s="41">
        <v>5</v>
      </c>
      <c r="N131" s="116" t="s">
        <v>85</v>
      </c>
      <c r="O131" s="44"/>
      <c r="P131" s="44"/>
      <c r="Q131" s="45" t="e">
        <f>+U131+#REF!+AC131+AF131+AI131</f>
        <v>#REF!</v>
      </c>
      <c r="R131" s="46" t="e">
        <f>+Q131*#REF!</f>
        <v>#REF!</v>
      </c>
      <c r="S131" s="103"/>
      <c r="T131" s="103"/>
      <c r="U131" s="103"/>
      <c r="V131" s="55"/>
      <c r="W131" s="55"/>
      <c r="X131" s="55"/>
      <c r="Y131" s="55"/>
      <c r="Z131" s="61"/>
      <c r="AA131" s="61"/>
      <c r="AB131" s="62"/>
      <c r="AC131" s="58"/>
      <c r="AD131" s="62"/>
      <c r="AE131" s="62"/>
      <c r="AF131" s="58"/>
      <c r="AG131" s="62"/>
      <c r="AH131" s="62"/>
      <c r="AI131" s="44"/>
      <c r="AJ131" s="67"/>
      <c r="AK131" s="18"/>
      <c r="AL131" s="18"/>
      <c r="AM131" s="46"/>
      <c r="AP131" s="17"/>
      <c r="AQ131" s="17"/>
      <c r="AR131" s="46"/>
      <c r="AS131" s="66"/>
      <c r="AT131" s="17"/>
      <c r="AU131" s="44"/>
    </row>
    <row r="132" spans="2:49">
      <c r="B132" s="37">
        <v>33</v>
      </c>
      <c r="C132" s="37" t="s">
        <v>163</v>
      </c>
      <c r="D132" s="85" t="s">
        <v>63</v>
      </c>
      <c r="E132" s="37" t="s">
        <v>29</v>
      </c>
      <c r="F132" s="37" t="s">
        <v>267</v>
      </c>
      <c r="G132" s="39" t="s">
        <v>161</v>
      </c>
      <c r="H132" s="39" t="s">
        <v>162</v>
      </c>
      <c r="I132" s="37" t="s">
        <v>32</v>
      </c>
      <c r="J132" s="37" t="s">
        <v>66</v>
      </c>
      <c r="K132" s="76" t="s">
        <v>34</v>
      </c>
      <c r="L132" s="37" t="s">
        <v>164</v>
      </c>
      <c r="M132" s="77">
        <v>10</v>
      </c>
      <c r="N132" s="42" t="s">
        <v>154</v>
      </c>
      <c r="O132" s="44"/>
      <c r="P132" s="44"/>
      <c r="Q132" s="45" t="e">
        <f>+AH132+AE132+#REF!+#REF!+Y132+#REF!</f>
        <v>#REF!</v>
      </c>
      <c r="R132" s="46" t="e">
        <f>+Q132*#REF!</f>
        <v>#REF!</v>
      </c>
      <c r="S132" s="46"/>
      <c r="T132" s="46"/>
      <c r="U132" s="46"/>
      <c r="V132" s="55"/>
      <c r="W132" s="55"/>
      <c r="X132" s="55"/>
      <c r="Y132" s="55"/>
      <c r="Z132" s="61"/>
      <c r="AA132" s="61"/>
      <c r="AB132" s="62"/>
      <c r="AC132" s="61"/>
      <c r="AD132" s="62"/>
      <c r="AE132" s="60"/>
      <c r="AF132" s="61"/>
      <c r="AG132" s="62"/>
      <c r="AH132" s="63"/>
      <c r="AI132" s="66"/>
      <c r="AJ132" s="66"/>
      <c r="AK132" s="66"/>
      <c r="AL132" s="46"/>
      <c r="AO132" s="17"/>
      <c r="AP132" s="17"/>
      <c r="AQ132" s="46"/>
      <c r="AR132" s="66"/>
      <c r="AS132" s="17"/>
      <c r="AT132" s="44"/>
      <c r="AU132" s="5"/>
    </row>
    <row r="134" spans="2:49">
      <c r="V134" s="45"/>
      <c r="W134" s="45"/>
      <c r="X134" s="45"/>
      <c r="Y134" s="45"/>
    </row>
    <row r="136" spans="2:49">
      <c r="V136" s="44"/>
      <c r="W136" s="44"/>
      <c r="X136" s="44"/>
      <c r="Y136" s="44"/>
    </row>
    <row r="137" spans="2:49">
      <c r="V137" s="46"/>
      <c r="W137" s="46"/>
      <c r="X137" s="46"/>
      <c r="Y137" s="46"/>
    </row>
  </sheetData>
  <autoFilter ref="A3:BR115"/>
  <mergeCells count="5">
    <mergeCell ref="V119:Z119"/>
    <mergeCell ref="AA119:AC119"/>
    <mergeCell ref="V2:Z2"/>
    <mergeCell ref="AA2:AC2"/>
    <mergeCell ref="V71:Z71"/>
  </mergeCells>
  <hyperlinks>
    <hyperlink ref="G44" r:id="rId1"/>
    <hyperlink ref="G26" r:id="rId2"/>
    <hyperlink ref="H26" r:id="rId3"/>
    <hyperlink ref="G40" r:id="rId4"/>
    <hyperlink ref="G13" r:id="rId5"/>
    <hyperlink ref="H13" r:id="rId6"/>
    <hyperlink ref="G5" r:id="rId7"/>
    <hyperlink ref="G8" r:id="rId8"/>
    <hyperlink ref="H8" r:id="rId9"/>
    <hyperlink ref="G43" r:id="rId10"/>
    <hyperlink ref="H43" r:id="rId11"/>
    <hyperlink ref="G19" r:id="rId12"/>
    <hyperlink ref="H6" r:id="rId13"/>
    <hyperlink ref="G6" r:id="rId14"/>
    <hyperlink ref="G46" r:id="rId15"/>
    <hyperlink ref="G45" r:id="rId16"/>
    <hyperlink ref="G7" r:id="rId17"/>
    <hyperlink ref="G15" r:id="rId18"/>
    <hyperlink ref="G9" r:id="rId19"/>
    <hyperlink ref="H132" r:id="rId20"/>
    <hyperlink ref="G132" r:id="rId21"/>
    <hyperlink ref="G30" r:id="rId22"/>
    <hyperlink ref="H30" r:id="rId23"/>
    <hyperlink ref="G16" r:id="rId24"/>
    <hyperlink ref="H16" r:id="rId25"/>
    <hyperlink ref="G10" r:id="rId26"/>
    <hyperlink ref="H10" r:id="rId27"/>
    <hyperlink ref="G32" r:id="rId28"/>
    <hyperlink ref="G24" r:id="rId29"/>
    <hyperlink ref="H24" r:id="rId30"/>
    <hyperlink ref="G20" r:id="rId31"/>
    <hyperlink ref="G11" r:id="rId32"/>
    <hyperlink ref="G42" r:id="rId33"/>
    <hyperlink ref="G4" r:id="rId34"/>
    <hyperlink ref="G21" r:id="rId35"/>
    <hyperlink ref="H21" r:id="rId36"/>
    <hyperlink ref="G34" r:id="rId37"/>
    <hyperlink ref="H34" r:id="rId38"/>
    <hyperlink ref="G36" r:id="rId39"/>
    <hyperlink ref="G12" r:id="rId40"/>
    <hyperlink ref="G29" r:id="rId41"/>
    <hyperlink ref="G37" r:id="rId42"/>
    <hyperlink ref="G22" r:id="rId43"/>
    <hyperlink ref="G23" r:id="rId44"/>
    <hyperlink ref="G17" r:id="rId45"/>
  </hyperlinks>
  <pageMargins left="0.7" right="0.7" top="0.75" bottom="0.75" header="0.3" footer="0.3"/>
  <pageSetup paperSize="9" orientation="portrait" r:id="rId46"/>
  <legacyDrawing r:id="rId47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D14" sqref="D14"/>
    </sheetView>
  </sheetViews>
  <sheetFormatPr defaultColWidth="8.7109375" defaultRowHeight="15"/>
  <cols>
    <col min="1" max="1" width="16.42578125" style="1" bestFit="1" customWidth="1"/>
    <col min="2" max="2" width="13.7109375" style="1" bestFit="1" customWidth="1"/>
    <col min="3" max="3" width="12.85546875" style="1" bestFit="1" customWidth="1"/>
    <col min="4" max="4" width="11.28515625" style="1" bestFit="1" customWidth="1"/>
    <col min="5" max="5" width="11.42578125" style="1" bestFit="1" customWidth="1"/>
    <col min="6" max="6" width="8.7109375" style="1"/>
    <col min="7" max="7" width="11.42578125" style="1" bestFit="1" customWidth="1"/>
    <col min="8" max="8" width="25" style="1" bestFit="1" customWidth="1"/>
    <col min="9" max="16384" width="8.7109375" style="1"/>
  </cols>
  <sheetData>
    <row r="2" spans="1:9">
      <c r="A2" s="1" t="s">
        <v>320</v>
      </c>
      <c r="C2" s="2"/>
      <c r="D2" s="2"/>
      <c r="E2" s="2"/>
      <c r="F2" s="2"/>
    </row>
    <row r="3" spans="1:9">
      <c r="A3" s="1" t="s">
        <v>321</v>
      </c>
      <c r="C3" s="6"/>
      <c r="D3" s="2"/>
      <c r="E3" s="2"/>
      <c r="F3" s="2"/>
    </row>
    <row r="4" spans="1:9">
      <c r="A4" s="1" t="s">
        <v>360</v>
      </c>
      <c r="C4" s="2"/>
      <c r="D4" s="2"/>
      <c r="E4" s="2"/>
      <c r="F4" s="2"/>
      <c r="G4" s="2"/>
      <c r="H4" s="2"/>
      <c r="I4" s="2"/>
    </row>
    <row r="5" spans="1:9">
      <c r="A5" s="1" t="s">
        <v>322</v>
      </c>
      <c r="C5" s="2"/>
      <c r="D5" s="2"/>
      <c r="E5" s="2"/>
      <c r="F5" s="2"/>
      <c r="G5" s="2"/>
      <c r="H5" s="2"/>
      <c r="I5" s="2"/>
    </row>
    <row r="6" spans="1:9">
      <c r="C6" s="2"/>
      <c r="D6" s="2"/>
      <c r="E6" s="3"/>
      <c r="F6" s="2"/>
      <c r="G6" s="3"/>
      <c r="H6" s="2"/>
      <c r="I6" s="2"/>
    </row>
    <row r="7" spans="1:9">
      <c r="C7" s="2"/>
      <c r="D7" s="2"/>
      <c r="E7" s="2"/>
      <c r="F7" s="2"/>
      <c r="G7" s="2"/>
      <c r="H7" s="2"/>
      <c r="I7" s="2"/>
    </row>
    <row r="8" spans="1:9" ht="17.25">
      <c r="C8" s="2"/>
      <c r="D8" s="2"/>
      <c r="E8" s="2"/>
      <c r="F8" s="2"/>
      <c r="G8" s="4"/>
      <c r="H8" s="4"/>
    </row>
    <row r="9" spans="1:9">
      <c r="C9" s="2"/>
      <c r="D9" s="2"/>
      <c r="E9" s="2"/>
      <c r="F9" s="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Forecast 2015</vt:lpstr>
      <vt:lpstr>riconciliazione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GiancarloRusso</dc:creator>
  <cp:lastModifiedBy>Simonetta</cp:lastModifiedBy>
  <cp:lastPrinted>2014-01-31T14:24:57Z</cp:lastPrinted>
  <dcterms:created xsi:type="dcterms:W3CDTF">2013-12-10T17:26:27Z</dcterms:created>
  <dcterms:modified xsi:type="dcterms:W3CDTF">2015-03-12T09:08:43Z</dcterms:modified>
</cp:coreProperties>
</file>