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0730" windowHeight="4680" activeTab="2"/>
  </bookViews>
  <sheets>
    <sheet name="Sheet2" sheetId="5" r:id="rId1"/>
    <sheet name="Customers 2014 Split" sheetId="1" r:id="rId2"/>
    <sheet name="Forecast 2014" sheetId="4" r:id="rId3"/>
    <sheet name="riconciliazione" sheetId="3" r:id="rId4"/>
  </sheets>
  <definedNames>
    <definedName name="_xlnm._FilterDatabase" localSheetId="1" hidden="1">'Customers 2014 Split'!$A$3:$AZ$83</definedName>
    <definedName name="_xlnm._FilterDatabase" localSheetId="2" hidden="1">'Forecast 2014'!$A$3:$BU$107</definedName>
    <definedName name="amount">'Customers 2014 Split'!$X$39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Y36" i="4"/>
  <c r="X24"/>
  <c r="W90" l="1"/>
  <c r="O90" s="1"/>
  <c r="R90"/>
  <c r="W89"/>
  <c r="R89"/>
  <c r="O89"/>
  <c r="Z88"/>
  <c r="W88"/>
  <c r="R88"/>
  <c r="W103"/>
  <c r="O103" s="1"/>
  <c r="R103"/>
  <c r="W102"/>
  <c r="O102" s="1"/>
  <c r="R102"/>
  <c r="W101"/>
  <c r="O101" s="1"/>
  <c r="R101"/>
  <c r="R94"/>
  <c r="W100"/>
  <c r="O100" s="1"/>
  <c r="R100"/>
  <c r="W99"/>
  <c r="O99" s="1"/>
  <c r="R99"/>
  <c r="W98"/>
  <c r="O98" s="1"/>
  <c r="R98"/>
  <c r="Z97"/>
  <c r="W97"/>
  <c r="R97"/>
  <c r="W96"/>
  <c r="O96" s="1"/>
  <c r="R96"/>
  <c r="W95"/>
  <c r="O95" s="1"/>
  <c r="R95"/>
  <c r="Z94"/>
  <c r="W94"/>
  <c r="Z93"/>
  <c r="W93"/>
  <c r="R93"/>
  <c r="W92"/>
  <c r="O92" s="1"/>
  <c r="R92"/>
  <c r="W91"/>
  <c r="O91" s="1"/>
  <c r="R91"/>
  <c r="W87"/>
  <c r="O87" s="1"/>
  <c r="R87"/>
  <c r="W86"/>
  <c r="O86" s="1"/>
  <c r="R86"/>
  <c r="Z85"/>
  <c r="W85"/>
  <c r="R85"/>
  <c r="W84"/>
  <c r="O84" s="1"/>
  <c r="R84"/>
  <c r="W83"/>
  <c r="O83" s="1"/>
  <c r="R83"/>
  <c r="Z82"/>
  <c r="W82"/>
  <c r="Z81"/>
  <c r="W81"/>
  <c r="R81"/>
  <c r="W80"/>
  <c r="O80" s="1"/>
  <c r="R80"/>
  <c r="AW116"/>
  <c r="AI116"/>
  <c r="AF116"/>
  <c r="AC116"/>
  <c r="Z116"/>
  <c r="W116"/>
  <c r="R116"/>
  <c r="AW115"/>
  <c r="AI115"/>
  <c r="AF115"/>
  <c r="AC115"/>
  <c r="Z115"/>
  <c r="W115"/>
  <c r="AW114"/>
  <c r="AI114"/>
  <c r="AF114"/>
  <c r="AC114"/>
  <c r="Z114"/>
  <c r="W114"/>
  <c r="AW113"/>
  <c r="AI113"/>
  <c r="O113" s="1"/>
  <c r="P113" s="1"/>
  <c r="AF113"/>
  <c r="AC113"/>
  <c r="Z113"/>
  <c r="W113"/>
  <c r="AW112"/>
  <c r="AI112"/>
  <c r="AF112"/>
  <c r="AC112"/>
  <c r="Z112"/>
  <c r="W112"/>
  <c r="AW111"/>
  <c r="AI111"/>
  <c r="AF111"/>
  <c r="AC111"/>
  <c r="Z111"/>
  <c r="W111"/>
  <c r="AW110"/>
  <c r="AI110"/>
  <c r="AF110"/>
  <c r="AC110"/>
  <c r="O110" s="1"/>
  <c r="P110" s="1"/>
  <c r="Z110"/>
  <c r="W110"/>
  <c r="AH105"/>
  <c r="AE105"/>
  <c r="U105"/>
  <c r="T105"/>
  <c r="S105"/>
  <c r="Z104"/>
  <c r="W104"/>
  <c r="W79"/>
  <c r="O79" s="1"/>
  <c r="R79"/>
  <c r="W59"/>
  <c r="O59" s="1"/>
  <c r="R59"/>
  <c r="W78"/>
  <c r="O78" s="1"/>
  <c r="R78"/>
  <c r="Z77"/>
  <c r="W77"/>
  <c r="R77"/>
  <c r="W76"/>
  <c r="O76" s="1"/>
  <c r="R76"/>
  <c r="W75"/>
  <c r="O75" s="1"/>
  <c r="R75"/>
  <c r="Z74"/>
  <c r="W74"/>
  <c r="Z73"/>
  <c r="W73"/>
  <c r="R73"/>
  <c r="W72"/>
  <c r="O72" s="1"/>
  <c r="R72"/>
  <c r="Z71"/>
  <c r="W71"/>
  <c r="R71"/>
  <c r="W70"/>
  <c r="O70" s="1"/>
  <c r="Z69"/>
  <c r="W69"/>
  <c r="R69"/>
  <c r="W68"/>
  <c r="O68" s="1"/>
  <c r="R68"/>
  <c r="Z67"/>
  <c r="W67"/>
  <c r="R67"/>
  <c r="Z66"/>
  <c r="W66"/>
  <c r="R66"/>
  <c r="Z65"/>
  <c r="W65"/>
  <c r="R65"/>
  <c r="Z64"/>
  <c r="W64"/>
  <c r="R64"/>
  <c r="Z63"/>
  <c r="W63"/>
  <c r="R63"/>
  <c r="Z62"/>
  <c r="W62"/>
  <c r="R62"/>
  <c r="Z61"/>
  <c r="W61"/>
  <c r="R61"/>
  <c r="Z60"/>
  <c r="W60"/>
  <c r="R60"/>
  <c r="Z58"/>
  <c r="W58"/>
  <c r="R58"/>
  <c r="Z57"/>
  <c r="X57"/>
  <c r="W57" s="1"/>
  <c r="R57"/>
  <c r="AW56"/>
  <c r="AI56"/>
  <c r="AF56"/>
  <c r="AC56"/>
  <c r="Z56"/>
  <c r="X56"/>
  <c r="W56" s="1"/>
  <c r="R56"/>
  <c r="AU55"/>
  <c r="AW55" s="1"/>
  <c r="Z55"/>
  <c r="W55"/>
  <c r="R55"/>
  <c r="AA54"/>
  <c r="Z54" s="1"/>
  <c r="W54"/>
  <c r="R54"/>
  <c r="AW53"/>
  <c r="Z53"/>
  <c r="W53"/>
  <c r="R53"/>
  <c r="AW52"/>
  <c r="AI52"/>
  <c r="AF52"/>
  <c r="AC52"/>
  <c r="Z52"/>
  <c r="W52"/>
  <c r="R52"/>
  <c r="AW51"/>
  <c r="AI51"/>
  <c r="AF51"/>
  <c r="AC51"/>
  <c r="Z51"/>
  <c r="W51"/>
  <c r="R51"/>
  <c r="AI50"/>
  <c r="AF50"/>
  <c r="AC50"/>
  <c r="Z50"/>
  <c r="W50"/>
  <c r="R50"/>
  <c r="AW49"/>
  <c r="AI49"/>
  <c r="AF49"/>
  <c r="AC49"/>
  <c r="Z49"/>
  <c r="W49"/>
  <c r="R49"/>
  <c r="AW48"/>
  <c r="AU48"/>
  <c r="AI48"/>
  <c r="AF48"/>
  <c r="AC48"/>
  <c r="Z48"/>
  <c r="W48"/>
  <c r="R48"/>
  <c r="AW47"/>
  <c r="AI47"/>
  <c r="AF47"/>
  <c r="AC47"/>
  <c r="Z47"/>
  <c r="W47"/>
  <c r="R47"/>
  <c r="AW46"/>
  <c r="AI46"/>
  <c r="AF46"/>
  <c r="AC46"/>
  <c r="Z46"/>
  <c r="W46"/>
  <c r="R46"/>
  <c r="AW45"/>
  <c r="AI45"/>
  <c r="AF45"/>
  <c r="AC45"/>
  <c r="Z45"/>
  <c r="W45"/>
  <c r="R45"/>
  <c r="AW44"/>
  <c r="AI44"/>
  <c r="AF44"/>
  <c r="AC44"/>
  <c r="Z44"/>
  <c r="W44"/>
  <c r="R44"/>
  <c r="AI43"/>
  <c r="AF43"/>
  <c r="AC43"/>
  <c r="Z43"/>
  <c r="Y43"/>
  <c r="W43" s="1"/>
  <c r="R43"/>
  <c r="Q43"/>
  <c r="AW43" s="1"/>
  <c r="AW42"/>
  <c r="AI42"/>
  <c r="AF42"/>
  <c r="AC42"/>
  <c r="AA42"/>
  <c r="Z42" s="1"/>
  <c r="W42"/>
  <c r="R42"/>
  <c r="AW41"/>
  <c r="AI41"/>
  <c r="AF41"/>
  <c r="AC41"/>
  <c r="AA41"/>
  <c r="Z41" s="1"/>
  <c r="W41"/>
  <c r="R41"/>
  <c r="AI40"/>
  <c r="AF40"/>
  <c r="AC40"/>
  <c r="AB40"/>
  <c r="Z40" s="1"/>
  <c r="Y40"/>
  <c r="W40" s="1"/>
  <c r="R40"/>
  <c r="Q40"/>
  <c r="AW40" s="1"/>
  <c r="AW39"/>
  <c r="AI39"/>
  <c r="AF39"/>
  <c r="AC39"/>
  <c r="Z39"/>
  <c r="X39"/>
  <c r="W39" s="1"/>
  <c r="R39"/>
  <c r="AW38"/>
  <c r="AI38"/>
  <c r="AF38"/>
  <c r="AD38"/>
  <c r="AC38" s="1"/>
  <c r="Z38"/>
  <c r="W38"/>
  <c r="R38"/>
  <c r="AW37"/>
  <c r="AI37"/>
  <c r="AF37"/>
  <c r="AC37"/>
  <c r="AB37"/>
  <c r="Z37"/>
  <c r="Y37"/>
  <c r="W37" s="1"/>
  <c r="R37"/>
  <c r="AW36"/>
  <c r="AI36"/>
  <c r="AF36"/>
  <c r="AC36"/>
  <c r="Z36"/>
  <c r="X36"/>
  <c r="R36"/>
  <c r="AW35"/>
  <c r="AI35"/>
  <c r="AF35"/>
  <c r="AC35"/>
  <c r="Z35"/>
  <c r="W35"/>
  <c r="R35"/>
  <c r="AW34"/>
  <c r="AI34"/>
  <c r="AF34"/>
  <c r="AC34"/>
  <c r="Z34"/>
  <c r="W34"/>
  <c r="R34"/>
  <c r="AW33"/>
  <c r="AI33"/>
  <c r="AF33"/>
  <c r="AD33"/>
  <c r="AC33" s="1"/>
  <c r="Z33"/>
  <c r="W33"/>
  <c r="R33"/>
  <c r="AU32"/>
  <c r="AW32" s="1"/>
  <c r="AI32"/>
  <c r="AF32"/>
  <c r="AC32"/>
  <c r="AB32"/>
  <c r="Z32" s="1"/>
  <c r="W32"/>
  <c r="R32"/>
  <c r="AW31"/>
  <c r="AI31"/>
  <c r="AF31"/>
  <c r="AD31"/>
  <c r="AC31" s="1"/>
  <c r="Z31"/>
  <c r="W31"/>
  <c r="R31"/>
  <c r="AW30"/>
  <c r="AI30"/>
  <c r="AF30"/>
  <c r="AC30"/>
  <c r="Z30"/>
  <c r="W30"/>
  <c r="R30"/>
  <c r="AW29"/>
  <c r="AI29"/>
  <c r="AF29"/>
  <c r="AD29"/>
  <c r="AC29" s="1"/>
  <c r="AB29"/>
  <c r="Z29" s="1"/>
  <c r="Y29"/>
  <c r="W29" s="1"/>
  <c r="R29"/>
  <c r="AW28"/>
  <c r="AI28"/>
  <c r="AF28"/>
  <c r="AD28"/>
  <c r="AC28" s="1"/>
  <c r="Z28"/>
  <c r="W28"/>
  <c r="R28"/>
  <c r="AW27"/>
  <c r="AI27"/>
  <c r="AF27"/>
  <c r="AC27"/>
  <c r="Z27"/>
  <c r="W27"/>
  <c r="R27"/>
  <c r="AW26"/>
  <c r="AI26"/>
  <c r="AF26"/>
  <c r="AC26"/>
  <c r="Z26"/>
  <c r="W26"/>
  <c r="R26"/>
  <c r="AU25"/>
  <c r="AW25" s="1"/>
  <c r="AI25"/>
  <c r="AF25"/>
  <c r="AC25"/>
  <c r="Z25"/>
  <c r="W25"/>
  <c r="R25"/>
  <c r="AW24"/>
  <c r="AI24"/>
  <c r="AF24"/>
  <c r="AC24"/>
  <c r="Z24"/>
  <c r="W24"/>
  <c r="R24"/>
  <c r="AW23"/>
  <c r="AI23"/>
  <c r="AF23"/>
  <c r="AC23"/>
  <c r="Z23"/>
  <c r="W23"/>
  <c r="R23"/>
  <c r="AW22"/>
  <c r="AI22"/>
  <c r="AF22"/>
  <c r="AC22"/>
  <c r="Z22"/>
  <c r="W22"/>
  <c r="R22"/>
  <c r="AU21"/>
  <c r="AW21" s="1"/>
  <c r="AI21"/>
  <c r="AF21"/>
  <c r="AC21"/>
  <c r="Z21"/>
  <c r="W21"/>
  <c r="R21"/>
  <c r="AW20"/>
  <c r="AI20"/>
  <c r="AF20"/>
  <c r="AC20"/>
  <c r="Z20"/>
  <c r="W20"/>
  <c r="R20"/>
  <c r="AU19"/>
  <c r="AW19" s="1"/>
  <c r="AI19"/>
  <c r="AF19"/>
  <c r="AC19"/>
  <c r="Z19"/>
  <c r="W19"/>
  <c r="R19"/>
  <c r="AW18"/>
  <c r="AI18"/>
  <c r="AF18"/>
  <c r="AC18"/>
  <c r="Z18"/>
  <c r="W18"/>
  <c r="R18"/>
  <c r="AW17"/>
  <c r="AI17"/>
  <c r="AF17"/>
  <c r="AD17"/>
  <c r="AC17" s="1"/>
  <c r="AA17"/>
  <c r="Z17" s="1"/>
  <c r="W17"/>
  <c r="V17"/>
  <c r="R17" s="1"/>
  <c r="AW16"/>
  <c r="AU16"/>
  <c r="AI16"/>
  <c r="AF16"/>
  <c r="AC16"/>
  <c r="Z16"/>
  <c r="W16"/>
  <c r="R16"/>
  <c r="AW15"/>
  <c r="AI15"/>
  <c r="AF15"/>
  <c r="AD15"/>
  <c r="Z15"/>
  <c r="Y15"/>
  <c r="W15" s="1"/>
  <c r="R15"/>
  <c r="AW14"/>
  <c r="AI14"/>
  <c r="AF14"/>
  <c r="AC14"/>
  <c r="Z14"/>
  <c r="W14"/>
  <c r="R14"/>
  <c r="AW13"/>
  <c r="AJ13"/>
  <c r="AI13" s="1"/>
  <c r="AF13"/>
  <c r="AC13"/>
  <c r="Z13"/>
  <c r="W13"/>
  <c r="R13"/>
  <c r="AW12"/>
  <c r="AI12"/>
  <c r="AF12"/>
  <c r="AC12"/>
  <c r="Z12"/>
  <c r="W12"/>
  <c r="R12"/>
  <c r="AW11"/>
  <c r="AI11"/>
  <c r="AF11"/>
  <c r="AC11"/>
  <c r="Z11"/>
  <c r="Y11"/>
  <c r="W11" s="1"/>
  <c r="V11"/>
  <c r="R11" s="1"/>
  <c r="AW10"/>
  <c r="AJ10"/>
  <c r="AI10" s="1"/>
  <c r="AG10"/>
  <c r="AG105" s="1"/>
  <c r="AC10"/>
  <c r="AB10"/>
  <c r="Z10" s="1"/>
  <c r="W10"/>
  <c r="R10"/>
  <c r="AU9"/>
  <c r="AW9" s="1"/>
  <c r="AL9"/>
  <c r="AI9"/>
  <c r="AF9"/>
  <c r="AC9"/>
  <c r="Z9"/>
  <c r="W9"/>
  <c r="R9"/>
  <c r="AW8"/>
  <c r="AL8"/>
  <c r="AI8"/>
  <c r="AF8"/>
  <c r="AC8"/>
  <c r="AA8"/>
  <c r="Z8" s="1"/>
  <c r="W8"/>
  <c r="R8"/>
  <c r="AW7"/>
  <c r="AL7"/>
  <c r="AI7"/>
  <c r="AF7"/>
  <c r="AC7"/>
  <c r="Z7"/>
  <c r="W7"/>
  <c r="R7"/>
  <c r="AI6"/>
  <c r="AF6"/>
  <c r="AC6"/>
  <c r="AB6"/>
  <c r="Z6" s="1"/>
  <c r="Y6"/>
  <c r="W6" s="1"/>
  <c r="R6"/>
  <c r="Q6"/>
  <c r="AW6" s="1"/>
  <c r="AW5"/>
  <c r="AL5"/>
  <c r="AK5"/>
  <c r="AK105" s="1"/>
  <c r="AJ5"/>
  <c r="AF5"/>
  <c r="AC5"/>
  <c r="Z5"/>
  <c r="W5"/>
  <c r="R5"/>
  <c r="AI4"/>
  <c r="AF4"/>
  <c r="AC4"/>
  <c r="Z4"/>
  <c r="Y4"/>
  <c r="W4"/>
  <c r="R4"/>
  <c r="Q4"/>
  <c r="V11" i="1"/>
  <c r="Z45"/>
  <c r="O88" i="4" l="1"/>
  <c r="AD105"/>
  <c r="O53"/>
  <c r="P53" s="1"/>
  <c r="O49"/>
  <c r="P49" s="1"/>
  <c r="O69"/>
  <c r="O43"/>
  <c r="O48"/>
  <c r="O81"/>
  <c r="O57"/>
  <c r="O60"/>
  <c r="O64"/>
  <c r="O73"/>
  <c r="O61"/>
  <c r="O65"/>
  <c r="O71"/>
  <c r="O82"/>
  <c r="O85"/>
  <c r="O27"/>
  <c r="P27" s="1"/>
  <c r="O41"/>
  <c r="P41" s="1"/>
  <c r="O94"/>
  <c r="AI5"/>
  <c r="O5" s="1"/>
  <c r="P5" s="1"/>
  <c r="O18"/>
  <c r="P18" s="1"/>
  <c r="O35"/>
  <c r="P35" s="1"/>
  <c r="X105"/>
  <c r="O16"/>
  <c r="P16" s="1"/>
  <c r="O45"/>
  <c r="O58"/>
  <c r="O63"/>
  <c r="O67"/>
  <c r="O77"/>
  <c r="O93"/>
  <c r="O11"/>
  <c r="P11" s="1"/>
  <c r="Y105"/>
  <c r="AL105"/>
  <c r="O7"/>
  <c r="P7" s="1"/>
  <c r="O9"/>
  <c r="P9" s="1"/>
  <c r="O21"/>
  <c r="P21" s="1"/>
  <c r="O62"/>
  <c r="O66"/>
  <c r="O74"/>
  <c r="O114"/>
  <c r="P114" s="1"/>
  <c r="O115"/>
  <c r="P115" s="1"/>
  <c r="Q105"/>
  <c r="AC15"/>
  <c r="AC105" s="1"/>
  <c r="O26"/>
  <c r="P26" s="1"/>
  <c r="O28"/>
  <c r="P28" s="1"/>
  <c r="O31"/>
  <c r="P31" s="1"/>
  <c r="W36"/>
  <c r="O36" s="1"/>
  <c r="P36" s="1"/>
  <c r="O55"/>
  <c r="P55" s="1"/>
  <c r="O112"/>
  <c r="P112" s="1"/>
  <c r="O116"/>
  <c r="P116" s="1"/>
  <c r="O97"/>
  <c r="Z105"/>
  <c r="Z118" s="1"/>
  <c r="O23"/>
  <c r="P23" s="1"/>
  <c r="O25"/>
  <c r="P25" s="1"/>
  <c r="O39"/>
  <c r="P39" s="1"/>
  <c r="O46"/>
  <c r="O51"/>
  <c r="P51" s="1"/>
  <c r="O13"/>
  <c r="P13" s="1"/>
  <c r="O22"/>
  <c r="P22" s="1"/>
  <c r="O30"/>
  <c r="P30" s="1"/>
  <c r="O42"/>
  <c r="P42" s="1"/>
  <c r="O47"/>
  <c r="P47" s="1"/>
  <c r="O52"/>
  <c r="P52" s="1"/>
  <c r="O56"/>
  <c r="O104"/>
  <c r="O19"/>
  <c r="P19" s="1"/>
  <c r="O17"/>
  <c r="P17" s="1"/>
  <c r="O37"/>
  <c r="P37" s="1"/>
  <c r="O54"/>
  <c r="P54" s="1"/>
  <c r="R105"/>
  <c r="O6"/>
  <c r="P6" s="1"/>
  <c r="O12"/>
  <c r="P12" s="1"/>
  <c r="O14"/>
  <c r="P14" s="1"/>
  <c r="O20"/>
  <c r="P20" s="1"/>
  <c r="O24"/>
  <c r="P24" s="1"/>
  <c r="O34"/>
  <c r="P34" s="1"/>
  <c r="O38"/>
  <c r="P38" s="1"/>
  <c r="O44"/>
  <c r="P44" s="1"/>
  <c r="O50"/>
  <c r="P50" s="1"/>
  <c r="O111"/>
  <c r="P111" s="1"/>
  <c r="O29"/>
  <c r="P29" s="1"/>
  <c r="O40"/>
  <c r="P40" s="1"/>
  <c r="O32"/>
  <c r="P32" s="1"/>
  <c r="O33"/>
  <c r="P33" s="1"/>
  <c r="O8"/>
  <c r="P8" s="1"/>
  <c r="O4"/>
  <c r="P4" s="1"/>
  <c r="AB105"/>
  <c r="AJ105"/>
  <c r="AA105"/>
  <c r="V105"/>
  <c r="AW4"/>
  <c r="AF10"/>
  <c r="O10" s="1"/>
  <c r="P10" s="1"/>
  <c r="Z58" i="1"/>
  <c r="W58"/>
  <c r="R58"/>
  <c r="X56"/>
  <c r="Y40"/>
  <c r="Q40"/>
  <c r="Y37"/>
  <c r="Y11"/>
  <c r="V17"/>
  <c r="O15" i="4" l="1"/>
  <c r="P15" s="1"/>
  <c r="AI105"/>
  <c r="W105"/>
  <c r="AF105"/>
  <c r="O58" i="1"/>
  <c r="O105" i="4" l="1"/>
  <c r="X57" i="1"/>
  <c r="X39"/>
  <c r="Y43"/>
  <c r="Q43"/>
  <c r="Y29"/>
  <c r="Y15"/>
  <c r="Y36"/>
  <c r="X36"/>
  <c r="W79" l="1"/>
  <c r="O79" s="1"/>
  <c r="W78"/>
  <c r="O78" s="1"/>
  <c r="W77"/>
  <c r="O77" s="1"/>
  <c r="Z76"/>
  <c r="W76"/>
  <c r="W75"/>
  <c r="O75" s="1"/>
  <c r="W74"/>
  <c r="O74" s="1"/>
  <c r="Z73"/>
  <c r="W73"/>
  <c r="Z72"/>
  <c r="W72"/>
  <c r="W71"/>
  <c r="O71" s="1"/>
  <c r="Z70"/>
  <c r="W70"/>
  <c r="W69"/>
  <c r="O69" s="1"/>
  <c r="Z68"/>
  <c r="W68"/>
  <c r="W67"/>
  <c r="O67" s="1"/>
  <c r="Z66"/>
  <c r="W66"/>
  <c r="Z65"/>
  <c r="W65"/>
  <c r="Z64"/>
  <c r="W64"/>
  <c r="Z63"/>
  <c r="W63"/>
  <c r="Z62"/>
  <c r="W62"/>
  <c r="C9" i="5"/>
  <c r="W57" i="1"/>
  <c r="Z57"/>
  <c r="V81"/>
  <c r="C3" i="3"/>
  <c r="D5" s="1"/>
  <c r="Y6" i="1"/>
  <c r="Y81" s="1"/>
  <c r="W80"/>
  <c r="W61"/>
  <c r="W60"/>
  <c r="R36"/>
  <c r="W39"/>
  <c r="W43"/>
  <c r="W26"/>
  <c r="R17"/>
  <c r="R78"/>
  <c r="Q4"/>
  <c r="Q6"/>
  <c r="Q81" s="1"/>
  <c r="Y4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7"/>
  <c r="W28"/>
  <c r="W29"/>
  <c r="W92"/>
  <c r="W30"/>
  <c r="W31"/>
  <c r="W32"/>
  <c r="W33"/>
  <c r="W34"/>
  <c r="W35"/>
  <c r="W36"/>
  <c r="W37"/>
  <c r="W38"/>
  <c r="AB40"/>
  <c r="W41"/>
  <c r="W42"/>
  <c r="W44"/>
  <c r="W45"/>
  <c r="W46"/>
  <c r="W47"/>
  <c r="W48"/>
  <c r="W49"/>
  <c r="W50"/>
  <c r="W51"/>
  <c r="W52"/>
  <c r="W53"/>
  <c r="W54"/>
  <c r="W55"/>
  <c r="W56"/>
  <c r="W59"/>
  <c r="R74"/>
  <c r="R77"/>
  <c r="R75"/>
  <c r="R76"/>
  <c r="R67"/>
  <c r="R70"/>
  <c r="R71"/>
  <c r="R45"/>
  <c r="AA54"/>
  <c r="AA42"/>
  <c r="Z42" s="1"/>
  <c r="AA41"/>
  <c r="AH81"/>
  <c r="AE81"/>
  <c r="U81"/>
  <c r="T81"/>
  <c r="S81"/>
  <c r="R79"/>
  <c r="R72"/>
  <c r="R68"/>
  <c r="R66"/>
  <c r="R57"/>
  <c r="R65"/>
  <c r="R64"/>
  <c r="R63"/>
  <c r="R62"/>
  <c r="R61"/>
  <c r="R60"/>
  <c r="R59"/>
  <c r="R56"/>
  <c r="R55"/>
  <c r="R54"/>
  <c r="R53"/>
  <c r="R52"/>
  <c r="R51"/>
  <c r="R50"/>
  <c r="R49"/>
  <c r="R48"/>
  <c r="R47"/>
  <c r="R46"/>
  <c r="R44"/>
  <c r="R43"/>
  <c r="R42"/>
  <c r="R41"/>
  <c r="R40"/>
  <c r="R39"/>
  <c r="R38"/>
  <c r="R37"/>
  <c r="R35"/>
  <c r="R34"/>
  <c r="R33"/>
  <c r="R32"/>
  <c r="R31"/>
  <c r="R30"/>
  <c r="R92"/>
  <c r="R29"/>
  <c r="R28"/>
  <c r="R27"/>
  <c r="R26"/>
  <c r="R25"/>
  <c r="R24"/>
  <c r="R23"/>
  <c r="R22"/>
  <c r="R21"/>
  <c r="R20"/>
  <c r="R19"/>
  <c r="R18"/>
  <c r="R16"/>
  <c r="R15"/>
  <c r="R14"/>
  <c r="R13"/>
  <c r="R12"/>
  <c r="R11"/>
  <c r="R10"/>
  <c r="R9"/>
  <c r="R8"/>
  <c r="R7"/>
  <c r="R6"/>
  <c r="R5"/>
  <c r="R4"/>
  <c r="Z80"/>
  <c r="AA8"/>
  <c r="Z61"/>
  <c r="Z60"/>
  <c r="Z55"/>
  <c r="Z53"/>
  <c r="Z52"/>
  <c r="Z51"/>
  <c r="Z50"/>
  <c r="Z49"/>
  <c r="Z48"/>
  <c r="Z47"/>
  <c r="Z46"/>
  <c r="Z44"/>
  <c r="Z43"/>
  <c r="Z39"/>
  <c r="Z38"/>
  <c r="Z36"/>
  <c r="Z35"/>
  <c r="Z34"/>
  <c r="Z33"/>
  <c r="Z31"/>
  <c r="Z30"/>
  <c r="Z92"/>
  <c r="Z28"/>
  <c r="Z27"/>
  <c r="Z26"/>
  <c r="Z25"/>
  <c r="Z24"/>
  <c r="Z23"/>
  <c r="Z22"/>
  <c r="Z21"/>
  <c r="Z20"/>
  <c r="Z19"/>
  <c r="Z18"/>
  <c r="Z16"/>
  <c r="Z15"/>
  <c r="Z14"/>
  <c r="Z13"/>
  <c r="Z12"/>
  <c r="Z11"/>
  <c r="Z54"/>
  <c r="AB29"/>
  <c r="Z29"/>
  <c r="AA17"/>
  <c r="Z17"/>
  <c r="AB6"/>
  <c r="Z40"/>
  <c r="Z41"/>
  <c r="AB32"/>
  <c r="Z32" s="1"/>
  <c r="Z59"/>
  <c r="AB10"/>
  <c r="Z10"/>
  <c r="AB37"/>
  <c r="Z37"/>
  <c r="Z91"/>
  <c r="Z90"/>
  <c r="Z89"/>
  <c r="Z88"/>
  <c r="Z87"/>
  <c r="Z86"/>
  <c r="Z56"/>
  <c r="Z9"/>
  <c r="Z7"/>
  <c r="Z5"/>
  <c r="Z4"/>
  <c r="AI52"/>
  <c r="AF52"/>
  <c r="AC52"/>
  <c r="AW46"/>
  <c r="AW49"/>
  <c r="AI51"/>
  <c r="AF51"/>
  <c r="AC51"/>
  <c r="AW45"/>
  <c r="W91"/>
  <c r="W90"/>
  <c r="W89"/>
  <c r="W88"/>
  <c r="W87"/>
  <c r="W86"/>
  <c r="AI91"/>
  <c r="AF91"/>
  <c r="AC91"/>
  <c r="O91"/>
  <c r="P91" s="1"/>
  <c r="AW91"/>
  <c r="AI90"/>
  <c r="AF90"/>
  <c r="O90" s="1"/>
  <c r="P90" s="1"/>
  <c r="AC90"/>
  <c r="AW90"/>
  <c r="AI89"/>
  <c r="AF89"/>
  <c r="AC89"/>
  <c r="AW89"/>
  <c r="AI27"/>
  <c r="AF27"/>
  <c r="AC27"/>
  <c r="AW14"/>
  <c r="AI88"/>
  <c r="AF88"/>
  <c r="AC88"/>
  <c r="O88"/>
  <c r="P88" s="1"/>
  <c r="AW88"/>
  <c r="AI87"/>
  <c r="AF87"/>
  <c r="O87" s="1"/>
  <c r="P87" s="1"/>
  <c r="AC87"/>
  <c r="AW87"/>
  <c r="AI86"/>
  <c r="AF86"/>
  <c r="AC86"/>
  <c r="O86"/>
  <c r="P86" s="1"/>
  <c r="AW86"/>
  <c r="AI56"/>
  <c r="AF56"/>
  <c r="AC56"/>
  <c r="AI50"/>
  <c r="AF50"/>
  <c r="AC50"/>
  <c r="AW43"/>
  <c r="AI49"/>
  <c r="AF49"/>
  <c r="AC49"/>
  <c r="AW39"/>
  <c r="AI48"/>
  <c r="AF48"/>
  <c r="AC48"/>
  <c r="AU25"/>
  <c r="AW25"/>
  <c r="AI47"/>
  <c r="AF47"/>
  <c r="AC47"/>
  <c r="AU21"/>
  <c r="AW21"/>
  <c r="AI46"/>
  <c r="AF46"/>
  <c r="AC46"/>
  <c r="AU19"/>
  <c r="AW19"/>
  <c r="AI45"/>
  <c r="AF45"/>
  <c r="AC45"/>
  <c r="AU16"/>
  <c r="AI44"/>
  <c r="AF44"/>
  <c r="AC44"/>
  <c r="AU55"/>
  <c r="AW55" s="1"/>
  <c r="AI43"/>
  <c r="AF43"/>
  <c r="AC43"/>
  <c r="AU48"/>
  <c r="AW48"/>
  <c r="AI42"/>
  <c r="AF42"/>
  <c r="AC42"/>
  <c r="AI41"/>
  <c r="AF41"/>
  <c r="AC41"/>
  <c r="AI40"/>
  <c r="AF40"/>
  <c r="AC40"/>
  <c r="AI39"/>
  <c r="AF39"/>
  <c r="AC39"/>
  <c r="AW37"/>
  <c r="AI38"/>
  <c r="AF38"/>
  <c r="AD38"/>
  <c r="AC38"/>
  <c r="AW31"/>
  <c r="AI37"/>
  <c r="AF37"/>
  <c r="AC37"/>
  <c r="AI36"/>
  <c r="AF36"/>
  <c r="AC36"/>
  <c r="AW6"/>
  <c r="AI35"/>
  <c r="AF35"/>
  <c r="AC35"/>
  <c r="AW53"/>
  <c r="AI34"/>
  <c r="AF34"/>
  <c r="AC34"/>
  <c r="AW41"/>
  <c r="AI33"/>
  <c r="AF33"/>
  <c r="AD33"/>
  <c r="AC33"/>
  <c r="AI32"/>
  <c r="AF32"/>
  <c r="AC32"/>
  <c r="AI31"/>
  <c r="AF31"/>
  <c r="AD31"/>
  <c r="AC31"/>
  <c r="AW33"/>
  <c r="AU32"/>
  <c r="AW32" s="1"/>
  <c r="AI30"/>
  <c r="AF30"/>
  <c r="AC30"/>
  <c r="AI92"/>
  <c r="AF92"/>
  <c r="AC92"/>
  <c r="AW22"/>
  <c r="AI29"/>
  <c r="AF29"/>
  <c r="AD29"/>
  <c r="AC29"/>
  <c r="AI28"/>
  <c r="AF28"/>
  <c r="AD28"/>
  <c r="AC28"/>
  <c r="AW18"/>
  <c r="AI26"/>
  <c r="AF26"/>
  <c r="AC26"/>
  <c r="AW8"/>
  <c r="AI25"/>
  <c r="AF25"/>
  <c r="AC25"/>
  <c r="AW52"/>
  <c r="AI24"/>
  <c r="AF24"/>
  <c r="AC24"/>
  <c r="AW44"/>
  <c r="AI23"/>
  <c r="AF23"/>
  <c r="AC23"/>
  <c r="AW40"/>
  <c r="AI22"/>
  <c r="AF22"/>
  <c r="AC22"/>
  <c r="AW36"/>
  <c r="AI21"/>
  <c r="AF21"/>
  <c r="AC21"/>
  <c r="AW28"/>
  <c r="AI20"/>
  <c r="AF20"/>
  <c r="AC20"/>
  <c r="AW26"/>
  <c r="AI19"/>
  <c r="AF19"/>
  <c r="AC19"/>
  <c r="AW24"/>
  <c r="AI18"/>
  <c r="AF18"/>
  <c r="AC18"/>
  <c r="AW23"/>
  <c r="AI17"/>
  <c r="AF17"/>
  <c r="AD17"/>
  <c r="AC17" s="1"/>
  <c r="AW17"/>
  <c r="AI16"/>
  <c r="AF16"/>
  <c r="AC16"/>
  <c r="AW12"/>
  <c r="AI15"/>
  <c r="AF15"/>
  <c r="AD15"/>
  <c r="AI14"/>
  <c r="AF14"/>
  <c r="AC14"/>
  <c r="AW51"/>
  <c r="AJ13"/>
  <c r="AI13"/>
  <c r="AF13"/>
  <c r="AC13"/>
  <c r="AI12"/>
  <c r="AF12"/>
  <c r="AC12"/>
  <c r="AW30"/>
  <c r="AI11"/>
  <c r="AF11"/>
  <c r="AC11"/>
  <c r="AJ10"/>
  <c r="AI10" s="1"/>
  <c r="AG10"/>
  <c r="AG81" s="1"/>
  <c r="AF10"/>
  <c r="AC10"/>
  <c r="AW29"/>
  <c r="AL9"/>
  <c r="AI9"/>
  <c r="AF9"/>
  <c r="AC9"/>
  <c r="AL8"/>
  <c r="AI8"/>
  <c r="AF8"/>
  <c r="AC8"/>
  <c r="AL7"/>
  <c r="AI7"/>
  <c r="AF7"/>
  <c r="AC7"/>
  <c r="AU9"/>
  <c r="AW9" s="1"/>
  <c r="AI6"/>
  <c r="AF6"/>
  <c r="AC6"/>
  <c r="AL5"/>
  <c r="AL81" s="1"/>
  <c r="AK5"/>
  <c r="AK81"/>
  <c r="AJ5"/>
  <c r="AI5" s="1"/>
  <c r="AF5"/>
  <c r="AC5"/>
  <c r="AW5"/>
  <c r="AI4"/>
  <c r="AF4"/>
  <c r="AC4"/>
  <c r="AC15"/>
  <c r="AW13"/>
  <c r="AW56"/>
  <c r="AW11"/>
  <c r="AW38"/>
  <c r="AW7"/>
  <c r="AW15"/>
  <c r="AW16"/>
  <c r="AW92"/>
  <c r="AW27"/>
  <c r="AW4"/>
  <c r="AW34"/>
  <c r="AW10"/>
  <c r="AW47"/>
  <c r="AW20"/>
  <c r="AW42"/>
  <c r="AW35"/>
  <c r="O89"/>
  <c r="P89"/>
  <c r="AB81"/>
  <c r="Z8"/>
  <c r="Z6"/>
  <c r="O92"/>
  <c r="P92"/>
  <c r="X81"/>
  <c r="AJ81"/>
  <c r="AA81"/>
  <c r="AD81" l="1"/>
  <c r="O60"/>
  <c r="O65"/>
  <c r="O70"/>
  <c r="O18"/>
  <c r="P18" s="1"/>
  <c r="O72"/>
  <c r="O61"/>
  <c r="O64"/>
  <c r="O7"/>
  <c r="P7" s="1"/>
  <c r="O24"/>
  <c r="P24" s="1"/>
  <c r="O53"/>
  <c r="P53" s="1"/>
  <c r="W40"/>
  <c r="O40" s="1"/>
  <c r="P40" s="1"/>
  <c r="O15"/>
  <c r="P15" s="1"/>
  <c r="O42"/>
  <c r="P42" s="1"/>
  <c r="O68"/>
  <c r="AF81"/>
  <c r="O6"/>
  <c r="P6" s="1"/>
  <c r="O10"/>
  <c r="P10" s="1"/>
  <c r="O11"/>
  <c r="P11" s="1"/>
  <c r="O12"/>
  <c r="P12" s="1"/>
  <c r="O13"/>
  <c r="P13" s="1"/>
  <c r="O14"/>
  <c r="P14" s="1"/>
  <c r="O16"/>
  <c r="P16" s="1"/>
  <c r="O19"/>
  <c r="P19" s="1"/>
  <c r="O20"/>
  <c r="P20" s="1"/>
  <c r="O21"/>
  <c r="P21" s="1"/>
  <c r="O22"/>
  <c r="P22" s="1"/>
  <c r="O23"/>
  <c r="P23" s="1"/>
  <c r="O25"/>
  <c r="P25" s="1"/>
  <c r="O26"/>
  <c r="P26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8"/>
  <c r="P38" s="1"/>
  <c r="O39"/>
  <c r="P39" s="1"/>
  <c r="O41"/>
  <c r="P41" s="1"/>
  <c r="O43"/>
  <c r="O46"/>
  <c r="O47"/>
  <c r="P47" s="1"/>
  <c r="O48"/>
  <c r="O49"/>
  <c r="P49" s="1"/>
  <c r="O50"/>
  <c r="P50" s="1"/>
  <c r="O56"/>
  <c r="O51"/>
  <c r="P51" s="1"/>
  <c r="O52"/>
  <c r="P52" s="1"/>
  <c r="O54"/>
  <c r="P54" s="1"/>
  <c r="O27"/>
  <c r="P27" s="1"/>
  <c r="O9"/>
  <c r="P9" s="1"/>
  <c r="O44"/>
  <c r="P44" s="1"/>
  <c r="O55"/>
  <c r="P55" s="1"/>
  <c r="O80"/>
  <c r="R81"/>
  <c r="O59"/>
  <c r="W81"/>
  <c r="C2" i="3" s="1"/>
  <c r="O76" i="1"/>
  <c r="Z81"/>
  <c r="Z94" s="1"/>
  <c r="O57"/>
  <c r="O66"/>
  <c r="O62"/>
  <c r="AI81"/>
  <c r="O17"/>
  <c r="P17" s="1"/>
  <c r="O37"/>
  <c r="P37" s="1"/>
  <c r="O45"/>
  <c r="O8"/>
  <c r="P8" s="1"/>
  <c r="O4"/>
  <c r="P4" s="1"/>
  <c r="O5"/>
  <c r="P5" s="1"/>
  <c r="O63"/>
  <c r="O73"/>
  <c r="AC81"/>
  <c r="O81" l="1"/>
</calcChain>
</file>

<file path=xl/comments1.xml><?xml version="1.0" encoding="utf-8"?>
<comments xmlns="http://schemas.openxmlformats.org/spreadsheetml/2006/main">
  <authors>
    <author>Giancarlo</author>
    <author>Simonetta</author>
    <author>Author</author>
  </authors>
  <commentList>
    <comment ref="Y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(21000+750*2)
dariconti 2013 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dal 2014 incluso Al Fahad 
</t>
        </r>
      </text>
    </comment>
    <comment ref="AB11" authorId="1">
      <text>
        <r>
          <rPr>
            <sz val="9"/>
            <color indexed="81"/>
            <rFont val="Tahoma"/>
            <family val="2"/>
          </rPr>
          <t xml:space="preserve">Nel 2013 era fattura da emettere)
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+15019,56 nel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5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29286 da 2013, 22167 fa 2014</t>
        </r>
      </text>
    </comment>
    <comment ref="V17" authorId="1">
      <text>
        <r>
          <rPr>
            <b/>
            <sz val="12"/>
            <color indexed="81"/>
            <rFont val="Tahoma"/>
            <family val="2"/>
          </rPr>
          <t xml:space="preserve">
novembre</t>
        </r>
      </text>
    </comment>
    <comment ref="U19" authorId="1">
      <text>
        <r>
          <rPr>
            <b/>
            <sz val="9"/>
            <color indexed="81"/>
            <rFont val="Tahoma"/>
            <family val="2"/>
          </rPr>
          <t xml:space="preserve">6 mesi 2014 6 2015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1" authorId="1">
      <text>
        <r>
          <rPr>
            <sz val="9"/>
            <color indexed="81"/>
            <rFont val="Tahoma"/>
            <family val="2"/>
          </rPr>
          <t xml:space="preserve">7 mesi 2014 
</t>
        </r>
      </text>
    </comment>
    <comment ref="U24" authorId="1">
      <text>
        <r>
          <rPr>
            <b/>
            <sz val="12"/>
            <color indexed="81"/>
            <rFont val="Tahoma"/>
            <family val="2"/>
          </rPr>
          <t>60k M 4 mesi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9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15.833 da 2013, 25.000 da 2014</t>
        </r>
      </text>
    </comment>
    <comment ref="U46" authorId="1">
      <text>
        <r>
          <rPr>
            <b/>
            <sz val="9"/>
            <color indexed="81"/>
            <rFont val="Tahoma"/>
            <family val="2"/>
          </rPr>
          <t>7 mesi</t>
        </r>
      </text>
    </comment>
    <comment ref="Q50" authorId="2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Inserire rateo 2016
</t>
        </r>
      </text>
    </comment>
  </commentList>
</comments>
</file>

<file path=xl/comments2.xml><?xml version="1.0" encoding="utf-8"?>
<comments xmlns="http://schemas.openxmlformats.org/spreadsheetml/2006/main">
  <authors>
    <author>Giancarlo</author>
    <author>Simonetta</author>
    <author>Author</author>
  </authors>
  <commentList>
    <comment ref="Y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(21000+750*2)
dariconti 2013 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dal 2014 incluso Al Fahad 
</t>
        </r>
      </text>
    </comment>
    <comment ref="AB11" authorId="1">
      <text>
        <r>
          <rPr>
            <sz val="9"/>
            <color indexed="81"/>
            <rFont val="Tahoma"/>
            <family val="2"/>
          </rPr>
          <t xml:space="preserve">Nel 2013 era fattura da emettere)
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+15019,56 nel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5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29286 da 2013, 22167 fa 2014</t>
        </r>
      </text>
    </comment>
    <comment ref="V17" authorId="1">
      <text>
        <r>
          <rPr>
            <b/>
            <sz val="12"/>
            <color indexed="81"/>
            <rFont val="Tahoma"/>
            <family val="2"/>
          </rPr>
          <t xml:space="preserve">
novembre</t>
        </r>
      </text>
    </comment>
    <comment ref="V21" authorId="1">
      <text>
        <r>
          <rPr>
            <sz val="9"/>
            <color indexed="81"/>
            <rFont val="Tahoma"/>
            <family val="2"/>
          </rPr>
          <t xml:space="preserve">7 mesi 2014 
</t>
        </r>
      </text>
    </comment>
    <comment ref="V24" authorId="1">
      <text>
        <r>
          <rPr>
            <b/>
            <sz val="12"/>
            <color indexed="81"/>
            <rFont val="Tahoma"/>
            <family val="2"/>
          </rPr>
          <t>60k M 4 mesi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9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15.833 da 2013, 25.000 da 2014</t>
        </r>
      </text>
    </comment>
    <comment ref="V46" authorId="1">
      <text>
        <r>
          <rPr>
            <b/>
            <sz val="9"/>
            <color indexed="81"/>
            <rFont val="Tahoma"/>
            <family val="2"/>
          </rPr>
          <t>7 mesi</t>
        </r>
      </text>
    </comment>
    <comment ref="Q50" authorId="2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Inserire rateo 2016
</t>
        </r>
      </text>
    </comment>
  </commentList>
</comments>
</file>

<file path=xl/comments3.xml><?xml version="1.0" encoding="utf-8"?>
<comments xmlns="http://schemas.openxmlformats.org/spreadsheetml/2006/main">
  <authors>
    <author>Simonetta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+ 175 fatture da emettere</t>
        </r>
      </text>
    </comment>
  </commentList>
</comments>
</file>

<file path=xl/sharedStrings.xml><?xml version="1.0" encoding="utf-8"?>
<sst xmlns="http://schemas.openxmlformats.org/spreadsheetml/2006/main" count="1858" uniqueCount="431">
  <si>
    <t>#</t>
  </si>
  <si>
    <t>Customer</t>
  </si>
  <si>
    <t>Country</t>
  </si>
  <si>
    <t>Mail Contact</t>
  </si>
  <si>
    <t>Mail Contact 2</t>
  </si>
  <si>
    <t>Code</t>
  </si>
  <si>
    <t>Area</t>
  </si>
  <si>
    <t>Agency</t>
  </si>
  <si>
    <t>Channel or Direct</t>
  </si>
  <si>
    <r>
      <t xml:space="preserve">Partner  / </t>
    </r>
    <r>
      <rPr>
        <b/>
        <i/>
        <u/>
        <sz val="12"/>
        <color theme="1"/>
        <rFont val="Calibri"/>
        <family val="2"/>
        <scheme val="minor"/>
      </rPr>
      <t>Fulfillment Vehicle</t>
    </r>
  </si>
  <si>
    <t>Total # Targets</t>
  </si>
  <si>
    <r>
      <t xml:space="preserve">Year Bought First </t>
    </r>
    <r>
      <rPr>
        <b/>
        <i/>
        <u/>
        <sz val="12"/>
        <color theme="1"/>
        <rFont val="Calibri"/>
        <family val="2"/>
        <scheme val="minor"/>
      </rPr>
      <t>RCS</t>
    </r>
  </si>
  <si>
    <t>Total 
Client Revenues</t>
  </si>
  <si>
    <t>Total</t>
  </si>
  <si>
    <t>License/ Upgrades</t>
  </si>
  <si>
    <t>Maintenance</t>
  </si>
  <si>
    <t>Revenues 
ante 2010</t>
  </si>
  <si>
    <t>Maintenance 
paid till</t>
  </si>
  <si>
    <t>Annual Maitenance fee</t>
  </si>
  <si>
    <t>Exploit</t>
  </si>
  <si>
    <t>Note</t>
  </si>
  <si>
    <t xml:space="preserve">EULA </t>
  </si>
  <si>
    <t>DAP</t>
  </si>
  <si>
    <t>PO / Agreement</t>
  </si>
  <si>
    <t>Invoices</t>
  </si>
  <si>
    <t>importo fattura</t>
  </si>
  <si>
    <t>importo risconto</t>
  </si>
  <si>
    <t>delta</t>
  </si>
  <si>
    <t>other</t>
  </si>
  <si>
    <t>Polizia Postale</t>
  </si>
  <si>
    <t>Italy</t>
  </si>
  <si>
    <t>simone.tacconi@interno.it</t>
  </si>
  <si>
    <t>PP</t>
  </si>
  <si>
    <t>Europe</t>
  </si>
  <si>
    <t>LEA</t>
  </si>
  <si>
    <t>Direct</t>
  </si>
  <si>
    <t>-</t>
  </si>
  <si>
    <t>unlimited</t>
  </si>
  <si>
    <t>2004</t>
  </si>
  <si>
    <t>risconto</t>
  </si>
  <si>
    <t>CNI</t>
  </si>
  <si>
    <t>Spain</t>
  </si>
  <si>
    <t>netsec@areatec.com</t>
  </si>
  <si>
    <t>Intelligence</t>
  </si>
  <si>
    <t>2006</t>
  </si>
  <si>
    <t>IDA SGP</t>
  </si>
  <si>
    <t>Singapore</t>
  </si>
  <si>
    <t>angsk@pcs-security.com</t>
  </si>
  <si>
    <t>stewart_yong@pcs-security.com</t>
  </si>
  <si>
    <t>IDA</t>
  </si>
  <si>
    <t>APAC</t>
  </si>
  <si>
    <t xml:space="preserve">Direct </t>
  </si>
  <si>
    <t>PCS</t>
  </si>
  <si>
    <t>2008</t>
  </si>
  <si>
    <t>Yes</t>
  </si>
  <si>
    <t>ft 13/2013 e ft 32/2013</t>
  </si>
  <si>
    <t>Information Office</t>
  </si>
  <si>
    <t>Hungary</t>
  </si>
  <si>
    <t>dankovicsjanos@gmail.com</t>
  </si>
  <si>
    <t>MKIH</t>
  </si>
  <si>
    <t>CSDN</t>
  </si>
  <si>
    <t>Morocco</t>
  </si>
  <si>
    <t>Adib_samir@hotmail.com</t>
  </si>
  <si>
    <t>tskalli@hotmail.com</t>
  </si>
  <si>
    <t>MEA</t>
  </si>
  <si>
    <t>2009</t>
  </si>
  <si>
    <t>ft 11/2013</t>
  </si>
  <si>
    <t>Italy - DA - Rental</t>
  </si>
  <si>
    <t>macsalva@tin.it</t>
  </si>
  <si>
    <t>CSH</t>
  </si>
  <si>
    <t>Other</t>
  </si>
  <si>
    <t>C.S.H.</t>
  </si>
  <si>
    <t>MACC</t>
  </si>
  <si>
    <t>Malaysia</t>
  </si>
  <si>
    <t>zuriana@miliserv.com.my</t>
  </si>
  <si>
    <t>kamarulzamani@miliserv.com</t>
  </si>
  <si>
    <t xml:space="preserve">Channel </t>
  </si>
  <si>
    <t>Miliserv</t>
  </si>
  <si>
    <t>ft 19/2013</t>
  </si>
  <si>
    <t>PCM</t>
  </si>
  <si>
    <t>mauro.sorrento@gmail.it</t>
  </si>
  <si>
    <t>PCIT</t>
  </si>
  <si>
    <t>unlimited (partially)</t>
  </si>
  <si>
    <t>SSNS - Ungheria</t>
  </si>
  <si>
    <t>balogh.peter@nbsz.gov.hu</t>
  </si>
  <si>
    <t>SSNS</t>
  </si>
  <si>
    <t>ft 1/2013</t>
  </si>
  <si>
    <t>CC - Italy</t>
  </si>
  <si>
    <t>gabrieliraf@gmail.com</t>
  </si>
  <si>
    <t>andrea.raffaelli@carabinieri.it</t>
  </si>
  <si>
    <t>ROS</t>
  </si>
  <si>
    <t>2010</t>
  </si>
  <si>
    <t>ft 23/2013</t>
  </si>
  <si>
    <t>GIP Saudi</t>
  </si>
  <si>
    <t>Saudi</t>
  </si>
  <si>
    <t>albwardy@gmail.com</t>
  </si>
  <si>
    <t>GIP</t>
  </si>
  <si>
    <t>AECOM/Net. Rev.</t>
  </si>
  <si>
    <t>ft 3/2013</t>
  </si>
  <si>
    <t>IR Authorities (Condor)</t>
  </si>
  <si>
    <t>Luxemburg</t>
  </si>
  <si>
    <t>sith@lea-consult.de</t>
  </si>
  <si>
    <t>INTECH-CONDOR</t>
  </si>
  <si>
    <t>Channel</t>
  </si>
  <si>
    <t>Intech</t>
  </si>
  <si>
    <t>ft 28/2013</t>
  </si>
  <si>
    <t>La Dependencia y/o Cisen</t>
  </si>
  <si>
    <t>Mexico</t>
  </si>
  <si>
    <t>areyes@entermas.net</t>
  </si>
  <si>
    <t>rvillegas@entermas.net</t>
  </si>
  <si>
    <t>SEGOB</t>
  </si>
  <si>
    <t>LATAM</t>
  </si>
  <si>
    <t xml:space="preserve">UZC </t>
  </si>
  <si>
    <t xml:space="preserve">Czech Rep. </t>
  </si>
  <si>
    <t>Tomas.Hlavsa@bull.cz</t>
  </si>
  <si>
    <t>UZC</t>
  </si>
  <si>
    <t>Bull</t>
  </si>
  <si>
    <t>Egypt - MOD</t>
  </si>
  <si>
    <t>Egypt</t>
  </si>
  <si>
    <t>Mohamed.Moniem@gnsegroup.com</t>
  </si>
  <si>
    <t>GNSE</t>
  </si>
  <si>
    <t>GNSE Egypt</t>
  </si>
  <si>
    <t>2011</t>
  </si>
  <si>
    <t>FBI</t>
  </si>
  <si>
    <t>USA</t>
  </si>
  <si>
    <t>one.lal2010@gmail.com</t>
  </si>
  <si>
    <t>PHOEBE 1phoebe-01, -02, -03, Test</t>
  </si>
  <si>
    <t>North America</t>
  </si>
  <si>
    <t xml:space="preserve">CICOM USA </t>
  </si>
  <si>
    <t>Oman - Intelligence</t>
  </si>
  <si>
    <t>Oman</t>
  </si>
  <si>
    <t>almuatasim.albahri@gmail.com</t>
  </si>
  <si>
    <t>ORF</t>
  </si>
  <si>
    <t>Excellence Tech</t>
  </si>
  <si>
    <t xml:space="preserve">President Security </t>
  </si>
  <si>
    <t>Panama</t>
  </si>
  <si>
    <t>hardila@robotec.com</t>
  </si>
  <si>
    <t>teofilo@solucionesdetecnologia.com</t>
  </si>
  <si>
    <t>PANP</t>
  </si>
  <si>
    <t>Robotec / Theola</t>
  </si>
  <si>
    <t>ft 26/2013</t>
  </si>
  <si>
    <t>Turkish National Police</t>
  </si>
  <si>
    <t>Turkey</t>
  </si>
  <si>
    <t>akocak005@gmail.com</t>
  </si>
  <si>
    <t>TNP</t>
  </si>
  <si>
    <t>UAE - MOI</t>
  </si>
  <si>
    <t>UAE</t>
  </si>
  <si>
    <t>mbaier@cyberpointllc.com</t>
  </si>
  <si>
    <t>MOI</t>
  </si>
  <si>
    <t>Cyberpoint International</t>
  </si>
  <si>
    <t>NSS</t>
  </si>
  <si>
    <t>Uzbekistan</t>
  </si>
  <si>
    <t>i.eugene@itt.uz</t>
  </si>
  <si>
    <t>dbi@itt.uz</t>
  </si>
  <si>
    <t>Channel - NICE</t>
  </si>
  <si>
    <t xml:space="preserve">NICE </t>
  </si>
  <si>
    <t>DOD</t>
  </si>
  <si>
    <t>not operating</t>
  </si>
  <si>
    <t>Bayelsa State Government</t>
  </si>
  <si>
    <t>Nigeria</t>
  </si>
  <si>
    <t>thorbruegge@yahoo.com</t>
  </si>
  <si>
    <t>hanan@skylinksltd.com</t>
  </si>
  <si>
    <t>BSGO</t>
  </si>
  <si>
    <t>V&amp;V Nigeria</t>
  </si>
  <si>
    <t>2012</t>
  </si>
  <si>
    <t>Information Network Security Agency</t>
  </si>
  <si>
    <t>Ethiopia</t>
  </si>
  <si>
    <t>biniamtewolde@yahoo.com</t>
  </si>
  <si>
    <t>INSA</t>
  </si>
  <si>
    <t>State security (Falcon)</t>
  </si>
  <si>
    <t>INTECH-FALCON</t>
  </si>
  <si>
    <t>ft 30/2013</t>
  </si>
  <si>
    <t>Simone.Cazzanti@rcslab.it</t>
  </si>
  <si>
    <t>duilio.bianchi@rcslab.it</t>
  </si>
  <si>
    <t>RCSSPA</t>
  </si>
  <si>
    <t>RCS Sistemi</t>
  </si>
  <si>
    <t>No</t>
  </si>
  <si>
    <t>ferdinando.dalessandro@siospa.it</t>
  </si>
  <si>
    <t>vittorio.nardone@siospa.it</t>
  </si>
  <si>
    <t>SIO</t>
  </si>
  <si>
    <t>SIO SPA</t>
  </si>
  <si>
    <t>ft 14/2013 e ft 33/2013</t>
  </si>
  <si>
    <t>MAL - MI</t>
  </si>
  <si>
    <t>MYMI</t>
  </si>
  <si>
    <t>Charmco</t>
  </si>
  <si>
    <t>Morocco - DST</t>
  </si>
  <si>
    <t>Faical.Tanarhte@fssys.ma</t>
  </si>
  <si>
    <t>AlFahad</t>
  </si>
  <si>
    <t xml:space="preserve">Al Fahad </t>
  </si>
  <si>
    <t>NISS - National Intelligence and Security Services</t>
  </si>
  <si>
    <t>Sudan</t>
  </si>
  <si>
    <t>NISS01-02</t>
  </si>
  <si>
    <t>Russia - KVANT</t>
  </si>
  <si>
    <t>Russia</t>
  </si>
  <si>
    <t>kachalin@advancedmonitoring.ru</t>
  </si>
  <si>
    <t>KachalinAI@infotecs.ru</t>
  </si>
  <si>
    <t>KVANT</t>
  </si>
  <si>
    <t>Infotecs</t>
  </si>
  <si>
    <t>Saudi  - GID</t>
  </si>
  <si>
    <t>TCC-GID</t>
  </si>
  <si>
    <t>TCC</t>
  </si>
  <si>
    <t>SIS of NSC</t>
  </si>
  <si>
    <t>Kazakistan</t>
  </si>
  <si>
    <t>askar.nurgazinov@gmail.com</t>
  </si>
  <si>
    <t>KNB</t>
  </si>
  <si>
    <t>The 5163 Army Division</t>
  </si>
  <si>
    <t>S. Korea</t>
  </si>
  <si>
    <t>devilangel1004@gmail.com</t>
  </si>
  <si>
    <t>SKA</t>
  </si>
  <si>
    <t>Nanatech</t>
  </si>
  <si>
    <t xml:space="preserve">ft 7/2013 </t>
  </si>
  <si>
    <t>UAE - Intelligence</t>
  </si>
  <si>
    <t>UAEAF</t>
  </si>
  <si>
    <t>Mauqah Technology</t>
  </si>
  <si>
    <t>DEA</t>
  </si>
  <si>
    <t>KATIE-1</t>
  </si>
  <si>
    <t>CBA Poland</t>
  </si>
  <si>
    <t>Poland</t>
  </si>
  <si>
    <t>cba170@cba.gov.pl</t>
  </si>
  <si>
    <t>CBA</t>
  </si>
  <si>
    <t>ft 31/2013</t>
  </si>
  <si>
    <t>MOD Saudi</t>
  </si>
  <si>
    <t>Al Yamamah Engineering Systems Solutions</t>
  </si>
  <si>
    <t>2013</t>
  </si>
  <si>
    <t>PMO</t>
  </si>
  <si>
    <t>iskandar9116@gmail.com</t>
  </si>
  <si>
    <t>OK 10/02/2013</t>
  </si>
  <si>
    <t>DAP 29/3/2013</t>
  </si>
  <si>
    <t>Miliserv PO + GTC + Feb 1st 2013</t>
  </si>
  <si>
    <t>n. 04/2013 + 016/2013</t>
  </si>
  <si>
    <t>Estado de Qeretaro</t>
  </si>
  <si>
    <t>jaime@tevatec.com</t>
  </si>
  <si>
    <t>edgar@tevatec.com</t>
  </si>
  <si>
    <t>EDQ</t>
  </si>
  <si>
    <t>TEVA</t>
  </si>
  <si>
    <t>ft 2/2013 e ft 8/2013</t>
  </si>
  <si>
    <t>Azerbajan NS</t>
  </si>
  <si>
    <t>Adjerbaijan NSS</t>
  </si>
  <si>
    <t>testwizard003@gmail.com</t>
  </si>
  <si>
    <t>AZSN</t>
  </si>
  <si>
    <t>NICE / Horizon</t>
  </si>
  <si>
    <t>ft 15/2013 e ft 25/2013</t>
  </si>
  <si>
    <t>Governo de Puebla</t>
  </si>
  <si>
    <t>soporteuiamx@gmail.com</t>
  </si>
  <si>
    <t>GEDP</t>
  </si>
  <si>
    <t>SYM SERVICIOS INTEGRALES, S.A. DE C.V.</t>
  </si>
  <si>
    <t>ft 18/2013 e ft 29/2013</t>
  </si>
  <si>
    <t>Governo de Campeche</t>
  </si>
  <si>
    <t>comunicacionesmx2013@gmail.com</t>
  </si>
  <si>
    <t>SDUC</t>
  </si>
  <si>
    <t>ft 21/2013 e ft 27/2013</t>
  </si>
  <si>
    <t>AC Mongolia</t>
  </si>
  <si>
    <t>Mongolia</t>
  </si>
  <si>
    <t xml:space="preserve">ulziibadrakh@iaac.mn khembayar@iaac.mn    </t>
  </si>
  <si>
    <t xml:space="preserve">     davaa.shurik@gmail.com
erkhemee.iooii@gmail.com </t>
  </si>
  <si>
    <t>MOACA</t>
  </si>
  <si>
    <t>OK 10/04/2013</t>
  </si>
  <si>
    <t>OK 03/06/2013 
Missing Stamp</t>
  </si>
  <si>
    <t>n. 17/2013+ 24/2013</t>
  </si>
  <si>
    <t xml:space="preserve">Dept. of Correction Thai Police </t>
  </si>
  <si>
    <t>Thailand</t>
  </si>
  <si>
    <t>THDOC</t>
  </si>
  <si>
    <t>NICE / IT Absolute Company Limited</t>
  </si>
  <si>
    <t>ft 22/2013</t>
  </si>
  <si>
    <t>SENAIN</t>
  </si>
  <si>
    <t>Ecuador</t>
  </si>
  <si>
    <t>DIPOL</t>
  </si>
  <si>
    <t>Colombia</t>
  </si>
  <si>
    <t xml:space="preserve">Robotec </t>
  </si>
  <si>
    <t>Guardia di Finanza</t>
  </si>
  <si>
    <t>Policia Federal Mexico</t>
  </si>
  <si>
    <t>PF MEX</t>
  </si>
  <si>
    <t>DTXT</t>
  </si>
  <si>
    <t>sosp.</t>
  </si>
  <si>
    <t>Resi Informatica</t>
  </si>
  <si>
    <t>Tunisia</t>
  </si>
  <si>
    <t>ATI</t>
  </si>
  <si>
    <t>Resi/ IPS</t>
  </si>
  <si>
    <t xml:space="preserve">Navy </t>
  </si>
  <si>
    <t>MXNV</t>
  </si>
  <si>
    <t>KBH</t>
  </si>
  <si>
    <t>Estado del Mexico</t>
  </si>
  <si>
    <t>PGJ MEX</t>
  </si>
  <si>
    <t>Policia Federal</t>
  </si>
  <si>
    <t>PN</t>
  </si>
  <si>
    <t>CICOM ES</t>
  </si>
  <si>
    <t>tbd</t>
  </si>
  <si>
    <t>CUSAEM</t>
  </si>
  <si>
    <t>AFP</t>
  </si>
  <si>
    <t>Australia</t>
  </si>
  <si>
    <t>Bettini</t>
  </si>
  <si>
    <t>Velasco</t>
  </si>
  <si>
    <t>Maanna</t>
  </si>
  <si>
    <t>Maglietta</t>
  </si>
  <si>
    <t>Luppi</t>
  </si>
  <si>
    <t>YES Solution</t>
  </si>
  <si>
    <t>Delafile</t>
  </si>
  <si>
    <t>Honduras</t>
  </si>
  <si>
    <t xml:space="preserve">Mexico </t>
  </si>
  <si>
    <t xml:space="preserve">LEA </t>
  </si>
  <si>
    <t>Mexico - pemx</t>
  </si>
  <si>
    <t>Malysia K</t>
  </si>
  <si>
    <t>Bahrein</t>
  </si>
  <si>
    <t>Midworld pro</t>
  </si>
  <si>
    <t xml:space="preserve">Intelligence </t>
  </si>
  <si>
    <t>Cyprus</t>
  </si>
  <si>
    <t>risconto da anno precedente</t>
  </si>
  <si>
    <t>Midworld Barhein</t>
  </si>
  <si>
    <t>Guatemala</t>
  </si>
  <si>
    <t>MOI Guatemala</t>
  </si>
  <si>
    <t>NICE</t>
  </si>
  <si>
    <t>CNI / CNI-old, Prod, Test</t>
  </si>
  <si>
    <t>Messico SEDENA</t>
  </si>
  <si>
    <t>Messico PF</t>
  </si>
  <si>
    <t xml:space="preserve"> $</t>
  </si>
  <si>
    <t>da fatturare (al 31.12.2013)</t>
  </si>
  <si>
    <t>2014 Total</t>
  </si>
  <si>
    <t>2014 
License/ Upgrades</t>
  </si>
  <si>
    <t>2014 
Maintenance</t>
  </si>
  <si>
    <t>2013 
License/ Upgrades</t>
  </si>
  <si>
    <t>2013 
Maintenance</t>
  </si>
  <si>
    <t>2012 Total</t>
  </si>
  <si>
    <t>2012 
License/ Upgrades</t>
  </si>
  <si>
    <t>2012 
Maintenance</t>
  </si>
  <si>
    <t>2011 Total</t>
  </si>
  <si>
    <t>2011 
License/ Upgrades</t>
  </si>
  <si>
    <t>2011 
Maintenance</t>
  </si>
  <si>
    <t>2010 Total</t>
  </si>
  <si>
    <t>2010 
License/ Upgrades</t>
  </si>
  <si>
    <t>2010 
Maintenance</t>
  </si>
  <si>
    <t>2014 
expected</t>
  </si>
  <si>
    <t>2013 Total</t>
  </si>
  <si>
    <t>Svizzera</t>
  </si>
  <si>
    <t>Turk 2</t>
  </si>
  <si>
    <t>Dubai</t>
  </si>
  <si>
    <t>2014</t>
  </si>
  <si>
    <t>KAM</t>
  </si>
  <si>
    <t xml:space="preserve">Saudi GDTA </t>
  </si>
  <si>
    <t>Malyisia Cybersec</t>
  </si>
  <si>
    <t>Shehata</t>
  </si>
  <si>
    <t xml:space="preserve">Ukraine </t>
  </si>
  <si>
    <t>Israel Lasagna</t>
  </si>
  <si>
    <t>Tender UK London Police</t>
  </si>
  <si>
    <t>Croazia</t>
  </si>
  <si>
    <t>Q1</t>
  </si>
  <si>
    <t>Q2</t>
  </si>
  <si>
    <t>Q3</t>
  </si>
  <si>
    <t>Q4</t>
  </si>
  <si>
    <t>Croatia</t>
  </si>
  <si>
    <t>Guerrero Messico</t>
  </si>
  <si>
    <t>Forecast</t>
  </si>
  <si>
    <t>Se rinnovo Exploit OK</t>
  </si>
  <si>
    <t>Attesa rinnovo</t>
  </si>
  <si>
    <t>Yes (parziale)</t>
  </si>
  <si>
    <t>verifichiamo con rinnovo</t>
  </si>
  <si>
    <t>Switzerland</t>
  </si>
  <si>
    <t>Ukraine</t>
  </si>
  <si>
    <t>Israel</t>
  </si>
  <si>
    <t>Uk</t>
  </si>
  <si>
    <t>MDNP</t>
  </si>
  <si>
    <t>CIS</t>
  </si>
  <si>
    <t>SCICO</t>
  </si>
  <si>
    <t>MOD</t>
  </si>
  <si>
    <t>BHR</t>
  </si>
  <si>
    <t>Egitto  A6</t>
  </si>
  <si>
    <t>Egitto GNSE</t>
  </si>
  <si>
    <t>Lituania Criminal Police</t>
  </si>
  <si>
    <t>Lituania</t>
  </si>
  <si>
    <t>A6</t>
  </si>
  <si>
    <t>Saudi - YES Solution</t>
  </si>
  <si>
    <t>Polizia RJ</t>
  </si>
  <si>
    <t>Brazil</t>
  </si>
  <si>
    <t>Colombia DIPON Puma</t>
  </si>
  <si>
    <t>Nice</t>
  </si>
  <si>
    <t>9ISP</t>
  </si>
  <si>
    <t>Chihuahua Messico</t>
  </si>
  <si>
    <t>Grego</t>
  </si>
  <si>
    <t>Neolinx</t>
  </si>
  <si>
    <t xml:space="preserve">AREA </t>
  </si>
  <si>
    <t>Italia</t>
  </si>
  <si>
    <t>AREA</t>
  </si>
  <si>
    <t>Fatture anni precedenti</t>
  </si>
  <si>
    <t>da fatturare</t>
  </si>
  <si>
    <t>Confirmed</t>
  </si>
  <si>
    <t>Ricavi da sell recap</t>
  </si>
  <si>
    <t>Riapertura Risconti</t>
  </si>
  <si>
    <t>Fatturato 2014</t>
  </si>
  <si>
    <t>di cui competenza 2014</t>
  </si>
  <si>
    <t>Mex Taumalipas</t>
  </si>
  <si>
    <t>Grand Total</t>
  </si>
  <si>
    <t>Active Customer</t>
  </si>
  <si>
    <t xml:space="preserve"> </t>
  </si>
  <si>
    <t>Susp. Customer</t>
  </si>
  <si>
    <t>Upgrade 9.2</t>
  </si>
  <si>
    <t>Sec. De Planeacion y Finanzas</t>
  </si>
  <si>
    <t>SEPYF</t>
  </si>
  <si>
    <t>Elite by Carga</t>
  </si>
  <si>
    <t>Saudi GD Public Security</t>
  </si>
  <si>
    <t>Lituania Anticorruption</t>
  </si>
  <si>
    <t>Kuwait Cybercrime</t>
  </si>
  <si>
    <t>Kuwait</t>
  </si>
  <si>
    <t>Gendarmerie Maroc</t>
  </si>
  <si>
    <t>Libano</t>
  </si>
  <si>
    <t>MOD Intelligence</t>
  </si>
  <si>
    <t>Czech UZC</t>
  </si>
  <si>
    <t>NSA Barhain</t>
  </si>
  <si>
    <t>Barhain</t>
  </si>
  <si>
    <t>Moldova</t>
  </si>
  <si>
    <t>Malaysia K</t>
  </si>
  <si>
    <t>Vietnam GD5</t>
  </si>
  <si>
    <t>Vietnam</t>
  </si>
  <si>
    <t>Vietnam GD1</t>
  </si>
  <si>
    <t>India Intelligence Bureau</t>
  </si>
  <si>
    <t>India</t>
  </si>
  <si>
    <t>AFSC Thailand</t>
  </si>
  <si>
    <t>Singapore Police Forces</t>
  </si>
  <si>
    <t>Singapore MNDEF</t>
  </si>
  <si>
    <t>Zacatecas Mexico</t>
  </si>
  <si>
    <t>Jalisco Mexico</t>
  </si>
  <si>
    <t>DIE Chile</t>
  </si>
  <si>
    <t>Chile</t>
  </si>
  <si>
    <t>PEMEX</t>
  </si>
  <si>
    <t>ZONE</t>
  </si>
  <si>
    <t>Mexico Durango</t>
  </si>
  <si>
    <t>Mexico Yucatan</t>
  </si>
  <si>
    <t>Abu Dhabi Police</t>
  </si>
  <si>
    <t>Intech K</t>
  </si>
  <si>
    <t>Germany</t>
  </si>
  <si>
    <t>Maglieta</t>
  </si>
  <si>
    <t>Signal Intelligence  India</t>
  </si>
  <si>
    <t xml:space="preserve">Royal Thai Police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</si>
</sst>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[$-409]mmm\-yy;@"/>
    <numFmt numFmtId="167" formatCode="#,##0_ ;\-#,##0\ 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sz val="12"/>
      <color rgb="FF00B05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1"/>
      <name val="Tahoma"/>
      <family val="2"/>
    </font>
    <font>
      <sz val="12"/>
      <color rgb="FF00B0F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4"/>
      <name val="Calibri"/>
      <family val="2"/>
      <scheme val="minor"/>
    </font>
    <font>
      <b/>
      <u/>
      <sz val="15"/>
      <color theme="6" tint="-0.249977111117893"/>
      <name val="Calibri"/>
      <family val="2"/>
      <scheme val="minor"/>
    </font>
    <font>
      <b/>
      <u/>
      <sz val="12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i/>
      <sz val="12"/>
      <color theme="6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4" fillId="0" borderId="0"/>
    <xf numFmtId="43" fontId="9" fillId="0" borderId="0" applyFont="0" applyFill="0" applyBorder="0" applyAlignment="0" applyProtection="0"/>
    <xf numFmtId="43" fontId="14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/>
  </cellStyleXfs>
  <cellXfs count="154">
    <xf numFmtId="0" fontId="0" fillId="0" borderId="0" xfId="0"/>
    <xf numFmtId="0" fontId="4" fillId="2" borderId="0" xfId="0" applyFont="1" applyFill="1" applyBorder="1" applyAlignment="1">
      <alignment wrapText="1"/>
    </xf>
    <xf numFmtId="164" fontId="4" fillId="2" borderId="0" xfId="1" applyNumberFormat="1" applyFont="1" applyFill="1" applyBorder="1" applyAlignment="1">
      <alignment wrapText="1"/>
    </xf>
    <xf numFmtId="0" fontId="4" fillId="2" borderId="0" xfId="6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164" fontId="2" fillId="2" borderId="0" xfId="1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wrapText="1"/>
    </xf>
    <xf numFmtId="0" fontId="0" fillId="2" borderId="0" xfId="0" applyFill="1"/>
    <xf numFmtId="164" fontId="0" fillId="2" borderId="0" xfId="1" applyNumberFormat="1" applyFont="1" applyFill="1"/>
    <xf numFmtId="164" fontId="22" fillId="2" borderId="0" xfId="1" applyNumberFormat="1" applyFont="1" applyFill="1"/>
    <xf numFmtId="164" fontId="23" fillId="2" borderId="0" xfId="1" applyNumberFormat="1" applyFont="1" applyFill="1"/>
    <xf numFmtId="164" fontId="4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 wrapText="1"/>
    </xf>
    <xf numFmtId="165" fontId="2" fillId="2" borderId="0" xfId="4" quotePrefix="1" applyNumberFormat="1" applyFont="1" applyFill="1" applyBorder="1" applyAlignment="1">
      <alignment horizontal="center" wrapText="1"/>
    </xf>
    <xf numFmtId="164" fontId="12" fillId="2" borderId="0" xfId="0" applyNumberFormat="1" applyFont="1" applyFill="1" applyBorder="1" applyAlignment="1">
      <alignment wrapText="1"/>
    </xf>
    <xf numFmtId="164" fontId="13" fillId="2" borderId="0" xfId="0" applyNumberFormat="1" applyFont="1" applyFill="1" applyBorder="1" applyAlignment="1">
      <alignment wrapText="1"/>
    </xf>
    <xf numFmtId="164" fontId="4" fillId="2" borderId="0" xfId="1" quotePrefix="1" applyNumberFormat="1" applyFont="1" applyFill="1" applyBorder="1" applyAlignment="1">
      <alignment horizontal="center" wrapText="1"/>
    </xf>
    <xf numFmtId="164" fontId="2" fillId="2" borderId="0" xfId="1" quotePrefix="1" applyNumberFormat="1" applyFont="1" applyFill="1" applyBorder="1" applyAlignment="1">
      <alignment horizontal="center" wrapText="1"/>
    </xf>
    <xf numFmtId="164" fontId="13" fillId="2" borderId="0" xfId="1" quotePrefix="1" applyNumberFormat="1" applyFont="1" applyFill="1" applyBorder="1" applyAlignment="1">
      <alignment horizontal="center" wrapText="1"/>
    </xf>
    <xf numFmtId="0" fontId="15" fillId="2" borderId="0" xfId="6" applyFont="1" applyFill="1" applyBorder="1" applyAlignment="1">
      <alignment wrapText="1"/>
    </xf>
    <xf numFmtId="164" fontId="3" fillId="2" borderId="0" xfId="1" quotePrefix="1" applyNumberFormat="1" applyFont="1" applyFill="1" applyBorder="1" applyAlignment="1">
      <alignment horizontal="center" wrapText="1"/>
    </xf>
    <xf numFmtId="164" fontId="26" fillId="2" borderId="0" xfId="0" applyNumberFormat="1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12" fillId="2" borderId="7" xfId="1" quotePrefix="1" applyNumberFormat="1" applyFont="1" applyFill="1" applyBorder="1" applyAlignment="1">
      <alignment horizontal="center" wrapText="1"/>
    </xf>
    <xf numFmtId="164" fontId="12" fillId="2" borderId="8" xfId="1" quotePrefix="1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0" fontId="26" fillId="2" borderId="0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9" fontId="2" fillId="2" borderId="0" xfId="2" applyFont="1" applyFill="1" applyBorder="1" applyAlignment="1">
      <alignment wrapText="1"/>
    </xf>
    <xf numFmtId="165" fontId="4" fillId="2" borderId="0" xfId="4" quotePrefix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164" fontId="12" fillId="2" borderId="7" xfId="1" quotePrefix="1" applyNumberFormat="1" applyFont="1" applyFill="1" applyBorder="1" applyAlignment="1">
      <alignment horizontal="center" vertical="center" wrapText="1"/>
    </xf>
    <xf numFmtId="164" fontId="12" fillId="2" borderId="8" xfId="1" quotePrefix="1" applyNumberFormat="1" applyFont="1" applyFill="1" applyBorder="1" applyAlignment="1">
      <alignment horizontal="center" vertical="center" wrapText="1"/>
    </xf>
    <xf numFmtId="164" fontId="2" fillId="2" borderId="5" xfId="1" quotePrefix="1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wrapText="1"/>
    </xf>
    <xf numFmtId="0" fontId="11" fillId="2" borderId="0" xfId="5" applyFont="1" applyFill="1" applyBorder="1" applyAlignment="1">
      <alignment wrapText="1"/>
    </xf>
    <xf numFmtId="0" fontId="27" fillId="2" borderId="0" xfId="3" applyFont="1" applyFill="1" applyBorder="1" applyAlignment="1">
      <alignment wrapText="1"/>
    </xf>
    <xf numFmtId="0" fontId="27" fillId="2" borderId="0" xfId="4" applyFont="1" applyFill="1" applyBorder="1" applyAlignment="1">
      <alignment wrapText="1"/>
    </xf>
    <xf numFmtId="164" fontId="26" fillId="2" borderId="5" xfId="1" applyNumberFormat="1" applyFont="1" applyFill="1" applyBorder="1" applyAlignment="1">
      <alignment horizontal="center" wrapText="1"/>
    </xf>
    <xf numFmtId="164" fontId="3" fillId="2" borderId="5" xfId="1" applyNumberFormat="1" applyFont="1" applyFill="1" applyBorder="1" applyAlignment="1">
      <alignment horizontal="center" wrapText="1"/>
    </xf>
    <xf numFmtId="164" fontId="13" fillId="2" borderId="0" xfId="1" applyNumberFormat="1" applyFont="1" applyFill="1" applyBorder="1" applyAlignment="1">
      <alignment horizontal="center" wrapText="1"/>
    </xf>
    <xf numFmtId="166" fontId="27" fillId="2" borderId="0" xfId="1" applyNumberFormat="1" applyFont="1" applyFill="1" applyBorder="1" applyAlignment="1">
      <alignment wrapText="1"/>
    </xf>
    <xf numFmtId="164" fontId="27" fillId="2" borderId="0" xfId="1" applyNumberFormat="1" applyFont="1" applyFill="1" applyBorder="1" applyAlignment="1">
      <alignment wrapText="1"/>
    </xf>
    <xf numFmtId="164" fontId="27" fillId="2" borderId="5" xfId="1" applyNumberFormat="1" applyFont="1" applyFill="1" applyBorder="1" applyAlignment="1">
      <alignment horizontal="center" wrapText="1"/>
    </xf>
    <xf numFmtId="166" fontId="4" fillId="2" borderId="0" xfId="1" applyNumberFormat="1" applyFont="1" applyFill="1" applyBorder="1" applyAlignment="1">
      <alignment wrapText="1"/>
    </xf>
    <xf numFmtId="0" fontId="28" fillId="2" borderId="0" xfId="3" applyFont="1" applyFill="1" applyBorder="1" applyAlignment="1">
      <alignment wrapText="1"/>
    </xf>
    <xf numFmtId="0" fontId="28" fillId="2" borderId="0" xfId="3" applyFont="1" applyFill="1" applyBorder="1" applyAlignment="1">
      <alignment vertical="center" wrapText="1"/>
    </xf>
    <xf numFmtId="164" fontId="13" fillId="2" borderId="5" xfId="1" applyNumberFormat="1" applyFont="1" applyFill="1" applyBorder="1" applyAlignment="1">
      <alignment horizontal="center" wrapText="1"/>
    </xf>
    <xf numFmtId="164" fontId="26" fillId="2" borderId="0" xfId="1" applyNumberFormat="1" applyFont="1" applyFill="1" applyBorder="1" applyAlignment="1">
      <alignment horizontal="center" wrapText="1"/>
    </xf>
    <xf numFmtId="0" fontId="4" fillId="2" borderId="0" xfId="3" applyFont="1" applyFill="1" applyBorder="1" applyAlignment="1">
      <alignment wrapText="1"/>
    </xf>
    <xf numFmtId="0" fontId="27" fillId="2" borderId="0" xfId="3" applyFont="1" applyFill="1" applyBorder="1" applyAlignment="1">
      <alignment vertical="center" wrapText="1"/>
    </xf>
    <xf numFmtId="0" fontId="27" fillId="2" borderId="0" xfId="4" applyFont="1" applyFill="1" applyBorder="1" applyAlignment="1">
      <alignment vertical="center" wrapText="1"/>
    </xf>
    <xf numFmtId="0" fontId="28" fillId="2" borderId="0" xfId="4" applyFont="1" applyFill="1" applyBorder="1" applyAlignment="1">
      <alignment wrapText="1"/>
    </xf>
    <xf numFmtId="0" fontId="28" fillId="2" borderId="0" xfId="4" applyFont="1" applyFill="1" applyBorder="1" applyAlignment="1">
      <alignment vertical="center" wrapText="1"/>
    </xf>
    <xf numFmtId="166" fontId="27" fillId="2" borderId="0" xfId="1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wrapText="1"/>
    </xf>
    <xf numFmtId="0" fontId="16" fillId="2" borderId="0" xfId="3" applyFont="1" applyFill="1" applyBorder="1" applyAlignment="1">
      <alignment wrapText="1"/>
    </xf>
    <xf numFmtId="0" fontId="30" fillId="2" borderId="0" xfId="5" applyFont="1" applyFill="1" applyBorder="1" applyAlignment="1">
      <alignment wrapText="1"/>
    </xf>
    <xf numFmtId="165" fontId="29" fillId="2" borderId="0" xfId="4" quotePrefix="1" applyNumberFormat="1" applyFont="1" applyFill="1" applyBorder="1" applyAlignment="1">
      <alignment horizontal="center" wrapText="1"/>
    </xf>
    <xf numFmtId="164" fontId="31" fillId="2" borderId="0" xfId="0" applyNumberFormat="1" applyFont="1" applyFill="1" applyBorder="1" applyAlignment="1">
      <alignment wrapText="1"/>
    </xf>
    <xf numFmtId="164" fontId="16" fillId="2" borderId="0" xfId="0" applyNumberFormat="1" applyFont="1" applyFill="1" applyBorder="1" applyAlignment="1">
      <alignment wrapText="1"/>
    </xf>
    <xf numFmtId="164" fontId="32" fillId="2" borderId="0" xfId="0" applyNumberFormat="1" applyFont="1" applyFill="1" applyBorder="1" applyAlignment="1">
      <alignment wrapText="1"/>
    </xf>
    <xf numFmtId="164" fontId="16" fillId="2" borderId="0" xfId="1" quotePrefix="1" applyNumberFormat="1" applyFont="1" applyFill="1" applyBorder="1" applyAlignment="1">
      <alignment horizontal="center" wrapText="1"/>
    </xf>
    <xf numFmtId="164" fontId="32" fillId="2" borderId="0" xfId="1" quotePrefix="1" applyNumberFormat="1" applyFont="1" applyFill="1" applyBorder="1" applyAlignment="1">
      <alignment horizontal="center" wrapText="1"/>
    </xf>
    <xf numFmtId="164" fontId="32" fillId="2" borderId="5" xfId="1" applyNumberFormat="1" applyFont="1" applyFill="1" applyBorder="1" applyAlignment="1">
      <alignment horizontal="center" wrapText="1"/>
    </xf>
    <xf numFmtId="164" fontId="29" fillId="2" borderId="5" xfId="1" quotePrefix="1" applyNumberFormat="1" applyFont="1" applyFill="1" applyBorder="1" applyAlignment="1">
      <alignment horizontal="center" wrapText="1"/>
    </xf>
    <xf numFmtId="164" fontId="32" fillId="2" borderId="0" xfId="1" applyNumberFormat="1" applyFont="1" applyFill="1" applyBorder="1" applyAlignment="1">
      <alignment horizontal="center" wrapText="1"/>
    </xf>
    <xf numFmtId="164" fontId="16" fillId="2" borderId="5" xfId="1" applyNumberFormat="1" applyFont="1" applyFill="1" applyBorder="1" applyAlignment="1">
      <alignment wrapText="1"/>
    </xf>
    <xf numFmtId="166" fontId="28" fillId="2" borderId="0" xfId="1" applyNumberFormat="1" applyFont="1" applyFill="1" applyBorder="1" applyAlignment="1">
      <alignment wrapText="1"/>
    </xf>
    <xf numFmtId="164" fontId="28" fillId="2" borderId="0" xfId="1" applyNumberFormat="1" applyFont="1" applyFill="1" applyBorder="1" applyAlignment="1">
      <alignment wrapText="1"/>
    </xf>
    <xf numFmtId="0" fontId="29" fillId="2" borderId="0" xfId="0" applyFont="1" applyFill="1" applyBorder="1" applyAlignment="1">
      <alignment wrapText="1"/>
    </xf>
    <xf numFmtId="164" fontId="29" fillId="2" borderId="0" xfId="1" applyNumberFormat="1" applyFont="1" applyFill="1" applyBorder="1" applyAlignment="1">
      <alignment wrapText="1"/>
    </xf>
    <xf numFmtId="0" fontId="8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4" fillId="4" borderId="0" xfId="1" quotePrefix="1" applyNumberFormat="1" applyFont="1" applyFill="1" applyBorder="1" applyAlignment="1">
      <alignment horizontal="center" wrapText="1"/>
    </xf>
    <xf numFmtId="164" fontId="26" fillId="4" borderId="0" xfId="1" quotePrefix="1" applyNumberFormat="1" applyFont="1" applyFill="1" applyBorder="1" applyAlignment="1">
      <alignment horizontal="center" wrapText="1"/>
    </xf>
    <xf numFmtId="164" fontId="26" fillId="4" borderId="5" xfId="1" applyNumberFormat="1" applyFont="1" applyFill="1" applyBorder="1" applyAlignment="1">
      <alignment horizontal="center" wrapText="1"/>
    </xf>
    <xf numFmtId="164" fontId="3" fillId="4" borderId="5" xfId="1" applyNumberFormat="1" applyFont="1" applyFill="1" applyBorder="1" applyAlignment="1">
      <alignment horizontal="center" wrapText="1"/>
    </xf>
    <xf numFmtId="164" fontId="26" fillId="4" borderId="0" xfId="1" applyNumberFormat="1" applyFont="1" applyFill="1" applyBorder="1" applyAlignment="1">
      <alignment horizontal="center" wrapText="1"/>
    </xf>
    <xf numFmtId="164" fontId="4" fillId="4" borderId="5" xfId="1" applyNumberFormat="1" applyFont="1" applyFill="1" applyBorder="1" applyAlignment="1">
      <alignment horizontal="center" wrapText="1"/>
    </xf>
    <xf numFmtId="164" fontId="4" fillId="4" borderId="0" xfId="1" applyNumberFormat="1" applyFont="1" applyFill="1" applyBorder="1" applyAlignment="1">
      <alignment horizontal="center" wrapText="1"/>
    </xf>
    <xf numFmtId="164" fontId="4" fillId="4" borderId="5" xfId="1" quotePrefix="1" applyNumberFormat="1" applyFont="1" applyFill="1" applyBorder="1" applyAlignment="1">
      <alignment horizontal="center" wrapText="1"/>
    </xf>
    <xf numFmtId="164" fontId="16" fillId="4" borderId="0" xfId="1" quotePrefix="1" applyNumberFormat="1" applyFont="1" applyFill="1" applyBorder="1" applyAlignment="1">
      <alignment horizontal="center" wrapText="1"/>
    </xf>
    <xf numFmtId="164" fontId="16" fillId="4" borderId="5" xfId="1" quotePrefix="1" applyNumberFormat="1" applyFont="1" applyFill="1" applyBorder="1" applyAlignment="1">
      <alignment horizontal="center" wrapText="1"/>
    </xf>
    <xf numFmtId="164" fontId="12" fillId="4" borderId="7" xfId="1" quotePrefix="1" applyNumberFormat="1" applyFont="1" applyFill="1" applyBorder="1" applyAlignment="1">
      <alignment horizontal="center" wrapText="1"/>
    </xf>
    <xf numFmtId="164" fontId="12" fillId="4" borderId="8" xfId="1" quotePrefix="1" applyNumberFormat="1" applyFont="1" applyFill="1" applyBorder="1" applyAlignment="1">
      <alignment horizontal="center" wrapText="1"/>
    </xf>
    <xf numFmtId="164" fontId="12" fillId="4" borderId="0" xfId="1" quotePrefix="1" applyNumberFormat="1" applyFont="1" applyFill="1" applyBorder="1" applyAlignment="1">
      <alignment horizontal="center" wrapText="1"/>
    </xf>
    <xf numFmtId="164" fontId="31" fillId="4" borderId="0" xfId="1" quotePrefix="1" applyNumberFormat="1" applyFont="1" applyFill="1" applyBorder="1" applyAlignment="1">
      <alignment horizontal="center" wrapText="1"/>
    </xf>
    <xf numFmtId="164" fontId="19" fillId="3" borderId="0" xfId="7" applyNumberFormat="1" applyFont="1" applyFill="1"/>
    <xf numFmtId="0" fontId="34" fillId="5" borderId="1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164" fontId="35" fillId="5" borderId="4" xfId="0" applyNumberFormat="1" applyFont="1" applyFill="1" applyBorder="1" applyAlignment="1">
      <alignment wrapText="1"/>
    </xf>
    <xf numFmtId="164" fontId="35" fillId="5" borderId="0" xfId="0" applyNumberFormat="1" applyFont="1" applyFill="1" applyBorder="1" applyAlignment="1">
      <alignment wrapText="1"/>
    </xf>
    <xf numFmtId="164" fontId="35" fillId="5" borderId="5" xfId="0" applyNumberFormat="1" applyFont="1" applyFill="1" applyBorder="1" applyAlignment="1">
      <alignment wrapText="1"/>
    </xf>
    <xf numFmtId="164" fontId="35" fillId="5" borderId="0" xfId="1" quotePrefix="1" applyNumberFormat="1" applyFont="1" applyFill="1" applyBorder="1" applyAlignment="1">
      <alignment horizontal="center" wrapText="1"/>
    </xf>
    <xf numFmtId="164" fontId="35" fillId="5" borderId="5" xfId="1" quotePrefix="1" applyNumberFormat="1" applyFont="1" applyFill="1" applyBorder="1" applyAlignment="1">
      <alignment horizontal="center" wrapText="1"/>
    </xf>
    <xf numFmtId="164" fontId="36" fillId="5" borderId="4" xfId="0" applyNumberFormat="1" applyFont="1" applyFill="1" applyBorder="1" applyAlignment="1">
      <alignment wrapText="1"/>
    </xf>
    <xf numFmtId="164" fontId="36" fillId="5" borderId="0" xfId="1" quotePrefix="1" applyNumberFormat="1" applyFont="1" applyFill="1" applyBorder="1" applyAlignment="1">
      <alignment horizontal="center" wrapText="1"/>
    </xf>
    <xf numFmtId="164" fontId="36" fillId="5" borderId="5" xfId="1" quotePrefix="1" applyNumberFormat="1" applyFont="1" applyFill="1" applyBorder="1" applyAlignment="1">
      <alignment horizontal="center" wrapText="1"/>
    </xf>
    <xf numFmtId="164" fontId="36" fillId="5" borderId="0" xfId="0" applyNumberFormat="1" applyFont="1" applyFill="1" applyBorder="1" applyAlignment="1">
      <alignment wrapText="1"/>
    </xf>
    <xf numFmtId="164" fontId="36" fillId="5" borderId="5" xfId="0" applyNumberFormat="1" applyFont="1" applyFill="1" applyBorder="1" applyAlignment="1">
      <alignment wrapText="1"/>
    </xf>
    <xf numFmtId="167" fontId="36" fillId="5" borderId="0" xfId="0" applyNumberFormat="1" applyFont="1" applyFill="1" applyBorder="1" applyAlignment="1">
      <alignment wrapText="1"/>
    </xf>
    <xf numFmtId="164" fontId="21" fillId="5" borderId="4" xfId="0" applyNumberFormat="1" applyFont="1" applyFill="1" applyBorder="1" applyAlignment="1">
      <alignment wrapText="1"/>
    </xf>
    <xf numFmtId="164" fontId="21" fillId="5" borderId="0" xfId="0" applyNumberFormat="1" applyFont="1" applyFill="1" applyBorder="1" applyAlignment="1">
      <alignment wrapText="1"/>
    </xf>
    <xf numFmtId="164" fontId="21" fillId="5" borderId="5" xfId="0" applyNumberFormat="1" applyFont="1" applyFill="1" applyBorder="1" applyAlignment="1">
      <alignment wrapText="1"/>
    </xf>
    <xf numFmtId="164" fontId="12" fillId="5" borderId="6" xfId="0" applyNumberFormat="1" applyFont="1" applyFill="1" applyBorder="1" applyAlignment="1">
      <alignment wrapText="1"/>
    </xf>
    <xf numFmtId="164" fontId="12" fillId="5" borderId="7" xfId="0" applyNumberFormat="1" applyFont="1" applyFill="1" applyBorder="1" applyAlignment="1">
      <alignment wrapText="1"/>
    </xf>
    <xf numFmtId="164" fontId="12" fillId="5" borderId="8" xfId="0" applyNumberFormat="1" applyFont="1" applyFill="1" applyBorder="1" applyAlignment="1">
      <alignment wrapText="1"/>
    </xf>
    <xf numFmtId="164" fontId="37" fillId="2" borderId="5" xfId="1" applyNumberFormat="1" applyFont="1" applyFill="1" applyBorder="1" applyAlignment="1">
      <alignment horizontal="center" wrapText="1"/>
    </xf>
    <xf numFmtId="164" fontId="0" fillId="2" borderId="0" xfId="0" applyNumberFormat="1" applyFill="1"/>
    <xf numFmtId="0" fontId="0" fillId="2" borderId="0" xfId="0" applyFill="1" applyAlignment="1">
      <alignment horizontal="left"/>
    </xf>
    <xf numFmtId="164" fontId="22" fillId="2" borderId="12" xfId="0" applyNumberFormat="1" applyFont="1" applyFill="1" applyBorder="1"/>
    <xf numFmtId="164" fontId="22" fillId="2" borderId="13" xfId="0" applyNumberFormat="1" applyFont="1" applyFill="1" applyBorder="1"/>
    <xf numFmtId="0" fontId="3" fillId="6" borderId="14" xfId="0" applyFont="1" applyFill="1" applyBorder="1" applyAlignment="1"/>
    <xf numFmtId="0" fontId="2" fillId="7" borderId="14" xfId="0" applyFont="1" applyFill="1" applyBorder="1" applyAlignment="1"/>
    <xf numFmtId="0" fontId="2" fillId="8" borderId="14" xfId="0" applyFont="1" applyFill="1" applyBorder="1" applyAlignment="1"/>
    <xf numFmtId="0" fontId="3" fillId="2" borderId="0" xfId="4" applyFont="1" applyFill="1" applyBorder="1" applyAlignment="1">
      <alignment wrapText="1"/>
    </xf>
    <xf numFmtId="0" fontId="3" fillId="2" borderId="0" xfId="3" applyFont="1" applyFill="1" applyBorder="1" applyAlignment="1">
      <alignment wrapText="1"/>
    </xf>
    <xf numFmtId="0" fontId="38" fillId="2" borderId="0" xfId="3" applyFont="1" applyFill="1" applyBorder="1" applyAlignment="1">
      <alignment wrapText="1"/>
    </xf>
    <xf numFmtId="0" fontId="4" fillId="2" borderId="0" xfId="4" applyFont="1" applyFill="1" applyBorder="1" applyAlignment="1">
      <alignment wrapText="1"/>
    </xf>
    <xf numFmtId="0" fontId="16" fillId="2" borderId="0" xfId="4" applyFont="1" applyFill="1" applyBorder="1" applyAlignment="1">
      <alignment wrapText="1"/>
    </xf>
    <xf numFmtId="0" fontId="16" fillId="3" borderId="0" xfId="3" applyFont="1" applyFill="1" applyBorder="1" applyAlignment="1">
      <alignment wrapText="1"/>
    </xf>
    <xf numFmtId="0" fontId="16" fillId="0" borderId="0" xfId="3" applyFont="1" applyFill="1" applyBorder="1" applyAlignment="1">
      <alignment wrapText="1"/>
    </xf>
    <xf numFmtId="164" fontId="3" fillId="5" borderId="4" xfId="0" applyNumberFormat="1" applyFont="1" applyFill="1" applyBorder="1" applyAlignment="1">
      <alignment wrapText="1"/>
    </xf>
    <xf numFmtId="167" fontId="35" fillId="5" borderId="0" xfId="0" applyNumberFormat="1" applyFont="1" applyFill="1" applyBorder="1" applyAlignment="1">
      <alignment wrapText="1"/>
    </xf>
    <xf numFmtId="164" fontId="3" fillId="5" borderId="0" xfId="0" applyNumberFormat="1" applyFont="1" applyFill="1" applyBorder="1" applyAlignment="1">
      <alignment wrapText="1"/>
    </xf>
    <xf numFmtId="164" fontId="3" fillId="5" borderId="5" xfId="0" applyNumberFormat="1" applyFont="1" applyFill="1" applyBorder="1" applyAlignment="1">
      <alignment wrapText="1"/>
    </xf>
    <xf numFmtId="164" fontId="38" fillId="5" borderId="5" xfId="1" quotePrefix="1" applyNumberFormat="1" applyFont="1" applyFill="1" applyBorder="1" applyAlignment="1">
      <alignment horizontal="center" wrapText="1"/>
    </xf>
    <xf numFmtId="164" fontId="38" fillId="5" borderId="5" xfId="0" applyNumberFormat="1" applyFont="1" applyFill="1" applyBorder="1" applyAlignment="1">
      <alignment wrapText="1"/>
    </xf>
    <xf numFmtId="0" fontId="33" fillId="5" borderId="9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</cellXfs>
  <cellStyles count="33">
    <cellStyle name="Comma" xfId="1" builtinId="3"/>
    <cellStyle name="Comma 2" xfId="7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5" builtinId="8"/>
    <cellStyle name="Migliaia 2" xfId="8"/>
    <cellStyle name="Migliaia 3" xfId="9"/>
    <cellStyle name="Normal" xfId="0" builtinId="0"/>
    <cellStyle name="Normal 2" xfId="3"/>
    <cellStyle name="Normal_Fatturato Offensiva 2008-2012" xfId="4"/>
    <cellStyle name="Normale 2" xfId="6"/>
    <cellStyle name="Normale 3" xfId="10"/>
    <cellStyle name="Normale_Elenco Fatture" xfId="32"/>
    <cellStyle name="Percent" xfId="2" builtinId="5"/>
    <cellStyle name="Percentuale 2" xfId="11"/>
  </cellStyles>
  <dxfs count="3">
    <dxf>
      <fill>
        <patternFill patternType="solid">
          <bgColor theme="0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ancarlo" refreshedDate="41786.639996180558" createdVersion="4" refreshedVersion="4" minRefreshableVersion="3" recordCount="54">
  <cacheSource type="worksheet">
    <worksheetSource ref="B3:O57" sheet="Customers 2014 Split"/>
  </cacheSource>
  <cacheFields count="14">
    <cacheField name="#" numFmtId="0">
      <sharedItems containsSemiMixedTypes="0" containsString="0" containsNumber="1" containsInteger="1" minValue="1" maxValue="61" count="54">
        <n v="1"/>
        <n v="2"/>
        <n v="3"/>
        <n v="4"/>
        <n v="6"/>
        <n v="8"/>
        <n v="9"/>
        <n v="10"/>
        <n v="11"/>
        <n v="13"/>
        <n v="14"/>
        <n v="15"/>
        <n v="16"/>
        <n v="19"/>
        <n v="20"/>
        <n v="21"/>
        <n v="22"/>
        <n v="23"/>
        <n v="24"/>
        <n v="25"/>
        <n v="26"/>
        <n v="27"/>
        <n v="29"/>
        <n v="30"/>
        <n v="31"/>
        <n v="32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</sharedItems>
    </cacheField>
    <cacheField name="Customer" numFmtId="0">
      <sharedItems/>
    </cacheField>
    <cacheField name="Country" numFmtId="0">
      <sharedItems count="33">
        <s v="Italy"/>
        <s v="Spain"/>
        <s v="Singapore"/>
        <s v="Hungary"/>
        <s v="Morocco"/>
        <s v="Malaysia"/>
        <s v="Saudi"/>
        <s v="Luxemburg"/>
        <s v="Mexico"/>
        <s v="Czech Rep. "/>
        <s v="Egypt"/>
        <s v="USA"/>
        <s v="Oman"/>
        <s v="Panama"/>
        <s v="Turkey"/>
        <s v="UAE"/>
        <s v="Uzbekistan"/>
        <s v="Nigeria"/>
        <s v="Ethiopia"/>
        <s v="Sudan"/>
        <s v="Russia"/>
        <s v="Kazakistan"/>
        <s v="S. Korea"/>
        <s v="Poland"/>
        <s v="Adjerbaijan NSS"/>
        <s v="Mongolia"/>
        <s v="Thailand"/>
        <s v="Ecuador"/>
        <s v="Colombia"/>
        <s v="Cyprus"/>
        <s v="Bahrein"/>
        <s v="Mexico "/>
        <s v="Honduras"/>
      </sharedItems>
    </cacheField>
    <cacheField name="KAM" numFmtId="0">
      <sharedItems/>
    </cacheField>
    <cacheField name="Mail Contact" numFmtId="0">
      <sharedItems containsBlank="1"/>
    </cacheField>
    <cacheField name="Mail Contact 2" numFmtId="0">
      <sharedItems containsBlank="1"/>
    </cacheField>
    <cacheField name="Code" numFmtId="0">
      <sharedItems containsBlank="1"/>
    </cacheField>
    <cacheField name="Area" numFmtId="0">
      <sharedItems count="5">
        <s v="Europe"/>
        <s v="APAC"/>
        <s v="MEA"/>
        <s v="LATAM"/>
        <s v="North America"/>
      </sharedItems>
    </cacheField>
    <cacheField name="Agency" numFmtId="0">
      <sharedItems containsBlank="1"/>
    </cacheField>
    <cacheField name="Channel or Direct" numFmtId="0">
      <sharedItems containsBlank="1"/>
    </cacheField>
    <cacheField name="Partner  / Fulfillment Vehicle" numFmtId="0">
      <sharedItems containsBlank="1"/>
    </cacheField>
    <cacheField name="Total # Targets" numFmtId="0">
      <sharedItems containsBlank="1" containsMixedTypes="1" containsNumber="1" containsInteger="1" minValue="5" maxValue="2000"/>
    </cacheField>
    <cacheField name="Year Bought First RCS" numFmtId="165">
      <sharedItems/>
    </cacheField>
    <cacheField name="Total _x000a_Client Revenues" numFmtId="164">
      <sharedItems containsSemiMixedTypes="0" containsString="0" containsNumber="1" minValue="0" maxValue="17960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s v="Polizia Postale"/>
    <x v="0"/>
    <s v="Bettini"/>
    <s v="simone.tacconi@interno.it"/>
    <m/>
    <s v="PP"/>
    <x v="0"/>
    <s v="LEA"/>
    <s v="Direct"/>
    <s v="-"/>
    <s v="unlimited"/>
    <s v="2004"/>
    <n v="800166.2"/>
  </r>
  <r>
    <x v="1"/>
    <s v="CNI"/>
    <x v="1"/>
    <s v="Bettini"/>
    <s v="netsec@areatec.com"/>
    <m/>
    <s v="CNI / CNI-old, Prod, Test"/>
    <x v="0"/>
    <s v="Intelligence"/>
    <s v="Direct"/>
    <s v="-"/>
    <s v="unlimited"/>
    <s v="2006"/>
    <n v="538000"/>
  </r>
  <r>
    <x v="2"/>
    <s v="IDA SGP"/>
    <x v="2"/>
    <s v="Maglietta"/>
    <s v="angsk@pcs-security.com"/>
    <s v="stewart_yong@pcs-security.com"/>
    <s v="IDA"/>
    <x v="1"/>
    <s v="Intelligence"/>
    <s v="Direct "/>
    <s v="PCS"/>
    <s v="unlimited"/>
    <s v="2008"/>
    <n v="1107800.3333333333"/>
  </r>
  <r>
    <x v="3"/>
    <s v="Information Office"/>
    <x v="3"/>
    <s v="Luppi"/>
    <s v="dankovicsjanos@gmail.com"/>
    <m/>
    <s v="MKIH"/>
    <x v="0"/>
    <s v="Intelligence"/>
    <s v="Direct"/>
    <s v="-"/>
    <n v="50"/>
    <s v="2008"/>
    <n v="794000"/>
  </r>
  <r>
    <x v="4"/>
    <s v="CSDN"/>
    <x v="4"/>
    <s v="Maanna"/>
    <s v="Adib_samir@hotmail.com"/>
    <s v="tskalli@hotmail.com"/>
    <s v="CSDN"/>
    <x v="2"/>
    <s v="Intelligence"/>
    <s v="Direct"/>
    <s v="Al Fahad "/>
    <n v="300"/>
    <s v="2009"/>
    <n v="1796050"/>
  </r>
  <r>
    <x v="5"/>
    <s v="Italy - DA - Rental"/>
    <x v="0"/>
    <s v="Bettini"/>
    <s v="macsalva@tin.it"/>
    <m/>
    <s v="CSH"/>
    <x v="0"/>
    <s v="Other"/>
    <s v="Direct"/>
    <s v="C.S.H."/>
    <n v="80"/>
    <s v="2009"/>
    <n v="543250"/>
  </r>
  <r>
    <x v="6"/>
    <s v="MACC"/>
    <x v="5"/>
    <s v="Maglietta"/>
    <s v="zuriana@miliserv.com.my"/>
    <s v="kamarulzamani@miliserv.com"/>
    <s v="MACC"/>
    <x v="1"/>
    <s v="Intelligence"/>
    <s v="Channel "/>
    <s v="Miliserv"/>
    <n v="30"/>
    <s v="2009"/>
    <n v="579123"/>
  </r>
  <r>
    <x v="7"/>
    <s v="PCM"/>
    <x v="0"/>
    <s v="Bettini"/>
    <s v="mauro.sorrento@gmail.it"/>
    <m/>
    <s v="PCIT"/>
    <x v="0"/>
    <s v="Intelligence"/>
    <s v="Direct "/>
    <s v="-"/>
    <s v="unlimited (partially)"/>
    <s v="2009"/>
    <n v="661175.48"/>
  </r>
  <r>
    <x v="8"/>
    <s v="SSNS - Ungheria"/>
    <x v="3"/>
    <s v="Luppi"/>
    <s v="balogh.peter@nbsz.gov.hu"/>
    <m/>
    <s v="SSNS"/>
    <x v="0"/>
    <s v="Intelligence"/>
    <s v="Direct "/>
    <s v="-"/>
    <n v="50"/>
    <s v="2009"/>
    <n v="947000"/>
  </r>
  <r>
    <x v="9"/>
    <s v="CC - Italy"/>
    <x v="0"/>
    <s v="Bettini"/>
    <s v="gabrieliraf@gmail.com"/>
    <s v="andrea.raffaelli@carabinieri.it"/>
    <s v="ROS"/>
    <x v="0"/>
    <s v="LEA"/>
    <s v="Direct"/>
    <s v="-"/>
    <n v="20"/>
    <s v="2010"/>
    <n v="437271.68"/>
  </r>
  <r>
    <x v="10"/>
    <s v="GIP Saudi"/>
    <x v="6"/>
    <s v="Maanna"/>
    <s v="albwardy@gmail.com"/>
    <m/>
    <s v="GIP"/>
    <x v="2"/>
    <s v="Intelligence"/>
    <s v="Direct "/>
    <s v="AECOM/Net. Rev."/>
    <n v="50"/>
    <s v="2010"/>
    <n v="570000"/>
  </r>
  <r>
    <x v="11"/>
    <s v="IR Authorities (Condor)"/>
    <x v="7"/>
    <s v="Bettini"/>
    <s v="sith@lea-consult.de"/>
    <m/>
    <s v="INTECH-CONDOR"/>
    <x v="0"/>
    <s v="Other"/>
    <s v="Channel"/>
    <s v="Intech"/>
    <n v="20"/>
    <s v="2010"/>
    <n v="408000"/>
  </r>
  <r>
    <x v="12"/>
    <s v="La Dependencia y/o Cisen"/>
    <x v="8"/>
    <s v="Velasco"/>
    <s v="areyes@entermas.net"/>
    <s v="rvillegas@entermas.net"/>
    <s v="SEGOB"/>
    <x v="3"/>
    <s v="Intelligence"/>
    <s v="Direct "/>
    <s v="-"/>
    <n v="140"/>
    <s v="2010"/>
    <n v="1185000"/>
  </r>
  <r>
    <x v="13"/>
    <s v="UZC "/>
    <x v="9"/>
    <s v="Luppi"/>
    <s v="Tomas.Hlavsa@bull.cz"/>
    <m/>
    <s v="UZC"/>
    <x v="0"/>
    <s v="LEA"/>
    <s v="Channel "/>
    <s v="Bull"/>
    <n v="25"/>
    <s v="2010"/>
    <n v="569879"/>
  </r>
  <r>
    <x v="14"/>
    <s v="Egypt - MOD"/>
    <x v="10"/>
    <s v="Maanna"/>
    <s v="Mohamed.Moniem@gnsegroup.com"/>
    <m/>
    <s v="GNSE"/>
    <x v="2"/>
    <s v="Other"/>
    <s v="Channel "/>
    <s v="GNSE Egypt"/>
    <n v="20"/>
    <s v="2011"/>
    <n v="468000"/>
  </r>
  <r>
    <x v="15"/>
    <s v="FBI"/>
    <x v="11"/>
    <s v="Velasco"/>
    <s v="one.lal2010@gmail.com"/>
    <m/>
    <s v="PHOEBE 1phoebe-01, -02, -03, Test"/>
    <x v="4"/>
    <s v="LEA"/>
    <s v="Channel "/>
    <s v="CICOM USA "/>
    <n v="35"/>
    <s v="2011"/>
    <n v="578000"/>
  </r>
  <r>
    <x v="16"/>
    <s v="Oman - Intelligence"/>
    <x v="12"/>
    <s v="Maanna"/>
    <s v="almuatasim.albahri@gmail.com"/>
    <m/>
    <s v="ORF"/>
    <x v="2"/>
    <s v="Intelligence"/>
    <s v="Direct "/>
    <s v="Excellence Tech"/>
    <n v="20"/>
    <s v="2011"/>
    <n v="400000"/>
  </r>
  <r>
    <x v="17"/>
    <s v="President Security "/>
    <x v="13"/>
    <s v="Velasco"/>
    <s v="hardila@robotec.com"/>
    <s v="teofilo@solucionesdetecnologia.com"/>
    <s v="PANP"/>
    <x v="3"/>
    <s v="Intelligence"/>
    <s v="Channel "/>
    <s v="Robotec / Theola"/>
    <n v="40"/>
    <s v="2011"/>
    <n v="750000"/>
  </r>
  <r>
    <x v="18"/>
    <s v="Turkish National Police"/>
    <x v="14"/>
    <s v="Maanna"/>
    <s v="akocak005@gmail.com"/>
    <m/>
    <s v="TNP"/>
    <x v="0"/>
    <s v="LEA"/>
    <s v="Direct "/>
    <s v="-"/>
    <n v="50"/>
    <s v="2011"/>
    <n v="440000"/>
  </r>
  <r>
    <x v="19"/>
    <s v="UAE - MOI"/>
    <x v="15"/>
    <s v="Luppi"/>
    <s v="mbaier@cyberpointllc.com"/>
    <m/>
    <s v="MOI"/>
    <x v="2"/>
    <s v="LEA"/>
    <s v="Channel"/>
    <s v="Cyberpoint International"/>
    <n v="15"/>
    <s v="2011"/>
    <n v="634500"/>
  </r>
  <r>
    <x v="20"/>
    <s v="NSS"/>
    <x v="16"/>
    <s v="Luppi"/>
    <s v="i.eugene@itt.uz"/>
    <s v="dbi@itt.uz"/>
    <s v="NSS"/>
    <x v="1"/>
    <s v="Intelligence"/>
    <s v="Channel - NICE"/>
    <s v="NICE "/>
    <n v="25"/>
    <s v="2011"/>
    <n v="486800"/>
  </r>
  <r>
    <x v="21"/>
    <s v="DOD"/>
    <x v="11"/>
    <s v="Velasco"/>
    <m/>
    <m/>
    <s v="DOD"/>
    <x v="4"/>
    <s v="LEA"/>
    <s v="Channel "/>
    <s v="CICOM USA "/>
    <n v="10"/>
    <s v="2011"/>
    <n v="190000"/>
  </r>
  <r>
    <x v="22"/>
    <s v="Bayelsa State Government"/>
    <x v="17"/>
    <s v="Luppi"/>
    <s v="thorbruegge@yahoo.com"/>
    <s v="hanan@skylinksltd.com"/>
    <s v="BSGO"/>
    <x v="2"/>
    <s v="Intelligence"/>
    <s v="Channel - NICE"/>
    <s v="V&amp;V Nigeria"/>
    <n v="10"/>
    <s v="2012"/>
    <n v="450000"/>
  </r>
  <r>
    <x v="23"/>
    <s v="Estado del Mexico"/>
    <x v="8"/>
    <s v="Velasco"/>
    <m/>
    <m/>
    <s v="PGJ MEX"/>
    <x v="3"/>
    <s v="LEA"/>
    <s v="Channel "/>
    <s v="DTXT"/>
    <n v="100"/>
    <s v="2012"/>
    <n v="783000"/>
  </r>
  <r>
    <x v="24"/>
    <s v="Information Network Security Agency"/>
    <x v="18"/>
    <s v="Luppi"/>
    <s v="biniamtewolde@yahoo.com"/>
    <m/>
    <s v="INSA"/>
    <x v="2"/>
    <s v="Intelligence"/>
    <s v="Channel - NICE"/>
    <s v="NICE "/>
    <n v="150"/>
    <s v="2012"/>
    <n v="710000"/>
  </r>
  <r>
    <x v="25"/>
    <s v="State security (Falcon)"/>
    <x v="7"/>
    <s v="Bettini"/>
    <s v="sith@lea-consult.de"/>
    <m/>
    <s v="INTECH-FALCON"/>
    <x v="0"/>
    <s v="Other"/>
    <s v="Channel"/>
    <s v="Intech"/>
    <n v="5"/>
    <s v="2012"/>
    <n v="227999.66666666666"/>
  </r>
  <r>
    <x v="26"/>
    <s v="Italy - DA - Rental"/>
    <x v="0"/>
    <s v="Bettini"/>
    <s v="ferdinando.dalessandro@siospa.it"/>
    <s v="vittorio.nardone@siospa.it"/>
    <s v="SIO"/>
    <x v="0"/>
    <s v="Other"/>
    <s v="Direct"/>
    <s v="SIO SPA"/>
    <n v="30"/>
    <s v="2012"/>
    <n v="443000"/>
  </r>
  <r>
    <x v="27"/>
    <s v="MAL - MI"/>
    <x v="5"/>
    <s v="Maglietta"/>
    <m/>
    <m/>
    <s v="MYMI"/>
    <x v="1"/>
    <s v="Intelligence"/>
    <s v="Channel "/>
    <s v="Charmco"/>
    <n v="25"/>
    <s v="2012"/>
    <n v="460000"/>
  </r>
  <r>
    <x v="28"/>
    <s v="Morocco - DST"/>
    <x v="4"/>
    <s v="Maanna"/>
    <s v="Faical.Tanarhte@fssys.ma"/>
    <m/>
    <s v="AlFahad"/>
    <x v="2"/>
    <s v="Intelligence"/>
    <s v="Channel "/>
    <s v="Al Fahad "/>
    <n v="2000"/>
    <s v="2012"/>
    <n v="1037500"/>
  </r>
  <r>
    <x v="29"/>
    <s v="NISS - National Intelligence and Security Services"/>
    <x v="19"/>
    <s v="Maanna"/>
    <m/>
    <m/>
    <s v="NISS01-02"/>
    <x v="2"/>
    <s v="Intelligence"/>
    <s v="Direct "/>
    <s v="-"/>
    <n v="240"/>
    <s v="2012"/>
    <n v="960000"/>
  </r>
  <r>
    <x v="30"/>
    <s v="Russia - KVANT"/>
    <x v="20"/>
    <s v="Bettini"/>
    <s v="kachalin@advancedmonitoring.ru"/>
    <s v="KachalinAI@infotecs.ru"/>
    <s v="KVANT"/>
    <x v="0"/>
    <s v="Intelligence"/>
    <s v="Channel "/>
    <s v="Infotecs"/>
    <n v="25"/>
    <s v="2012"/>
    <n v="451017"/>
  </r>
  <r>
    <x v="31"/>
    <s v="Saudi  - GID"/>
    <x v="6"/>
    <s v="Maanna"/>
    <m/>
    <m/>
    <s v="TCC-GID"/>
    <x v="2"/>
    <s v="LEA"/>
    <s v="Direct"/>
    <s v="TCC"/>
    <n v="200"/>
    <s v="2012"/>
    <n v="609000"/>
  </r>
  <r>
    <x v="32"/>
    <s v="SIS of NSC"/>
    <x v="21"/>
    <s v="Luppi"/>
    <s v="askar.nurgazinov@gmail.com"/>
    <m/>
    <s v="KNB"/>
    <x v="1"/>
    <s v="Intelligence"/>
    <s v="Direct "/>
    <s v="-"/>
    <n v="110"/>
    <s v="2012"/>
    <n v="793750"/>
  </r>
  <r>
    <x v="33"/>
    <s v="The 5163 Army Division"/>
    <x v="22"/>
    <s v="Maglietta"/>
    <s v="devilangel1004@gmail.com"/>
    <m/>
    <s v="SKA"/>
    <x v="1"/>
    <s v="Other"/>
    <s v="Channel "/>
    <s v="Nanatech"/>
    <n v="20"/>
    <s v="2012"/>
    <n v="540700"/>
  </r>
  <r>
    <x v="34"/>
    <s v="UAE - Intelligence"/>
    <x v="15"/>
    <s v="Maanna"/>
    <m/>
    <m/>
    <s v="UAEAF"/>
    <x v="2"/>
    <s v="Other"/>
    <s v="Direct"/>
    <s v="Mauqah Technology"/>
    <n v="1100"/>
    <s v="2012"/>
    <n v="1112500"/>
  </r>
  <r>
    <x v="35"/>
    <s v="DEA"/>
    <x v="11"/>
    <s v="Velasco"/>
    <m/>
    <m/>
    <s v="KATIE-1"/>
    <x v="4"/>
    <s v="Other"/>
    <s v="Channel "/>
    <s v="CICOM USA "/>
    <n v="10"/>
    <s v="2012"/>
    <n v="475269.02866488107"/>
  </r>
  <r>
    <x v="36"/>
    <s v="CBA Poland"/>
    <x v="23"/>
    <s v="Luppi"/>
    <s v="cba170@cba.gov.pl"/>
    <m/>
    <s v="CBA"/>
    <x v="0"/>
    <s v="LEA"/>
    <s v="Direct"/>
    <s v="-"/>
    <n v="10"/>
    <s v="2012"/>
    <n v="213600"/>
  </r>
  <r>
    <x v="37"/>
    <s v="MOD Saudi"/>
    <x v="6"/>
    <s v="Maanna"/>
    <m/>
    <m/>
    <s v="MOD"/>
    <x v="2"/>
    <s v="Other"/>
    <s v="Direct"/>
    <s v="Al Yamamah Engineering Systems Solutions"/>
    <n v="1000"/>
    <s v="2013"/>
    <n v="1099200"/>
  </r>
  <r>
    <x v="38"/>
    <s v="PMO"/>
    <x v="5"/>
    <s v="Maglietta"/>
    <s v="iskandar9116@gmail.com"/>
    <m/>
    <s v="PMO"/>
    <x v="1"/>
    <s v="Intelligence"/>
    <s v="Channel "/>
    <s v="Miliserv"/>
    <n v="40"/>
    <s v="2013"/>
    <n v="520000"/>
  </r>
  <r>
    <x v="39"/>
    <s v="Estado de Qeretaro"/>
    <x v="8"/>
    <s v="Velasco"/>
    <s v="jaime@tevatec.com"/>
    <s v="edgar@tevatec.com"/>
    <s v="EDQ"/>
    <x v="3"/>
    <s v="LEA"/>
    <s v="Channel "/>
    <s v="TEVA"/>
    <n v="5"/>
    <s v="2013"/>
    <n v="304253.4064197531"/>
  </r>
  <r>
    <x v="40"/>
    <s v="Azerbajan NS"/>
    <x v="24"/>
    <s v="Luppi"/>
    <s v="testwizard003@gmail.com"/>
    <m/>
    <s v="AZSN"/>
    <x v="0"/>
    <s v="Intelligence"/>
    <s v="Channel"/>
    <s v="NICE / Horizon"/>
    <n v="10"/>
    <s v="2013"/>
    <n v="349000"/>
  </r>
  <r>
    <x v="41"/>
    <s v="Governo de Puebla"/>
    <x v="8"/>
    <s v="Velasco"/>
    <s v="soporteuiamx@gmail.com"/>
    <m/>
    <s v="GEDP"/>
    <x v="3"/>
    <s v="Other"/>
    <s v="Channel"/>
    <s v="SYM SERVICIOS INTEGRALES, S.A. DE C.V."/>
    <n v="10"/>
    <s v="2013"/>
    <n v="313301.27"/>
  </r>
  <r>
    <x v="42"/>
    <s v="Governo de Campeche"/>
    <x v="8"/>
    <s v="Velasco"/>
    <s v="comunicacionesmx2013@gmail.com"/>
    <m/>
    <s v="SDUC"/>
    <x v="3"/>
    <s v="Other"/>
    <s v="Channel"/>
    <s v="SYM SERVICIOS INTEGRALES, S.A. DE C.V."/>
    <n v="25"/>
    <s v="2013"/>
    <n v="386296.3"/>
  </r>
  <r>
    <x v="43"/>
    <s v="AC Mongolia"/>
    <x v="25"/>
    <s v="Maglietta"/>
    <s v="ulziibadrakh@iaac.mn khembayar@iaac.mn    "/>
    <s v="     davaa.shurik@gmail.com_x000a_erkhemee.iooii@gmail.com "/>
    <s v="MOACA"/>
    <x v="1"/>
    <s v="Intelligence"/>
    <s v="Direct"/>
    <m/>
    <n v="200"/>
    <s v="2013"/>
    <n v="650000"/>
  </r>
  <r>
    <x v="44"/>
    <s v="Dept. of Correction Thai Police "/>
    <x v="26"/>
    <s v="Maglietta"/>
    <m/>
    <m/>
    <s v="THDOC"/>
    <x v="1"/>
    <s v="LEA"/>
    <s v="Channel"/>
    <s v="NICE / IT Absolute Company Limited"/>
    <n v="25"/>
    <s v="2013"/>
    <n v="286482.27"/>
  </r>
  <r>
    <x v="45"/>
    <s v="SENAIN"/>
    <x v="27"/>
    <s v="Velasco"/>
    <m/>
    <m/>
    <s v="SENAIN"/>
    <x v="3"/>
    <s v="LEA"/>
    <s v="Channel"/>
    <s v="Robotec / Theola"/>
    <n v="10"/>
    <s v="2013"/>
    <n v="460000"/>
  </r>
  <r>
    <x v="46"/>
    <s v="DIPOL"/>
    <x v="28"/>
    <s v="Velasco"/>
    <m/>
    <m/>
    <s v="MDNP"/>
    <x v="3"/>
    <s v="LEA"/>
    <s v="Channel"/>
    <s v="Robotec "/>
    <n v="35"/>
    <s v="2013"/>
    <n v="335000"/>
  </r>
  <r>
    <x v="47"/>
    <s v="Guardia di Finanza"/>
    <x v="0"/>
    <s v="Bettini"/>
    <m/>
    <m/>
    <s v="SCICO"/>
    <x v="0"/>
    <s v="LEA"/>
    <s v="Direct"/>
    <m/>
    <m/>
    <s v="2013"/>
    <n v="400000"/>
  </r>
  <r>
    <x v="48"/>
    <s v="Intelligence "/>
    <x v="29"/>
    <s v="Luppi"/>
    <m/>
    <m/>
    <s v="CIS"/>
    <x v="0"/>
    <s v="LEA"/>
    <s v="Direct"/>
    <m/>
    <n v="5"/>
    <s v="2013"/>
    <n v="255000"/>
  </r>
  <r>
    <x v="49"/>
    <s v="Midworld Barhein"/>
    <x v="30"/>
    <s v="Maanna"/>
    <m/>
    <m/>
    <s v="BHR"/>
    <x v="2"/>
    <s v="Intelligence"/>
    <s v="Channel"/>
    <s v="Midworld pro"/>
    <m/>
    <s v="2013"/>
    <n v="210000"/>
  </r>
  <r>
    <x v="50"/>
    <s v="Mexico - pemx"/>
    <x v="31"/>
    <s v="Velasco"/>
    <m/>
    <m/>
    <m/>
    <x v="3"/>
    <s v="LEA "/>
    <s v="Channel"/>
    <m/>
    <m/>
    <s v="2013"/>
    <n v="321120"/>
  </r>
  <r>
    <x v="51"/>
    <s v="Malysia K"/>
    <x v="5"/>
    <s v="Maglietta"/>
    <m/>
    <m/>
    <m/>
    <x v="1"/>
    <s v="LEA"/>
    <s v="Channel"/>
    <m/>
    <m/>
    <s v="2013"/>
    <n v="0"/>
  </r>
  <r>
    <x v="52"/>
    <s v="Honduras"/>
    <x v="32"/>
    <s v="Luppi"/>
    <m/>
    <m/>
    <m/>
    <x v="3"/>
    <s v="LEA"/>
    <s v="Channel - NICE"/>
    <s v="NICE"/>
    <m/>
    <s v="2014"/>
    <n v="355000"/>
  </r>
  <r>
    <x v="53"/>
    <s v="Mex Taumalipas"/>
    <x v="8"/>
    <s v="Velasco"/>
    <m/>
    <m/>
    <m/>
    <x v="3"/>
    <m/>
    <m/>
    <s v="SYM SERVICIOS INTEGRALES, S.A. DE C.V."/>
    <m/>
    <s v="2014"/>
    <n v="16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>
  <location ref="A3:B9" firstHeaderRow="1" firstDataRow="1" firstDataCol="1"/>
  <pivotFields count="14">
    <pivotField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dataField="1" showAll="0"/>
    <pivotField showAll="0">
      <items count="34">
        <item x="24"/>
        <item x="30"/>
        <item x="28"/>
        <item x="29"/>
        <item x="9"/>
        <item x="27"/>
        <item x="10"/>
        <item x="18"/>
        <item x="32"/>
        <item x="3"/>
        <item x="0"/>
        <item x="21"/>
        <item x="7"/>
        <item x="5"/>
        <item x="8"/>
        <item x="31"/>
        <item x="25"/>
        <item x="4"/>
        <item x="17"/>
        <item x="12"/>
        <item x="13"/>
        <item x="23"/>
        <item x="20"/>
        <item x="22"/>
        <item x="6"/>
        <item x="2"/>
        <item x="1"/>
        <item x="19"/>
        <item x="26"/>
        <item x="14"/>
        <item x="15"/>
        <item x="11"/>
        <item x="16"/>
        <item t="default"/>
      </items>
    </pivotField>
    <pivotField showAll="0"/>
    <pivotField showAll="0"/>
    <pivotField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numFmtId="164"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ctive Customer" fld="1" subtotal="count" baseField="0" baseItem="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ib_samir@hotmail.com" TargetMode="External"/><Relationship Id="rId13" Type="http://schemas.openxmlformats.org/officeDocument/2006/relationships/hyperlink" Target="mailto:stewart_yong@pcs-security.com" TargetMode="External"/><Relationship Id="rId18" Type="http://schemas.openxmlformats.org/officeDocument/2006/relationships/hyperlink" Target="mailto:sith@lea-consult.de" TargetMode="External"/><Relationship Id="rId26" Type="http://schemas.openxmlformats.org/officeDocument/2006/relationships/hyperlink" Target="mailto:zuriana@miliserv.com.my" TargetMode="External"/><Relationship Id="rId39" Type="http://schemas.openxmlformats.org/officeDocument/2006/relationships/hyperlink" Target="mailto:askar.nurgazinov@gmail.com" TargetMode="External"/><Relationship Id="rId3" Type="http://schemas.openxmlformats.org/officeDocument/2006/relationships/hyperlink" Target="mailto:hanan@skylinksltd.com" TargetMode="External"/><Relationship Id="rId21" Type="http://schemas.openxmlformats.org/officeDocument/2006/relationships/hyperlink" Target="mailto:Simone.Cazzanti@rcslab.it" TargetMode="External"/><Relationship Id="rId34" Type="http://schemas.openxmlformats.org/officeDocument/2006/relationships/hyperlink" Target="mailto:simone.tacconi@interno.it" TargetMode="External"/><Relationship Id="rId42" Type="http://schemas.openxmlformats.org/officeDocument/2006/relationships/hyperlink" Target="mailto:devilangel1004@g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netsec@areatec.com" TargetMode="External"/><Relationship Id="rId12" Type="http://schemas.openxmlformats.org/officeDocument/2006/relationships/hyperlink" Target="mailto:one.lal2010@gmail.com" TargetMode="External"/><Relationship Id="rId17" Type="http://schemas.openxmlformats.org/officeDocument/2006/relationships/hyperlink" Target="mailto:dankovicsjanos@gmail.com" TargetMode="External"/><Relationship Id="rId25" Type="http://schemas.openxmlformats.org/officeDocument/2006/relationships/hyperlink" Target="mailto:rvillegas@entermas.net" TargetMode="External"/><Relationship Id="rId33" Type="http://schemas.openxmlformats.org/officeDocument/2006/relationships/hyperlink" Target="mailto:iskandar9116@gmail.com" TargetMode="External"/><Relationship Id="rId38" Type="http://schemas.openxmlformats.org/officeDocument/2006/relationships/hyperlink" Target="mailto:KachalinAI@infotecs.ru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mailto:thorbruegge@yahoo.com" TargetMode="External"/><Relationship Id="rId16" Type="http://schemas.openxmlformats.org/officeDocument/2006/relationships/hyperlink" Target="mailto:soporteuiamx@gmail.com" TargetMode="External"/><Relationship Id="rId20" Type="http://schemas.openxmlformats.org/officeDocument/2006/relationships/hyperlink" Target="mailto:duilio.bianchi@rcslab.it" TargetMode="External"/><Relationship Id="rId29" Type="http://schemas.openxmlformats.org/officeDocument/2006/relationships/hyperlink" Target="mailto:i.eugene@itt.uz" TargetMode="External"/><Relationship Id="rId41" Type="http://schemas.openxmlformats.org/officeDocument/2006/relationships/hyperlink" Target="mailto:sith@lea-consult.de" TargetMode="External"/><Relationship Id="rId1" Type="http://schemas.openxmlformats.org/officeDocument/2006/relationships/hyperlink" Target="mailto:testwizard003@gmail.com" TargetMode="External"/><Relationship Id="rId6" Type="http://schemas.openxmlformats.org/officeDocument/2006/relationships/hyperlink" Target="mailto:andrea.raffaelli@carabinieri.it" TargetMode="External"/><Relationship Id="rId11" Type="http://schemas.openxmlformats.org/officeDocument/2006/relationships/hyperlink" Target="mailto:edgar@tevatec.com" TargetMode="External"/><Relationship Id="rId24" Type="http://schemas.openxmlformats.org/officeDocument/2006/relationships/hyperlink" Target="mailto:areyes@entermas.net" TargetMode="External"/><Relationship Id="rId32" Type="http://schemas.openxmlformats.org/officeDocument/2006/relationships/hyperlink" Target="mailto:mauro.sorrento@gmail.it" TargetMode="External"/><Relationship Id="rId37" Type="http://schemas.openxmlformats.org/officeDocument/2006/relationships/hyperlink" Target="mailto:kachalin@advancedmonitoring.ru" TargetMode="External"/><Relationship Id="rId40" Type="http://schemas.openxmlformats.org/officeDocument/2006/relationships/hyperlink" Target="mailto:balogh.peter@nbsz.gov.hu" TargetMode="External"/><Relationship Id="rId45" Type="http://schemas.openxmlformats.org/officeDocument/2006/relationships/hyperlink" Target="mailto:Tomas.Hlavsa@bull.cz" TargetMode="External"/><Relationship Id="rId5" Type="http://schemas.openxmlformats.org/officeDocument/2006/relationships/hyperlink" Target="mailto:gabrieliraf@gmail.com" TargetMode="External"/><Relationship Id="rId15" Type="http://schemas.openxmlformats.org/officeDocument/2006/relationships/hyperlink" Target="mailto:comunicacionesmx2013@gmail.com" TargetMode="External"/><Relationship Id="rId23" Type="http://schemas.openxmlformats.org/officeDocument/2006/relationships/hyperlink" Target="mailto:vittorio.nardone@siospa.it" TargetMode="External"/><Relationship Id="rId28" Type="http://schemas.openxmlformats.org/officeDocument/2006/relationships/hyperlink" Target="mailto:Faical.Tanarhte@fssys.ma" TargetMode="External"/><Relationship Id="rId36" Type="http://schemas.openxmlformats.org/officeDocument/2006/relationships/hyperlink" Target="mailto:teofilo@solucionesdetecnologia.com" TargetMode="External"/><Relationship Id="rId10" Type="http://schemas.openxmlformats.org/officeDocument/2006/relationships/hyperlink" Target="mailto:jaime@tevatec.com" TargetMode="External"/><Relationship Id="rId19" Type="http://schemas.openxmlformats.org/officeDocument/2006/relationships/hyperlink" Target="mailto:macsalva@tin.it" TargetMode="External"/><Relationship Id="rId31" Type="http://schemas.openxmlformats.org/officeDocument/2006/relationships/hyperlink" Target="mailto:almuatasim.albahri@gmail.com" TargetMode="External"/><Relationship Id="rId44" Type="http://schemas.openxmlformats.org/officeDocument/2006/relationships/hyperlink" Target="mailto:mbaier@cyberpointllc.com" TargetMode="External"/><Relationship Id="rId4" Type="http://schemas.openxmlformats.org/officeDocument/2006/relationships/hyperlink" Target="mailto:cba170@cba.gov.pl" TargetMode="External"/><Relationship Id="rId9" Type="http://schemas.openxmlformats.org/officeDocument/2006/relationships/hyperlink" Target="mailto:tskalli@hotmail.com" TargetMode="External"/><Relationship Id="rId14" Type="http://schemas.openxmlformats.org/officeDocument/2006/relationships/hyperlink" Target="mailto:angsk@pcs-security.com" TargetMode="External"/><Relationship Id="rId22" Type="http://schemas.openxmlformats.org/officeDocument/2006/relationships/hyperlink" Target="mailto:ferdinando.dalessandro@siospa.it" TargetMode="External"/><Relationship Id="rId27" Type="http://schemas.openxmlformats.org/officeDocument/2006/relationships/hyperlink" Target="mailto:kamarulzamani@miliserv.com" TargetMode="External"/><Relationship Id="rId30" Type="http://schemas.openxmlformats.org/officeDocument/2006/relationships/hyperlink" Target="mailto:dbi@itt.uz" TargetMode="External"/><Relationship Id="rId35" Type="http://schemas.openxmlformats.org/officeDocument/2006/relationships/hyperlink" Target="mailto:hardila@robotec.com" TargetMode="External"/><Relationship Id="rId43" Type="http://schemas.openxmlformats.org/officeDocument/2006/relationships/hyperlink" Target="mailto:akocak005@gmail.com" TargetMode="External"/><Relationship Id="rId48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dib_samir@hotmail.com" TargetMode="External"/><Relationship Id="rId13" Type="http://schemas.openxmlformats.org/officeDocument/2006/relationships/hyperlink" Target="mailto:stewart_yong@pcs-security.com" TargetMode="External"/><Relationship Id="rId18" Type="http://schemas.openxmlformats.org/officeDocument/2006/relationships/hyperlink" Target="mailto:sith@lea-consult.de" TargetMode="External"/><Relationship Id="rId26" Type="http://schemas.openxmlformats.org/officeDocument/2006/relationships/hyperlink" Target="mailto:zuriana@miliserv.com.my" TargetMode="External"/><Relationship Id="rId39" Type="http://schemas.openxmlformats.org/officeDocument/2006/relationships/hyperlink" Target="mailto:askar.nurgazinov@gmail.com" TargetMode="External"/><Relationship Id="rId3" Type="http://schemas.openxmlformats.org/officeDocument/2006/relationships/hyperlink" Target="mailto:hanan@skylinksltd.com" TargetMode="External"/><Relationship Id="rId21" Type="http://schemas.openxmlformats.org/officeDocument/2006/relationships/hyperlink" Target="mailto:Simone.Cazzanti@rcslab.it" TargetMode="External"/><Relationship Id="rId34" Type="http://schemas.openxmlformats.org/officeDocument/2006/relationships/hyperlink" Target="mailto:simone.tacconi@interno.it" TargetMode="External"/><Relationship Id="rId42" Type="http://schemas.openxmlformats.org/officeDocument/2006/relationships/hyperlink" Target="mailto:devilangel1004@gmail.com" TargetMode="External"/><Relationship Id="rId47" Type="http://schemas.openxmlformats.org/officeDocument/2006/relationships/vmlDrawing" Target="../drawings/vmlDrawing2.vml"/><Relationship Id="rId7" Type="http://schemas.openxmlformats.org/officeDocument/2006/relationships/hyperlink" Target="mailto:netsec@areatec.com" TargetMode="External"/><Relationship Id="rId12" Type="http://schemas.openxmlformats.org/officeDocument/2006/relationships/hyperlink" Target="mailto:one.lal2010@gmail.com" TargetMode="External"/><Relationship Id="rId17" Type="http://schemas.openxmlformats.org/officeDocument/2006/relationships/hyperlink" Target="mailto:dankovicsjanos@gmail.com" TargetMode="External"/><Relationship Id="rId25" Type="http://schemas.openxmlformats.org/officeDocument/2006/relationships/hyperlink" Target="mailto:rvillegas@entermas.net" TargetMode="External"/><Relationship Id="rId33" Type="http://schemas.openxmlformats.org/officeDocument/2006/relationships/hyperlink" Target="mailto:iskandar9116@gmail.com" TargetMode="External"/><Relationship Id="rId38" Type="http://schemas.openxmlformats.org/officeDocument/2006/relationships/hyperlink" Target="mailto:KachalinAI@infotecs.ru" TargetMode="External"/><Relationship Id="rId46" Type="http://schemas.openxmlformats.org/officeDocument/2006/relationships/printerSettings" Target="../printerSettings/printerSettings3.bin"/><Relationship Id="rId2" Type="http://schemas.openxmlformats.org/officeDocument/2006/relationships/hyperlink" Target="mailto:thorbruegge@yahoo.com" TargetMode="External"/><Relationship Id="rId16" Type="http://schemas.openxmlformats.org/officeDocument/2006/relationships/hyperlink" Target="mailto:soporteuiamx@gmail.com" TargetMode="External"/><Relationship Id="rId20" Type="http://schemas.openxmlformats.org/officeDocument/2006/relationships/hyperlink" Target="mailto:duilio.bianchi@rcslab.it" TargetMode="External"/><Relationship Id="rId29" Type="http://schemas.openxmlformats.org/officeDocument/2006/relationships/hyperlink" Target="mailto:i.eugene@itt.uz" TargetMode="External"/><Relationship Id="rId41" Type="http://schemas.openxmlformats.org/officeDocument/2006/relationships/hyperlink" Target="mailto:sith@lea-consult.de" TargetMode="External"/><Relationship Id="rId1" Type="http://schemas.openxmlformats.org/officeDocument/2006/relationships/hyperlink" Target="mailto:testwizard003@gmail.com" TargetMode="External"/><Relationship Id="rId6" Type="http://schemas.openxmlformats.org/officeDocument/2006/relationships/hyperlink" Target="mailto:andrea.raffaelli@carabinieri.it" TargetMode="External"/><Relationship Id="rId11" Type="http://schemas.openxmlformats.org/officeDocument/2006/relationships/hyperlink" Target="mailto:edgar@tevatec.com" TargetMode="External"/><Relationship Id="rId24" Type="http://schemas.openxmlformats.org/officeDocument/2006/relationships/hyperlink" Target="mailto:areyes@entermas.net" TargetMode="External"/><Relationship Id="rId32" Type="http://schemas.openxmlformats.org/officeDocument/2006/relationships/hyperlink" Target="mailto:mauro.sorrento@gmail.it" TargetMode="External"/><Relationship Id="rId37" Type="http://schemas.openxmlformats.org/officeDocument/2006/relationships/hyperlink" Target="mailto:kachalin@advancedmonitoring.ru" TargetMode="External"/><Relationship Id="rId40" Type="http://schemas.openxmlformats.org/officeDocument/2006/relationships/hyperlink" Target="mailto:balogh.peter@nbsz.gov.hu" TargetMode="External"/><Relationship Id="rId45" Type="http://schemas.openxmlformats.org/officeDocument/2006/relationships/hyperlink" Target="mailto:Tomas.Hlavsa@bull.cz" TargetMode="External"/><Relationship Id="rId5" Type="http://schemas.openxmlformats.org/officeDocument/2006/relationships/hyperlink" Target="mailto:gabrieliraf@gmail.com" TargetMode="External"/><Relationship Id="rId15" Type="http://schemas.openxmlformats.org/officeDocument/2006/relationships/hyperlink" Target="mailto:comunicacionesmx2013@gmail.com" TargetMode="External"/><Relationship Id="rId23" Type="http://schemas.openxmlformats.org/officeDocument/2006/relationships/hyperlink" Target="mailto:vittorio.nardone@siospa.it" TargetMode="External"/><Relationship Id="rId28" Type="http://schemas.openxmlformats.org/officeDocument/2006/relationships/hyperlink" Target="mailto:Faical.Tanarhte@fssys.ma" TargetMode="External"/><Relationship Id="rId36" Type="http://schemas.openxmlformats.org/officeDocument/2006/relationships/hyperlink" Target="mailto:teofilo@solucionesdetecnologia.com" TargetMode="External"/><Relationship Id="rId10" Type="http://schemas.openxmlformats.org/officeDocument/2006/relationships/hyperlink" Target="mailto:jaime@tevatec.com" TargetMode="External"/><Relationship Id="rId19" Type="http://schemas.openxmlformats.org/officeDocument/2006/relationships/hyperlink" Target="mailto:macsalva@tin.it" TargetMode="External"/><Relationship Id="rId31" Type="http://schemas.openxmlformats.org/officeDocument/2006/relationships/hyperlink" Target="mailto:almuatasim.albahri@gmail.com" TargetMode="External"/><Relationship Id="rId44" Type="http://schemas.openxmlformats.org/officeDocument/2006/relationships/hyperlink" Target="mailto:mbaier@cyberpointllc.com" TargetMode="External"/><Relationship Id="rId4" Type="http://schemas.openxmlformats.org/officeDocument/2006/relationships/hyperlink" Target="mailto:cba170@cba.gov.pl" TargetMode="External"/><Relationship Id="rId9" Type="http://schemas.openxmlformats.org/officeDocument/2006/relationships/hyperlink" Target="mailto:tskalli@hotmail.com" TargetMode="External"/><Relationship Id="rId14" Type="http://schemas.openxmlformats.org/officeDocument/2006/relationships/hyperlink" Target="mailto:angsk@pcs-security.com" TargetMode="External"/><Relationship Id="rId22" Type="http://schemas.openxmlformats.org/officeDocument/2006/relationships/hyperlink" Target="mailto:ferdinando.dalessandro@siospa.it" TargetMode="External"/><Relationship Id="rId27" Type="http://schemas.openxmlformats.org/officeDocument/2006/relationships/hyperlink" Target="mailto:kamarulzamani@miliserv.com" TargetMode="External"/><Relationship Id="rId30" Type="http://schemas.openxmlformats.org/officeDocument/2006/relationships/hyperlink" Target="mailto:dbi@itt.uz" TargetMode="External"/><Relationship Id="rId35" Type="http://schemas.openxmlformats.org/officeDocument/2006/relationships/hyperlink" Target="mailto:hardila@robotec.com" TargetMode="External"/><Relationship Id="rId43" Type="http://schemas.openxmlformats.org/officeDocument/2006/relationships/hyperlink" Target="mailto:akocak005@gmail.com" TargetMode="External"/><Relationship Id="rId48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2"/>
  <sheetViews>
    <sheetView workbookViewId="0">
      <selection activeCell="D26" sqref="D26"/>
    </sheetView>
  </sheetViews>
  <sheetFormatPr defaultColWidth="8.85546875" defaultRowHeight="15"/>
  <cols>
    <col min="1" max="1" width="12.85546875" style="10" customWidth="1"/>
    <col min="2" max="2" width="18.42578125" style="11" customWidth="1"/>
    <col min="3" max="3" width="15.5703125" style="10" bestFit="1" customWidth="1"/>
    <col min="4" max="8" width="2" style="10" customWidth="1"/>
    <col min="9" max="55" width="3" style="10" customWidth="1"/>
    <col min="56" max="56" width="10.7109375" style="10" bestFit="1" customWidth="1"/>
    <col min="57" max="16384" width="8.85546875" style="10"/>
  </cols>
  <sheetData>
    <row r="3" spans="1:3">
      <c r="A3" s="10" t="s">
        <v>391</v>
      </c>
      <c r="B3" s="128" t="s">
        <v>390</v>
      </c>
      <c r="C3" s="130" t="s">
        <v>392</v>
      </c>
    </row>
    <row r="4" spans="1:3">
      <c r="A4" s="129" t="s">
        <v>50</v>
      </c>
      <c r="B4" s="128">
        <v>10</v>
      </c>
      <c r="C4" s="10">
        <v>1</v>
      </c>
    </row>
    <row r="5" spans="1:3">
      <c r="A5" s="129" t="s">
        <v>33</v>
      </c>
      <c r="B5" s="128">
        <v>17</v>
      </c>
      <c r="C5" s="10">
        <v>2</v>
      </c>
    </row>
    <row r="6" spans="1:3">
      <c r="A6" s="129" t="s">
        <v>111</v>
      </c>
      <c r="B6" s="128">
        <v>11</v>
      </c>
      <c r="C6" s="10">
        <v>3</v>
      </c>
    </row>
    <row r="7" spans="1:3">
      <c r="A7" s="129" t="s">
        <v>64</v>
      </c>
      <c r="B7" s="128">
        <v>13</v>
      </c>
      <c r="C7" s="10">
        <v>1</v>
      </c>
    </row>
    <row r="8" spans="1:3">
      <c r="A8" s="129" t="s">
        <v>127</v>
      </c>
      <c r="B8" s="128">
        <v>3</v>
      </c>
    </row>
    <row r="9" spans="1:3">
      <c r="A9" s="129" t="s">
        <v>389</v>
      </c>
      <c r="B9" s="128">
        <v>54</v>
      </c>
      <c r="C9" s="131">
        <f>+SUM(C4:C8)</f>
        <v>7</v>
      </c>
    </row>
    <row r="10" spans="1:3">
      <c r="B10" s="10"/>
    </row>
    <row r="11" spans="1:3">
      <c r="B11" s="10"/>
    </row>
    <row r="12" spans="1:3">
      <c r="B12" s="10"/>
    </row>
    <row r="13" spans="1:3">
      <c r="B13" s="10"/>
    </row>
    <row r="14" spans="1:3">
      <c r="B14" s="10"/>
    </row>
    <row r="15" spans="1:3">
      <c r="B15" s="10"/>
    </row>
    <row r="16" spans="1:3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  <row r="31" spans="2:2">
      <c r="B31" s="10"/>
    </row>
    <row r="32" spans="2:2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  <pageSetUpPr fitToPage="1"/>
  </sheetPr>
  <dimension ref="A1:BU97"/>
  <sheetViews>
    <sheetView zoomScale="60" zoomScaleNormal="60" zoomScalePageLayoutView="60" workbookViewId="0">
      <pane xSplit="4" ySplit="3" topLeftCell="R34" activePane="bottomRight" state="frozen"/>
      <selection pane="topRight" activeCell="D1" sqref="D1"/>
      <selection pane="bottomLeft" activeCell="A4" sqref="A4"/>
      <selection pane="bottomRight" activeCell="E46" sqref="E46"/>
    </sheetView>
  </sheetViews>
  <sheetFormatPr defaultColWidth="8.7109375" defaultRowHeight="15.75" outlineLevelCol="1"/>
  <cols>
    <col min="1" max="1" width="10" style="15" customWidth="1"/>
    <col min="2" max="2" width="6.85546875" style="5" bestFit="1" customWidth="1"/>
    <col min="3" max="3" width="29.140625" style="5" customWidth="1"/>
    <col min="4" max="4" width="17.42578125" style="5" bestFit="1" customWidth="1"/>
    <col min="5" max="5" width="17.42578125" style="5" customWidth="1"/>
    <col min="6" max="6" width="45.140625" style="5" customWidth="1"/>
    <col min="7" max="7" width="37.140625" style="5" customWidth="1"/>
    <col min="8" max="8" width="28.42578125" style="5" customWidth="1"/>
    <col min="9" max="9" width="15.140625" style="5" bestFit="1" customWidth="1"/>
    <col min="10" max="10" width="12.28515625" style="5" customWidth="1"/>
    <col min="11" max="11" width="21.7109375" style="5" customWidth="1"/>
    <col min="12" max="12" width="26.7109375" style="5" customWidth="1"/>
    <col min="13" max="13" width="21.42578125" style="5" customWidth="1"/>
    <col min="14" max="14" width="19.42578125" style="8" customWidth="1"/>
    <col min="15" max="16" width="20.42578125" style="5" customWidth="1"/>
    <col min="17" max="17" width="15.7109375" style="5" bestFit="1" customWidth="1"/>
    <col min="18" max="18" width="22" style="5" bestFit="1" customWidth="1"/>
    <col min="19" max="19" width="14.42578125" style="5" bestFit="1" customWidth="1"/>
    <col min="20" max="20" width="16.7109375" style="5" bestFit="1" customWidth="1"/>
    <col min="21" max="21" width="18.42578125" style="5" bestFit="1" customWidth="1"/>
    <col min="22" max="22" width="16.7109375" style="5" bestFit="1" customWidth="1"/>
    <col min="23" max="23" width="20.28515625" style="1" bestFit="1" customWidth="1"/>
    <col min="24" max="24" width="30.42578125" style="5" bestFit="1" customWidth="1"/>
    <col min="25" max="25" width="24" style="5" bestFit="1" customWidth="1"/>
    <col min="26" max="26" width="17.28515625" style="1" bestFit="1" customWidth="1"/>
    <col min="27" max="27" width="29.140625" style="5" bestFit="1" customWidth="1"/>
    <col min="28" max="28" width="16.140625" style="5" bestFit="1" customWidth="1"/>
    <col min="29" max="29" width="13.7109375" style="5" customWidth="1"/>
    <col min="30" max="30" width="23.140625" style="5" hidden="1" customWidth="1" outlineLevel="1"/>
    <col min="31" max="31" width="16.140625" style="5" hidden="1" customWidth="1" outlineLevel="1"/>
    <col min="32" max="32" width="12.7109375" style="5" customWidth="1" collapsed="1"/>
    <col min="33" max="33" width="23.140625" style="5" hidden="1" customWidth="1" outlineLevel="1"/>
    <col min="34" max="34" width="16.140625" style="5" hidden="1" customWidth="1" outlineLevel="1"/>
    <col min="35" max="35" width="12.7109375" style="5" customWidth="1" collapsed="1"/>
    <col min="36" max="36" width="23.140625" style="5" hidden="1" customWidth="1" outlineLevel="1"/>
    <col min="37" max="37" width="16.140625" style="5" hidden="1" customWidth="1" outlineLevel="1"/>
    <col min="38" max="38" width="12.7109375" style="5" customWidth="1" collapsed="1"/>
    <col min="39" max="39" width="27" style="5" bestFit="1" customWidth="1" collapsed="1"/>
    <col min="40" max="40" width="28.140625" style="5" customWidth="1"/>
    <col min="41" max="41" width="14.7109375" style="5" customWidth="1"/>
    <col min="42" max="42" width="6.42578125" style="5" hidden="1" customWidth="1" outlineLevel="1" collapsed="1"/>
    <col min="43" max="43" width="19" style="5" hidden="1" customWidth="1" outlineLevel="1"/>
    <col min="44" max="44" width="16" style="5" hidden="1" customWidth="1" outlineLevel="1"/>
    <col min="45" max="45" width="34.140625" style="5" hidden="1" customWidth="1" outlineLevel="1"/>
    <col min="46" max="46" width="22.7109375" style="5" hidden="1" customWidth="1" outlineLevel="1"/>
    <col min="47" max="47" width="19.140625" style="6" hidden="1" customWidth="1" outlineLevel="1"/>
    <col min="48" max="48" width="21" style="6" hidden="1" customWidth="1" outlineLevel="1"/>
    <col min="49" max="49" width="13.42578125" style="5" hidden="1" customWidth="1" outlineLevel="1"/>
    <col min="50" max="50" width="8.140625" style="6" hidden="1" customWidth="1" outlineLevel="1"/>
    <col min="51" max="51" width="8.7109375" style="5" customWidth="1" collapsed="1"/>
    <col min="52" max="52" width="25" style="5" bestFit="1" customWidth="1"/>
    <col min="53" max="53" width="24.28515625" style="5" customWidth="1"/>
    <col min="54" max="16384" width="8.7109375" style="5"/>
  </cols>
  <sheetData>
    <row r="1" spans="1:55" ht="16.5" thickBot="1"/>
    <row r="2" spans="1:55" ht="32.25" thickBot="1">
      <c r="C2" s="7"/>
      <c r="R2" s="148" t="s">
        <v>350</v>
      </c>
      <c r="S2" s="149"/>
      <c r="T2" s="149"/>
      <c r="U2" s="149"/>
      <c r="V2" s="150"/>
      <c r="W2" s="151" t="s">
        <v>383</v>
      </c>
      <c r="X2" s="152"/>
      <c r="Y2" s="153"/>
      <c r="Z2" s="5"/>
      <c r="AA2" s="7" t="s">
        <v>306</v>
      </c>
      <c r="AB2" s="9" t="s">
        <v>315</v>
      </c>
    </row>
    <row r="3" spans="1:55" ht="39" customHeight="1">
      <c r="B3" s="16" t="s">
        <v>0</v>
      </c>
      <c r="C3" s="16" t="s">
        <v>1</v>
      </c>
      <c r="D3" s="16" t="s">
        <v>2</v>
      </c>
      <c r="E3" s="16" t="s">
        <v>336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7" t="s">
        <v>10</v>
      </c>
      <c r="N3" s="16" t="s">
        <v>11</v>
      </c>
      <c r="O3" s="18" t="s">
        <v>12</v>
      </c>
      <c r="P3" s="18" t="s">
        <v>314</v>
      </c>
      <c r="Q3" s="19">
        <v>2015</v>
      </c>
      <c r="R3" s="107" t="s">
        <v>330</v>
      </c>
      <c r="S3" s="108" t="s">
        <v>344</v>
      </c>
      <c r="T3" s="108" t="s">
        <v>345</v>
      </c>
      <c r="U3" s="108" t="s">
        <v>346</v>
      </c>
      <c r="V3" s="109" t="s">
        <v>347</v>
      </c>
      <c r="W3" s="89" t="s">
        <v>316</v>
      </c>
      <c r="X3" s="90" t="s">
        <v>317</v>
      </c>
      <c r="Y3" s="91" t="s">
        <v>318</v>
      </c>
      <c r="Z3" s="46" t="s">
        <v>331</v>
      </c>
      <c r="AA3" s="37" t="s">
        <v>319</v>
      </c>
      <c r="AB3" s="38" t="s">
        <v>320</v>
      </c>
      <c r="AC3" s="38" t="s">
        <v>321</v>
      </c>
      <c r="AD3" s="37" t="s">
        <v>322</v>
      </c>
      <c r="AE3" s="37" t="s">
        <v>323</v>
      </c>
      <c r="AF3" s="38" t="s">
        <v>324</v>
      </c>
      <c r="AG3" s="37" t="s">
        <v>325</v>
      </c>
      <c r="AH3" s="37" t="s">
        <v>326</v>
      </c>
      <c r="AI3" s="38" t="s">
        <v>327</v>
      </c>
      <c r="AJ3" s="37" t="s">
        <v>328</v>
      </c>
      <c r="AK3" s="37" t="s">
        <v>329</v>
      </c>
      <c r="AL3" s="50" t="s">
        <v>16</v>
      </c>
      <c r="AM3" s="18" t="s">
        <v>17</v>
      </c>
      <c r="AN3" s="18" t="s">
        <v>18</v>
      </c>
      <c r="AO3" s="18" t="s">
        <v>19</v>
      </c>
      <c r="AP3" s="18" t="s">
        <v>20</v>
      </c>
      <c r="AQ3" s="18" t="s">
        <v>21</v>
      </c>
      <c r="AR3" s="18" t="s">
        <v>22</v>
      </c>
      <c r="AS3" s="18" t="s">
        <v>23</v>
      </c>
      <c r="AT3" s="18" t="s">
        <v>24</v>
      </c>
      <c r="AU3" s="21" t="s">
        <v>25</v>
      </c>
      <c r="AV3" s="21" t="s">
        <v>26</v>
      </c>
      <c r="AW3" s="18" t="s">
        <v>27</v>
      </c>
      <c r="AX3" s="21" t="s">
        <v>28</v>
      </c>
      <c r="BC3" s="5" t="s">
        <v>393</v>
      </c>
    </row>
    <row r="4" spans="1:55" ht="19.899999999999999" customHeight="1">
      <c r="A4" s="132"/>
      <c r="B4" s="53">
        <v>1</v>
      </c>
      <c r="C4" s="138" t="s">
        <v>29</v>
      </c>
      <c r="D4" s="53" t="s">
        <v>30</v>
      </c>
      <c r="E4" s="53" t="s">
        <v>290</v>
      </c>
      <c r="F4" s="52" t="s">
        <v>31</v>
      </c>
      <c r="G4" s="52"/>
      <c r="H4" s="53" t="s">
        <v>32</v>
      </c>
      <c r="I4" s="53" t="s">
        <v>33</v>
      </c>
      <c r="J4" s="53" t="s">
        <v>34</v>
      </c>
      <c r="K4" s="53" t="s">
        <v>35</v>
      </c>
      <c r="L4" s="22" t="s">
        <v>36</v>
      </c>
      <c r="M4" s="23" t="s">
        <v>37</v>
      </c>
      <c r="N4" s="24" t="s">
        <v>38</v>
      </c>
      <c r="O4" s="25">
        <f t="shared" ref="O4:O34" si="0">+AL4+AI4+AF4+AC4+Z4+W4</f>
        <v>800166.2</v>
      </c>
      <c r="P4" s="14" t="e">
        <f>+O4*#REF!</f>
        <v>#REF!</v>
      </c>
      <c r="Q4" s="32">
        <f>43333/5*1</f>
        <v>8666.6</v>
      </c>
      <c r="R4" s="110">
        <f t="shared" ref="R4:R42" si="1">+SUM(S4:V4)</f>
        <v>0</v>
      </c>
      <c r="S4" s="111"/>
      <c r="T4" s="111"/>
      <c r="U4" s="111"/>
      <c r="V4" s="112"/>
      <c r="W4" s="104">
        <f t="shared" ref="W4:W34" si="2">+X4+Y4</f>
        <v>17333.2</v>
      </c>
      <c r="X4" s="93">
        <v>0</v>
      </c>
      <c r="Y4" s="94">
        <f>43333/5*2</f>
        <v>17333.2</v>
      </c>
      <c r="Z4" s="27">
        <f t="shared" ref="Z4:Z34" si="3">+AA4+AB4</f>
        <v>17333</v>
      </c>
      <c r="AA4" s="28"/>
      <c r="AB4" s="56">
        <v>17333</v>
      </c>
      <c r="AC4" s="49">
        <f t="shared" ref="AC4:AC34" si="4">+AD4+AE4</f>
        <v>229000</v>
      </c>
      <c r="AD4" s="29">
        <v>133667</v>
      </c>
      <c r="AE4" s="57">
        <v>95333</v>
      </c>
      <c r="AF4" s="49">
        <f t="shared" ref="AF4:AF34" si="5">+AG4+AH4</f>
        <v>0</v>
      </c>
      <c r="AG4" s="29">
        <v>0</v>
      </c>
      <c r="AH4" s="57">
        <v>0</v>
      </c>
      <c r="AI4" s="49">
        <f t="shared" ref="AI4:AI34" si="6">+AJ4+AK4</f>
        <v>0</v>
      </c>
      <c r="AJ4" s="29">
        <v>0</v>
      </c>
      <c r="AK4" s="57">
        <v>0</v>
      </c>
      <c r="AL4" s="51">
        <v>536500</v>
      </c>
      <c r="AM4" s="58">
        <v>42185</v>
      </c>
      <c r="AN4" s="2">
        <v>100000</v>
      </c>
      <c r="AO4" s="2" t="s">
        <v>176</v>
      </c>
      <c r="AP4" s="14"/>
      <c r="AS4" s="4"/>
      <c r="AT4" s="30" t="s">
        <v>39</v>
      </c>
      <c r="AU4" s="2"/>
      <c r="AV4" s="2">
        <v>43333</v>
      </c>
      <c r="AW4" s="14" t="e">
        <f>AU4-#REF!-#REF!-Q4+AV4</f>
        <v>#REF!</v>
      </c>
      <c r="AX4" s="59"/>
    </row>
    <row r="5" spans="1:55" ht="19.899999999999999" customHeight="1">
      <c r="A5" s="133"/>
      <c r="B5" s="53">
        <v>2</v>
      </c>
      <c r="C5" s="138" t="s">
        <v>40</v>
      </c>
      <c r="D5" s="53" t="s">
        <v>41</v>
      </c>
      <c r="E5" s="53" t="s">
        <v>290</v>
      </c>
      <c r="F5" s="52" t="s">
        <v>42</v>
      </c>
      <c r="G5" s="52"/>
      <c r="H5" s="53" t="s">
        <v>311</v>
      </c>
      <c r="I5" s="53" t="s">
        <v>33</v>
      </c>
      <c r="J5" s="53" t="s">
        <v>43</v>
      </c>
      <c r="K5" s="1" t="s">
        <v>35</v>
      </c>
      <c r="L5" s="22" t="s">
        <v>36</v>
      </c>
      <c r="M5" s="23" t="s">
        <v>37</v>
      </c>
      <c r="N5" s="24" t="s">
        <v>44</v>
      </c>
      <c r="O5" s="25">
        <f t="shared" si="0"/>
        <v>538000</v>
      </c>
      <c r="P5" s="14" t="e">
        <f>+O5*#REF!</f>
        <v>#REF!</v>
      </c>
      <c r="Q5" s="14"/>
      <c r="R5" s="110">
        <f t="shared" si="1"/>
        <v>0</v>
      </c>
      <c r="S5" s="111"/>
      <c r="T5" s="111"/>
      <c r="U5" s="111"/>
      <c r="V5" s="112"/>
      <c r="W5" s="104">
        <f t="shared" si="2"/>
        <v>0</v>
      </c>
      <c r="X5" s="93">
        <v>0</v>
      </c>
      <c r="Y5" s="94">
        <v>0</v>
      </c>
      <c r="Z5" s="27">
        <f t="shared" si="3"/>
        <v>0</v>
      </c>
      <c r="AA5" s="28"/>
      <c r="AB5" s="60"/>
      <c r="AC5" s="49">
        <f t="shared" si="4"/>
        <v>0</v>
      </c>
      <c r="AD5" s="29">
        <v>0</v>
      </c>
      <c r="AE5" s="57">
        <v>0</v>
      </c>
      <c r="AF5" s="49">
        <f t="shared" si="5"/>
        <v>67500</v>
      </c>
      <c r="AG5" s="57">
        <v>27500</v>
      </c>
      <c r="AH5" s="57">
        <v>40000</v>
      </c>
      <c r="AI5" s="49">
        <f t="shared" si="6"/>
        <v>164500</v>
      </c>
      <c r="AJ5" s="29">
        <f>72000+34500</f>
        <v>106500</v>
      </c>
      <c r="AK5" s="57">
        <f>23000+17500+17500</f>
        <v>58000</v>
      </c>
      <c r="AL5" s="51">
        <f>198000+108000</f>
        <v>306000</v>
      </c>
      <c r="AM5" s="61">
        <v>41974</v>
      </c>
      <c r="AN5" s="2">
        <v>52000</v>
      </c>
      <c r="AO5" s="2" t="s">
        <v>176</v>
      </c>
      <c r="AP5" s="14"/>
      <c r="AS5" s="1"/>
      <c r="AT5" s="1"/>
      <c r="AU5" s="2"/>
      <c r="AV5" s="2"/>
      <c r="AW5" s="14" t="e">
        <f>AU5-#REF!-#REF!-Q5+AV5</f>
        <v>#REF!</v>
      </c>
      <c r="AX5" s="59"/>
    </row>
    <row r="6" spans="1:55" ht="19.899999999999999" customHeight="1">
      <c r="A6" s="134"/>
      <c r="B6" s="53">
        <v>3</v>
      </c>
      <c r="C6" s="138" t="s">
        <v>45</v>
      </c>
      <c r="D6" s="53" t="s">
        <v>46</v>
      </c>
      <c r="E6" s="53" t="s">
        <v>293</v>
      </c>
      <c r="F6" s="52" t="s">
        <v>47</v>
      </c>
      <c r="G6" s="52" t="s">
        <v>48</v>
      </c>
      <c r="H6" s="53" t="s">
        <v>49</v>
      </c>
      <c r="I6" s="53" t="s">
        <v>50</v>
      </c>
      <c r="J6" s="53" t="s">
        <v>43</v>
      </c>
      <c r="K6" s="53" t="s">
        <v>51</v>
      </c>
      <c r="L6" s="62" t="s">
        <v>52</v>
      </c>
      <c r="M6" s="63" t="s">
        <v>37</v>
      </c>
      <c r="N6" s="24" t="s">
        <v>53</v>
      </c>
      <c r="O6" s="25">
        <f>+AL6+AI6+AF6+AC6+Z6+W6</f>
        <v>1107800.3333333333</v>
      </c>
      <c r="P6" s="14" t="e">
        <f>+O6*#REF!</f>
        <v>#REF!</v>
      </c>
      <c r="Q6" s="32">
        <f>(45000/12*2) + (28000/12*2)</f>
        <v>12166.666666666668</v>
      </c>
      <c r="R6" s="110">
        <f t="shared" si="1"/>
        <v>11333</v>
      </c>
      <c r="S6" s="111"/>
      <c r="T6" s="111"/>
      <c r="U6" s="111">
        <v>11333</v>
      </c>
      <c r="V6" s="112"/>
      <c r="W6" s="104">
        <f t="shared" si="2"/>
        <v>89000.333333333343</v>
      </c>
      <c r="X6" s="93">
        <v>0</v>
      </c>
      <c r="Y6" s="94">
        <f>(21000+750*2) + (45000/12*10) + (28000/12*10) + 5667</f>
        <v>89000.333333333343</v>
      </c>
      <c r="Z6" s="27">
        <f t="shared" si="3"/>
        <v>126500</v>
      </c>
      <c r="AA6" s="29"/>
      <c r="AB6" s="64">
        <f>119000+9000/12*10</f>
        <v>126500</v>
      </c>
      <c r="AC6" s="49">
        <f t="shared" si="4"/>
        <v>99600</v>
      </c>
      <c r="AD6" s="29">
        <v>0</v>
      </c>
      <c r="AE6" s="57">
        <v>99600</v>
      </c>
      <c r="AF6" s="49">
        <f t="shared" si="5"/>
        <v>180700</v>
      </c>
      <c r="AG6" s="29">
        <v>49500</v>
      </c>
      <c r="AH6" s="57">
        <v>131200</v>
      </c>
      <c r="AI6" s="49">
        <f t="shared" si="6"/>
        <v>216000</v>
      </c>
      <c r="AJ6" s="29">
        <v>216000</v>
      </c>
      <c r="AK6" s="57">
        <v>0</v>
      </c>
      <c r="AL6" s="51">
        <v>396000</v>
      </c>
      <c r="AM6" s="61">
        <v>41729</v>
      </c>
      <c r="AN6" s="2">
        <v>89000</v>
      </c>
      <c r="AO6" s="2" t="s">
        <v>54</v>
      </c>
      <c r="AP6" s="14"/>
      <c r="AS6" s="1"/>
      <c r="AT6" s="1"/>
      <c r="AU6" s="2"/>
      <c r="AV6" s="2"/>
      <c r="AW6" s="14" t="e">
        <f>AU6-#REF!-#REF!-Q6+AV6</f>
        <v>#REF!</v>
      </c>
      <c r="AX6" s="59"/>
    </row>
    <row r="7" spans="1:55" ht="19.899999999999999" customHeight="1">
      <c r="A7" s="132"/>
      <c r="B7" s="53">
        <v>4</v>
      </c>
      <c r="C7" s="138" t="s">
        <v>56</v>
      </c>
      <c r="D7" s="53" t="s">
        <v>57</v>
      </c>
      <c r="E7" s="53" t="s">
        <v>294</v>
      </c>
      <c r="F7" s="52" t="s">
        <v>58</v>
      </c>
      <c r="G7" s="52"/>
      <c r="H7" s="53" t="s">
        <v>59</v>
      </c>
      <c r="I7" s="53" t="s">
        <v>33</v>
      </c>
      <c r="J7" s="53" t="s">
        <v>43</v>
      </c>
      <c r="K7" s="1" t="s">
        <v>35</v>
      </c>
      <c r="L7" s="22" t="s">
        <v>36</v>
      </c>
      <c r="M7" s="23">
        <v>50</v>
      </c>
      <c r="N7" s="24" t="s">
        <v>53</v>
      </c>
      <c r="O7" s="25">
        <f t="shared" si="0"/>
        <v>794000</v>
      </c>
      <c r="P7" s="14" t="e">
        <f>+O7*#REF!</f>
        <v>#REF!</v>
      </c>
      <c r="Q7" s="14"/>
      <c r="R7" s="110">
        <f t="shared" si="1"/>
        <v>0</v>
      </c>
      <c r="S7" s="111"/>
      <c r="T7" s="111"/>
      <c r="U7" s="111"/>
      <c r="V7" s="112"/>
      <c r="W7" s="104">
        <f t="shared" si="2"/>
        <v>63000</v>
      </c>
      <c r="X7" s="92">
        <v>22000</v>
      </c>
      <c r="Y7" s="94">
        <v>41000</v>
      </c>
      <c r="Z7" s="27">
        <f t="shared" si="3"/>
        <v>156000</v>
      </c>
      <c r="AA7" s="29">
        <v>115000</v>
      </c>
      <c r="AB7" s="56">
        <v>41000</v>
      </c>
      <c r="AC7" s="49">
        <f t="shared" si="4"/>
        <v>0</v>
      </c>
      <c r="AD7" s="29">
        <v>0</v>
      </c>
      <c r="AE7" s="57">
        <v>0</v>
      </c>
      <c r="AF7" s="49">
        <f t="shared" si="5"/>
        <v>41000</v>
      </c>
      <c r="AG7" s="29">
        <v>0</v>
      </c>
      <c r="AH7" s="57">
        <v>41000</v>
      </c>
      <c r="AI7" s="49">
        <f t="shared" si="6"/>
        <v>83000</v>
      </c>
      <c r="AJ7" s="29">
        <v>41000</v>
      </c>
      <c r="AK7" s="57">
        <v>42000</v>
      </c>
      <c r="AL7" s="51">
        <f>410000+41000</f>
        <v>451000</v>
      </c>
      <c r="AM7" s="58">
        <v>42003</v>
      </c>
      <c r="AN7" s="59">
        <v>41000</v>
      </c>
      <c r="AO7" s="59" t="s">
        <v>54</v>
      </c>
      <c r="AP7" s="14"/>
      <c r="AS7" s="1"/>
      <c r="AT7" s="1" t="s">
        <v>105</v>
      </c>
      <c r="AU7" s="2">
        <v>20714</v>
      </c>
      <c r="AV7" s="2"/>
      <c r="AW7" s="14" t="e">
        <f>AU7-#REF!-#REF!-Q7+AV7</f>
        <v>#REF!</v>
      </c>
      <c r="AX7" s="59"/>
      <c r="AY7" s="1"/>
      <c r="AZ7" s="2"/>
    </row>
    <row r="8" spans="1:55" ht="19.899999999999999" customHeight="1">
      <c r="A8" s="133"/>
      <c r="B8" s="53">
        <v>6</v>
      </c>
      <c r="C8" s="138" t="s">
        <v>60</v>
      </c>
      <c r="D8" s="53" t="s">
        <v>61</v>
      </c>
      <c r="E8" s="53" t="s">
        <v>292</v>
      </c>
      <c r="F8" s="52" t="s">
        <v>62</v>
      </c>
      <c r="G8" s="52" t="s">
        <v>63</v>
      </c>
      <c r="H8" s="53" t="s">
        <v>60</v>
      </c>
      <c r="I8" s="53" t="s">
        <v>64</v>
      </c>
      <c r="J8" s="53" t="s">
        <v>43</v>
      </c>
      <c r="K8" s="1" t="s">
        <v>35</v>
      </c>
      <c r="L8" s="4" t="s">
        <v>188</v>
      </c>
      <c r="M8" s="23">
        <v>300</v>
      </c>
      <c r="N8" s="24" t="s">
        <v>65</v>
      </c>
      <c r="O8" s="25">
        <f t="shared" si="0"/>
        <v>1796050</v>
      </c>
      <c r="P8" s="14" t="e">
        <f>+O8*#REF!</f>
        <v>#REF!</v>
      </c>
      <c r="Q8" s="36">
        <v>140000</v>
      </c>
      <c r="R8" s="110">
        <f t="shared" si="1"/>
        <v>0</v>
      </c>
      <c r="S8" s="111"/>
      <c r="T8" s="111"/>
      <c r="U8" s="111"/>
      <c r="V8" s="112"/>
      <c r="W8" s="104">
        <f t="shared" si="2"/>
        <v>74800</v>
      </c>
      <c r="X8" s="96">
        <v>74800</v>
      </c>
      <c r="Y8" s="94"/>
      <c r="Z8" s="27">
        <f t="shared" si="3"/>
        <v>961250</v>
      </c>
      <c r="AA8" s="29">
        <f>861250+25000</f>
        <v>886250</v>
      </c>
      <c r="AB8" s="64">
        <v>75000</v>
      </c>
      <c r="AC8" s="49">
        <f t="shared" si="4"/>
        <v>0</v>
      </c>
      <c r="AD8" s="29">
        <v>0</v>
      </c>
      <c r="AE8" s="57">
        <v>0</v>
      </c>
      <c r="AF8" s="49">
        <f t="shared" si="5"/>
        <v>100000</v>
      </c>
      <c r="AG8" s="57">
        <v>65000</v>
      </c>
      <c r="AH8" s="57">
        <v>35000</v>
      </c>
      <c r="AI8" s="49">
        <f t="shared" si="6"/>
        <v>260000</v>
      </c>
      <c r="AJ8" s="29">
        <v>208000</v>
      </c>
      <c r="AK8" s="57">
        <v>52000</v>
      </c>
      <c r="AL8" s="51">
        <f>250000+150000</f>
        <v>400000</v>
      </c>
      <c r="AM8" s="61">
        <v>41974</v>
      </c>
      <c r="AN8" s="2">
        <v>140000</v>
      </c>
      <c r="AO8" s="2" t="s">
        <v>54</v>
      </c>
      <c r="AP8" s="14"/>
      <c r="AW8" s="14" t="e">
        <f>AU8-#REF!-#REF!-Q8+AV8</f>
        <v>#REF!</v>
      </c>
      <c r="AX8" s="59"/>
      <c r="AY8" s="1"/>
      <c r="AZ8" s="2"/>
    </row>
    <row r="9" spans="1:55" ht="19.899999999999999" customHeight="1">
      <c r="A9" s="134"/>
      <c r="B9" s="53">
        <v>8</v>
      </c>
      <c r="C9" s="138" t="s">
        <v>67</v>
      </c>
      <c r="D9" s="53" t="s">
        <v>30</v>
      </c>
      <c r="E9" s="53" t="s">
        <v>290</v>
      </c>
      <c r="F9" s="52" t="s">
        <v>68</v>
      </c>
      <c r="G9" s="52"/>
      <c r="H9" s="53" t="s">
        <v>69</v>
      </c>
      <c r="I9" s="53" t="s">
        <v>33</v>
      </c>
      <c r="J9" s="53" t="s">
        <v>70</v>
      </c>
      <c r="K9" s="66" t="s">
        <v>35</v>
      </c>
      <c r="L9" s="53" t="s">
        <v>71</v>
      </c>
      <c r="M9" s="67">
        <v>80</v>
      </c>
      <c r="N9" s="24" t="s">
        <v>65</v>
      </c>
      <c r="O9" s="25">
        <f t="shared" si="0"/>
        <v>543250</v>
      </c>
      <c r="P9" s="14" t="e">
        <f>+O9*#REF!</f>
        <v>#REF!</v>
      </c>
      <c r="Q9" s="14"/>
      <c r="R9" s="110">
        <f t="shared" si="1"/>
        <v>0</v>
      </c>
      <c r="S9" s="111"/>
      <c r="T9" s="111"/>
      <c r="U9" s="111"/>
      <c r="V9" s="112"/>
      <c r="W9" s="104">
        <f t="shared" si="2"/>
        <v>45000</v>
      </c>
      <c r="X9" s="93">
        <v>0</v>
      </c>
      <c r="Y9" s="97">
        <v>45000</v>
      </c>
      <c r="Z9" s="27">
        <f t="shared" si="3"/>
        <v>45000</v>
      </c>
      <c r="AA9" s="31"/>
      <c r="AB9" s="64">
        <v>45000</v>
      </c>
      <c r="AC9" s="49">
        <f t="shared" si="4"/>
        <v>0</v>
      </c>
      <c r="AD9" s="29">
        <v>0</v>
      </c>
      <c r="AE9" s="57">
        <v>0</v>
      </c>
      <c r="AF9" s="49">
        <f t="shared" si="5"/>
        <v>50000</v>
      </c>
      <c r="AG9" s="29">
        <v>0</v>
      </c>
      <c r="AH9" s="57">
        <v>50000</v>
      </c>
      <c r="AI9" s="49">
        <f t="shared" si="6"/>
        <v>85000</v>
      </c>
      <c r="AJ9" s="29">
        <v>69000</v>
      </c>
      <c r="AK9" s="57">
        <v>16000</v>
      </c>
      <c r="AL9" s="51">
        <f>305000+13250</f>
        <v>318250</v>
      </c>
      <c r="AM9" s="61">
        <v>41638</v>
      </c>
      <c r="AN9" s="2">
        <v>50000</v>
      </c>
      <c r="AO9" s="2" t="s">
        <v>54</v>
      </c>
      <c r="AP9" s="14"/>
      <c r="AS9" s="1"/>
      <c r="AT9" s="1" t="s">
        <v>55</v>
      </c>
      <c r="AU9" s="2">
        <f>140000+9000</f>
        <v>149000</v>
      </c>
      <c r="AV9" s="2"/>
      <c r="AW9" s="14" t="e">
        <f>AU9-#REF!-#REF!-Q9+AV9</f>
        <v>#REF!</v>
      </c>
      <c r="AX9" s="59"/>
      <c r="AY9" s="1"/>
      <c r="AZ9" s="2"/>
    </row>
    <row r="10" spans="1:55" ht="19.899999999999999" customHeight="1">
      <c r="A10" s="132"/>
      <c r="B10" s="53">
        <v>9</v>
      </c>
      <c r="C10" s="135" t="s">
        <v>72</v>
      </c>
      <c r="D10" s="53" t="s">
        <v>73</v>
      </c>
      <c r="E10" s="53" t="s">
        <v>293</v>
      </c>
      <c r="F10" s="52" t="s">
        <v>74</v>
      </c>
      <c r="G10" s="52" t="s">
        <v>75</v>
      </c>
      <c r="H10" s="53" t="s">
        <v>72</v>
      </c>
      <c r="I10" s="53" t="s">
        <v>50</v>
      </c>
      <c r="J10" s="53" t="s">
        <v>43</v>
      </c>
      <c r="K10" s="1" t="s">
        <v>76</v>
      </c>
      <c r="L10" s="1" t="s">
        <v>77</v>
      </c>
      <c r="M10" s="23">
        <v>30</v>
      </c>
      <c r="N10" s="24" t="s">
        <v>65</v>
      </c>
      <c r="O10" s="25">
        <f t="shared" si="0"/>
        <v>579123</v>
      </c>
      <c r="P10" s="14" t="e">
        <f>+O10*#REF!</f>
        <v>#REF!</v>
      </c>
      <c r="Q10" s="14"/>
      <c r="R10" s="110">
        <f t="shared" si="1"/>
        <v>77000</v>
      </c>
      <c r="S10" s="111"/>
      <c r="T10" s="111"/>
      <c r="U10" s="111"/>
      <c r="V10" s="112">
        <v>77000</v>
      </c>
      <c r="W10" s="104">
        <f t="shared" si="2"/>
        <v>0</v>
      </c>
      <c r="X10" s="93">
        <v>0</v>
      </c>
      <c r="Y10" s="95"/>
      <c r="Z10" s="27">
        <f t="shared" si="3"/>
        <v>77000</v>
      </c>
      <c r="AA10" s="29"/>
      <c r="AB10" s="64">
        <f>38500*2</f>
        <v>77000</v>
      </c>
      <c r="AC10" s="49">
        <f t="shared" si="4"/>
        <v>0</v>
      </c>
      <c r="AD10" s="29">
        <v>0</v>
      </c>
      <c r="AE10" s="57">
        <v>0</v>
      </c>
      <c r="AF10" s="49">
        <f t="shared" si="5"/>
        <v>102123</v>
      </c>
      <c r="AG10" s="29">
        <f>52123</f>
        <v>52123</v>
      </c>
      <c r="AH10" s="57">
        <v>50000</v>
      </c>
      <c r="AI10" s="49">
        <f t="shared" si="6"/>
        <v>10000</v>
      </c>
      <c r="AJ10" s="29">
        <f>10000</f>
        <v>10000</v>
      </c>
      <c r="AK10" s="57">
        <v>0</v>
      </c>
      <c r="AL10" s="51">
        <v>390000</v>
      </c>
      <c r="AM10" s="61">
        <v>41638</v>
      </c>
      <c r="AN10" s="2">
        <v>77000</v>
      </c>
      <c r="AO10" s="2" t="s">
        <v>54</v>
      </c>
      <c r="AP10" s="14"/>
      <c r="AS10" s="1"/>
      <c r="AT10" s="1" t="s">
        <v>210</v>
      </c>
      <c r="AU10" s="2">
        <v>29425</v>
      </c>
      <c r="AV10" s="2"/>
      <c r="AW10" s="14" t="e">
        <f>AU10-#REF!-#REF!-Q10+AV10</f>
        <v>#REF!</v>
      </c>
      <c r="AX10" s="59"/>
      <c r="AY10" s="1"/>
      <c r="AZ10" s="2"/>
    </row>
    <row r="11" spans="1:55" ht="19.899999999999999" customHeight="1">
      <c r="A11" s="133"/>
      <c r="B11" s="53">
        <v>10</v>
      </c>
      <c r="C11" s="138" t="s">
        <v>79</v>
      </c>
      <c r="D11" s="53" t="s">
        <v>30</v>
      </c>
      <c r="E11" s="53" t="s">
        <v>290</v>
      </c>
      <c r="F11" s="52" t="s">
        <v>80</v>
      </c>
      <c r="G11" s="52"/>
      <c r="H11" s="53" t="s">
        <v>81</v>
      </c>
      <c r="I11" s="53" t="s">
        <v>33</v>
      </c>
      <c r="J11" s="53" t="s">
        <v>43</v>
      </c>
      <c r="K11" s="1" t="s">
        <v>51</v>
      </c>
      <c r="L11" s="22" t="s">
        <v>36</v>
      </c>
      <c r="M11" s="23" t="s">
        <v>82</v>
      </c>
      <c r="N11" s="24" t="s">
        <v>65</v>
      </c>
      <c r="O11" s="25">
        <f t="shared" si="0"/>
        <v>716297.96</v>
      </c>
      <c r="P11" s="14" t="e">
        <f>+O11*#REF!</f>
        <v>#REF!</v>
      </c>
      <c r="Q11" s="14"/>
      <c r="R11" s="110">
        <f t="shared" si="1"/>
        <v>97561.48</v>
      </c>
      <c r="S11" s="111"/>
      <c r="T11" s="111"/>
      <c r="U11" s="111"/>
      <c r="V11" s="112">
        <f>27561.48+70000</f>
        <v>97561.48</v>
      </c>
      <c r="W11" s="104">
        <f t="shared" si="2"/>
        <v>82683.48</v>
      </c>
      <c r="X11" s="93">
        <v>0</v>
      </c>
      <c r="Y11" s="97">
        <f>27561+27561+27561.48</f>
        <v>82683.48</v>
      </c>
      <c r="Z11" s="27">
        <f t="shared" si="3"/>
        <v>27561.48</v>
      </c>
      <c r="AA11" s="29"/>
      <c r="AB11" s="127">
        <v>27561.48</v>
      </c>
      <c r="AC11" s="49">
        <f t="shared" si="4"/>
        <v>197720</v>
      </c>
      <c r="AD11" s="29">
        <v>197720</v>
      </c>
      <c r="AE11" s="57">
        <v>0</v>
      </c>
      <c r="AF11" s="49">
        <f t="shared" si="5"/>
        <v>33333</v>
      </c>
      <c r="AG11" s="29">
        <v>0</v>
      </c>
      <c r="AH11" s="57">
        <v>33333</v>
      </c>
      <c r="AI11" s="49">
        <f t="shared" si="6"/>
        <v>0</v>
      </c>
      <c r="AJ11" s="29">
        <v>0</v>
      </c>
      <c r="AK11" s="57">
        <v>0</v>
      </c>
      <c r="AL11" s="51">
        <v>375000</v>
      </c>
      <c r="AM11" s="61">
        <v>42003</v>
      </c>
      <c r="AN11" s="2">
        <v>90000</v>
      </c>
      <c r="AO11" s="2" t="s">
        <v>54</v>
      </c>
      <c r="AP11" s="14"/>
      <c r="AS11" s="1"/>
      <c r="AT11" s="30" t="s">
        <v>39</v>
      </c>
      <c r="AU11" s="2"/>
      <c r="AV11" s="2">
        <v>41000</v>
      </c>
      <c r="AW11" s="14" t="e">
        <f>AU11-#REF!-#REF!-Q11+AV11</f>
        <v>#REF!</v>
      </c>
      <c r="AX11" s="59"/>
      <c r="AY11" s="1"/>
      <c r="AZ11" s="2"/>
    </row>
    <row r="12" spans="1:55" ht="19.899999999999999" customHeight="1">
      <c r="A12" s="134"/>
      <c r="B12" s="53">
        <v>11</v>
      </c>
      <c r="C12" s="138" t="s">
        <v>83</v>
      </c>
      <c r="D12" s="53" t="s">
        <v>57</v>
      </c>
      <c r="E12" s="53" t="s">
        <v>294</v>
      </c>
      <c r="F12" s="52" t="s">
        <v>84</v>
      </c>
      <c r="G12" s="52"/>
      <c r="H12" s="53" t="s">
        <v>85</v>
      </c>
      <c r="I12" s="53" t="s">
        <v>33</v>
      </c>
      <c r="J12" s="53" t="s">
        <v>43</v>
      </c>
      <c r="K12" s="1" t="s">
        <v>51</v>
      </c>
      <c r="L12" s="22" t="s">
        <v>36</v>
      </c>
      <c r="M12" s="23">
        <v>50</v>
      </c>
      <c r="N12" s="24" t="s">
        <v>65</v>
      </c>
      <c r="O12" s="25">
        <f t="shared" si="0"/>
        <v>947000</v>
      </c>
      <c r="P12" s="14" t="e">
        <f>+O12*#REF!</f>
        <v>#REF!</v>
      </c>
      <c r="Q12" s="14"/>
      <c r="R12" s="110">
        <f t="shared" si="1"/>
        <v>0</v>
      </c>
      <c r="S12" s="111"/>
      <c r="T12" s="111"/>
      <c r="U12" s="111"/>
      <c r="V12" s="112"/>
      <c r="W12" s="104">
        <f t="shared" si="2"/>
        <v>64000</v>
      </c>
      <c r="X12" s="93">
        <v>0</v>
      </c>
      <c r="Y12" s="94">
        <v>64000</v>
      </c>
      <c r="Z12" s="27">
        <f t="shared" si="3"/>
        <v>64000</v>
      </c>
      <c r="AA12" s="29"/>
      <c r="AB12" s="64">
        <v>64000</v>
      </c>
      <c r="AC12" s="49">
        <f t="shared" si="4"/>
        <v>116000</v>
      </c>
      <c r="AD12" s="29">
        <v>116000</v>
      </c>
      <c r="AE12" s="57">
        <v>0</v>
      </c>
      <c r="AF12" s="49">
        <f t="shared" si="5"/>
        <v>91000</v>
      </c>
      <c r="AG12" s="29">
        <v>32000</v>
      </c>
      <c r="AH12" s="57">
        <v>59000</v>
      </c>
      <c r="AI12" s="49">
        <f t="shared" si="6"/>
        <v>192000</v>
      </c>
      <c r="AJ12" s="29">
        <v>150000</v>
      </c>
      <c r="AK12" s="57">
        <v>42000</v>
      </c>
      <c r="AL12" s="51">
        <v>420000</v>
      </c>
      <c r="AM12" s="58">
        <v>42003</v>
      </c>
      <c r="AN12" s="59">
        <v>64000</v>
      </c>
      <c r="AO12" s="59" t="s">
        <v>176</v>
      </c>
      <c r="AP12" s="14"/>
      <c r="AS12" s="1"/>
      <c r="AT12" s="1"/>
      <c r="AU12" s="2"/>
      <c r="AV12" s="2"/>
      <c r="AW12" s="14" t="e">
        <f>AU12-#REF!-#REF!-Q12+AV12</f>
        <v>#REF!</v>
      </c>
      <c r="AX12" s="59"/>
    </row>
    <row r="13" spans="1:55" ht="19.899999999999999" customHeight="1">
      <c r="A13" s="132"/>
      <c r="B13" s="53">
        <v>13</v>
      </c>
      <c r="C13" s="138" t="s">
        <v>87</v>
      </c>
      <c r="D13" s="53" t="s">
        <v>30</v>
      </c>
      <c r="E13" s="53" t="s">
        <v>290</v>
      </c>
      <c r="F13" s="52" t="s">
        <v>88</v>
      </c>
      <c r="G13" s="52" t="s">
        <v>89</v>
      </c>
      <c r="H13" s="53" t="s">
        <v>90</v>
      </c>
      <c r="I13" s="53" t="s">
        <v>33</v>
      </c>
      <c r="J13" s="53" t="s">
        <v>34</v>
      </c>
      <c r="K13" s="1" t="s">
        <v>35</v>
      </c>
      <c r="L13" s="22" t="s">
        <v>36</v>
      </c>
      <c r="M13" s="23">
        <v>20</v>
      </c>
      <c r="N13" s="24" t="s">
        <v>91</v>
      </c>
      <c r="O13" s="25">
        <f>+AL13+AI13+AF13+AC13+Z13+W13</f>
        <v>437271.68</v>
      </c>
      <c r="P13" s="14" t="e">
        <f>+O13*#REF!</f>
        <v>#REF!</v>
      </c>
      <c r="Q13" s="32">
        <v>45057.17</v>
      </c>
      <c r="R13" s="110">
        <f t="shared" si="1"/>
        <v>0</v>
      </c>
      <c r="S13" s="111"/>
      <c r="T13" s="111"/>
      <c r="U13" s="111"/>
      <c r="V13" s="112"/>
      <c r="W13" s="104">
        <f t="shared" si="2"/>
        <v>45057.17</v>
      </c>
      <c r="X13" s="93">
        <v>0</v>
      </c>
      <c r="Y13" s="97">
        <v>45057.17</v>
      </c>
      <c r="Z13" s="27">
        <f t="shared" si="3"/>
        <v>133709.51</v>
      </c>
      <c r="AA13" s="31">
        <v>103671.4</v>
      </c>
      <c r="AB13" s="56">
        <v>30038.11</v>
      </c>
      <c r="AC13" s="49">
        <f t="shared" si="4"/>
        <v>25000</v>
      </c>
      <c r="AD13" s="29">
        <v>0</v>
      </c>
      <c r="AE13" s="57">
        <v>25000</v>
      </c>
      <c r="AF13" s="49">
        <f t="shared" si="5"/>
        <v>65505</v>
      </c>
      <c r="AG13" s="57">
        <v>65505</v>
      </c>
      <c r="AH13" s="57">
        <v>0</v>
      </c>
      <c r="AI13" s="49">
        <f t="shared" si="6"/>
        <v>168000</v>
      </c>
      <c r="AJ13" s="57">
        <f>218000-50000</f>
        <v>168000</v>
      </c>
      <c r="AK13" s="57">
        <v>0</v>
      </c>
      <c r="AL13" s="51">
        <v>0</v>
      </c>
      <c r="AM13" s="58">
        <v>42461</v>
      </c>
      <c r="AN13" s="59">
        <v>50000</v>
      </c>
      <c r="AO13" s="59" t="s">
        <v>54</v>
      </c>
      <c r="AP13" s="14"/>
      <c r="AS13" s="1"/>
      <c r="AT13" s="1" t="s">
        <v>66</v>
      </c>
      <c r="AU13" s="2">
        <v>100000</v>
      </c>
      <c r="AV13" s="2"/>
      <c r="AW13" s="14" t="e">
        <f>AU13-#REF!-#REF!-Q13+AV13</f>
        <v>#REF!</v>
      </c>
      <c r="AX13" s="59"/>
    </row>
    <row r="14" spans="1:55" ht="19.899999999999999" customHeight="1">
      <c r="A14" s="133"/>
      <c r="B14" s="53">
        <v>14</v>
      </c>
      <c r="C14" s="135" t="s">
        <v>93</v>
      </c>
      <c r="D14" s="53" t="s">
        <v>94</v>
      </c>
      <c r="E14" s="53" t="s">
        <v>292</v>
      </c>
      <c r="F14" s="52" t="s">
        <v>95</v>
      </c>
      <c r="G14" s="52"/>
      <c r="H14" s="53" t="s">
        <v>96</v>
      </c>
      <c r="I14" s="53" t="s">
        <v>64</v>
      </c>
      <c r="J14" s="53" t="s">
        <v>43</v>
      </c>
      <c r="K14" s="1" t="s">
        <v>51</v>
      </c>
      <c r="L14" s="33" t="s">
        <v>97</v>
      </c>
      <c r="M14" s="34">
        <v>50</v>
      </c>
      <c r="N14" s="24" t="s">
        <v>91</v>
      </c>
      <c r="O14" s="25">
        <f t="shared" si="0"/>
        <v>570000</v>
      </c>
      <c r="P14" s="14" t="e">
        <f>+O14*#REF!</f>
        <v>#REF!</v>
      </c>
      <c r="Q14" s="32">
        <v>30000</v>
      </c>
      <c r="R14" s="110">
        <f t="shared" si="1"/>
        <v>0</v>
      </c>
      <c r="S14" s="111"/>
      <c r="T14" s="111"/>
      <c r="U14" s="111"/>
      <c r="V14" s="112"/>
      <c r="W14" s="104">
        <f t="shared" si="2"/>
        <v>30000</v>
      </c>
      <c r="X14" s="93"/>
      <c r="Y14" s="94">
        <v>30000</v>
      </c>
      <c r="Z14" s="27">
        <f t="shared" si="3"/>
        <v>115000</v>
      </c>
      <c r="AA14" s="29">
        <v>115000</v>
      </c>
      <c r="AB14" s="64"/>
      <c r="AC14" s="49">
        <f t="shared" si="4"/>
        <v>0</v>
      </c>
      <c r="AD14" s="29">
        <v>0</v>
      </c>
      <c r="AE14" s="57">
        <v>0</v>
      </c>
      <c r="AF14" s="49">
        <f t="shared" si="5"/>
        <v>0</v>
      </c>
      <c r="AG14" s="29">
        <v>0</v>
      </c>
      <c r="AH14" s="57">
        <v>0</v>
      </c>
      <c r="AI14" s="49">
        <f t="shared" si="6"/>
        <v>425000</v>
      </c>
      <c r="AJ14" s="29">
        <v>425000</v>
      </c>
      <c r="AK14" s="57">
        <v>0</v>
      </c>
      <c r="AL14" s="51">
        <v>0</v>
      </c>
      <c r="AM14" s="58">
        <v>42369</v>
      </c>
      <c r="AN14" s="59">
        <v>45000</v>
      </c>
      <c r="AO14" s="59" t="s">
        <v>54</v>
      </c>
      <c r="AP14" s="14"/>
      <c r="AW14" s="14" t="e">
        <f>AU14-#REF!-#REF!-Q14+AV14</f>
        <v>#REF!</v>
      </c>
      <c r="AX14" s="59"/>
    </row>
    <row r="15" spans="1:55" ht="19.899999999999999" customHeight="1">
      <c r="A15" s="134"/>
      <c r="B15" s="53">
        <v>15</v>
      </c>
      <c r="C15" s="138" t="s">
        <v>99</v>
      </c>
      <c r="D15" s="53" t="s">
        <v>100</v>
      </c>
      <c r="E15" s="53" t="s">
        <v>290</v>
      </c>
      <c r="F15" s="52" t="s">
        <v>101</v>
      </c>
      <c r="G15" s="52"/>
      <c r="H15" s="53" t="s">
        <v>102</v>
      </c>
      <c r="I15" s="53" t="s">
        <v>33</v>
      </c>
      <c r="J15" s="53" t="s">
        <v>70</v>
      </c>
      <c r="K15" s="1" t="s">
        <v>103</v>
      </c>
      <c r="L15" s="1" t="s">
        <v>104</v>
      </c>
      <c r="M15" s="23">
        <v>20</v>
      </c>
      <c r="N15" s="24" t="s">
        <v>91</v>
      </c>
      <c r="O15" s="25">
        <f t="shared" si="0"/>
        <v>430167</v>
      </c>
      <c r="P15" s="14" t="e">
        <f>+O15*#REF!</f>
        <v>#REF!</v>
      </c>
      <c r="Q15" s="32">
        <v>15833</v>
      </c>
      <c r="R15" s="110">
        <f t="shared" si="1"/>
        <v>0</v>
      </c>
      <c r="S15" s="111"/>
      <c r="T15" s="111"/>
      <c r="U15" s="111"/>
      <c r="V15" s="112"/>
      <c r="W15" s="104">
        <f t="shared" si="2"/>
        <v>51453</v>
      </c>
      <c r="X15" s="93">
        <v>0</v>
      </c>
      <c r="Y15" s="94">
        <f>29286+22167</f>
        <v>51453</v>
      </c>
      <c r="Z15" s="27">
        <f t="shared" si="3"/>
        <v>20714</v>
      </c>
      <c r="AA15" s="29"/>
      <c r="AB15" s="64">
        <v>20714</v>
      </c>
      <c r="AC15" s="49">
        <f t="shared" si="4"/>
        <v>168000</v>
      </c>
      <c r="AD15" s="29">
        <f>75000+55000</f>
        <v>130000</v>
      </c>
      <c r="AE15" s="57">
        <v>38000</v>
      </c>
      <c r="AF15" s="49">
        <f t="shared" si="5"/>
        <v>0</v>
      </c>
      <c r="AG15" s="29">
        <v>0</v>
      </c>
      <c r="AH15" s="57">
        <v>0</v>
      </c>
      <c r="AI15" s="49">
        <f t="shared" si="6"/>
        <v>190000</v>
      </c>
      <c r="AJ15" s="29">
        <v>190000</v>
      </c>
      <c r="AK15" s="57">
        <v>0</v>
      </c>
      <c r="AL15" s="51">
        <v>0</v>
      </c>
      <c r="AM15" s="58">
        <v>41820</v>
      </c>
      <c r="AN15" s="59">
        <v>45000</v>
      </c>
      <c r="AO15" s="59" t="s">
        <v>54</v>
      </c>
      <c r="AP15" s="14"/>
      <c r="AS15" s="1"/>
      <c r="AT15" s="1"/>
      <c r="AU15" s="2"/>
      <c r="AV15" s="2"/>
      <c r="AW15" s="14" t="e">
        <f>AU15-#REF!-#REF!-Q15+AV15</f>
        <v>#REF!</v>
      </c>
      <c r="AX15" s="59"/>
    </row>
    <row r="16" spans="1:55" ht="19.899999999999999" customHeight="1">
      <c r="A16" s="132"/>
      <c r="B16" s="53">
        <v>16</v>
      </c>
      <c r="C16" s="135" t="s">
        <v>106</v>
      </c>
      <c r="D16" s="53" t="s">
        <v>107</v>
      </c>
      <c r="E16" s="53" t="s">
        <v>291</v>
      </c>
      <c r="F16" s="52" t="s">
        <v>108</v>
      </c>
      <c r="G16" s="52" t="s">
        <v>109</v>
      </c>
      <c r="H16" s="53" t="s">
        <v>110</v>
      </c>
      <c r="I16" s="53" t="s">
        <v>111</v>
      </c>
      <c r="J16" s="53" t="s">
        <v>43</v>
      </c>
      <c r="K16" s="1" t="s">
        <v>51</v>
      </c>
      <c r="L16" s="22" t="s">
        <v>36</v>
      </c>
      <c r="M16" s="23">
        <v>140</v>
      </c>
      <c r="N16" s="24" t="s">
        <v>91</v>
      </c>
      <c r="O16" s="25">
        <f t="shared" si="0"/>
        <v>1185000</v>
      </c>
      <c r="P16" s="14" t="e">
        <f>+O16*#REF!</f>
        <v>#REF!</v>
      </c>
      <c r="Q16" s="14"/>
      <c r="R16" s="110">
        <f t="shared" si="1"/>
        <v>0</v>
      </c>
      <c r="S16" s="111"/>
      <c r="T16" s="111"/>
      <c r="U16" s="111"/>
      <c r="V16" s="112"/>
      <c r="W16" s="104">
        <f t="shared" si="2"/>
        <v>205000</v>
      </c>
      <c r="X16" s="92">
        <v>65000</v>
      </c>
      <c r="Y16" s="97">
        <v>140000</v>
      </c>
      <c r="Z16" s="27">
        <f t="shared" si="3"/>
        <v>0</v>
      </c>
      <c r="AA16" s="31"/>
      <c r="AB16" s="64"/>
      <c r="AC16" s="49">
        <f t="shared" si="4"/>
        <v>325000</v>
      </c>
      <c r="AD16" s="29">
        <v>195000</v>
      </c>
      <c r="AE16" s="57">
        <v>130000</v>
      </c>
      <c r="AF16" s="49">
        <f t="shared" si="5"/>
        <v>415000</v>
      </c>
      <c r="AG16" s="29">
        <v>375000</v>
      </c>
      <c r="AH16" s="57">
        <v>40000</v>
      </c>
      <c r="AI16" s="49">
        <f t="shared" si="6"/>
        <v>240000</v>
      </c>
      <c r="AJ16" s="29">
        <v>240000</v>
      </c>
      <c r="AK16" s="57">
        <v>0</v>
      </c>
      <c r="AL16" s="51">
        <v>0</v>
      </c>
      <c r="AM16" s="58">
        <v>41638</v>
      </c>
      <c r="AN16" s="59">
        <v>130000</v>
      </c>
      <c r="AO16" s="59" t="s">
        <v>54</v>
      </c>
      <c r="AP16" s="14"/>
      <c r="AT16" s="5" t="s">
        <v>241</v>
      </c>
      <c r="AU16" s="6">
        <f>130000+190000</f>
        <v>320000</v>
      </c>
      <c r="AW16" s="6" t="e">
        <f>AU16-#REF!-#REF!-Q16+AV16</f>
        <v>#REF!</v>
      </c>
    </row>
    <row r="17" spans="1:52" ht="19.899999999999999" customHeight="1">
      <c r="A17" s="133"/>
      <c r="B17" s="53">
        <v>19</v>
      </c>
      <c r="C17" s="138" t="s">
        <v>112</v>
      </c>
      <c r="D17" s="53" t="s">
        <v>113</v>
      </c>
      <c r="E17" s="53" t="s">
        <v>294</v>
      </c>
      <c r="F17" s="52" t="s">
        <v>114</v>
      </c>
      <c r="G17" s="52"/>
      <c r="H17" s="53" t="s">
        <v>115</v>
      </c>
      <c r="I17" s="53" t="s">
        <v>33</v>
      </c>
      <c r="J17" s="53" t="s">
        <v>34</v>
      </c>
      <c r="K17" s="1" t="s">
        <v>76</v>
      </c>
      <c r="L17" s="1" t="s">
        <v>116</v>
      </c>
      <c r="M17" s="23">
        <v>25</v>
      </c>
      <c r="N17" s="24" t="s">
        <v>91</v>
      </c>
      <c r="O17" s="25">
        <f t="shared" si="0"/>
        <v>569879</v>
      </c>
      <c r="P17" s="14" t="e">
        <f>+O17*#REF!</f>
        <v>#REF!</v>
      </c>
      <c r="Q17" s="14"/>
      <c r="R17" s="110">
        <f t="shared" si="1"/>
        <v>183000</v>
      </c>
      <c r="S17" s="111"/>
      <c r="T17" s="111"/>
      <c r="U17" s="111"/>
      <c r="V17" s="112">
        <f>130000+53000</f>
        <v>183000</v>
      </c>
      <c r="W17" s="104">
        <f t="shared" si="2"/>
        <v>47252</v>
      </c>
      <c r="X17" s="93"/>
      <c r="Y17" s="94">
        <v>47252</v>
      </c>
      <c r="Z17" s="27">
        <f t="shared" si="3"/>
        <v>65000</v>
      </c>
      <c r="AA17" s="29">
        <f>25000+40000</f>
        <v>65000</v>
      </c>
      <c r="AB17" s="56"/>
      <c r="AC17" s="49">
        <f t="shared" si="4"/>
        <v>131717</v>
      </c>
      <c r="AD17" s="29">
        <f>61749.5+69967.5</f>
        <v>131717</v>
      </c>
      <c r="AE17" s="57">
        <v>0</v>
      </c>
      <c r="AF17" s="49">
        <f t="shared" si="5"/>
        <v>158110</v>
      </c>
      <c r="AG17" s="29">
        <v>102510</v>
      </c>
      <c r="AH17" s="57">
        <v>55600</v>
      </c>
      <c r="AI17" s="49">
        <f t="shared" si="6"/>
        <v>167800</v>
      </c>
      <c r="AJ17" s="29">
        <v>167800</v>
      </c>
      <c r="AK17" s="57">
        <v>0</v>
      </c>
      <c r="AL17" s="51">
        <v>0</v>
      </c>
      <c r="AM17" s="58">
        <v>42003</v>
      </c>
      <c r="AN17" s="59">
        <v>55000</v>
      </c>
      <c r="AO17" s="59" t="s">
        <v>54</v>
      </c>
      <c r="AP17" s="14"/>
      <c r="AW17" s="14" t="e">
        <f>AU17-#REF!-#REF!-Q17+AV17</f>
        <v>#REF!</v>
      </c>
      <c r="AX17" s="59"/>
    </row>
    <row r="18" spans="1:52" ht="19.899999999999999" customHeight="1">
      <c r="A18" s="134"/>
      <c r="B18" s="53">
        <v>20</v>
      </c>
      <c r="C18" s="138" t="s">
        <v>117</v>
      </c>
      <c r="D18" s="53" t="s">
        <v>118</v>
      </c>
      <c r="E18" s="53" t="s">
        <v>292</v>
      </c>
      <c r="F18" s="52" t="s">
        <v>119</v>
      </c>
      <c r="G18" s="52"/>
      <c r="H18" s="53" t="s">
        <v>120</v>
      </c>
      <c r="I18" s="53" t="s">
        <v>64</v>
      </c>
      <c r="J18" s="53" t="s">
        <v>70</v>
      </c>
      <c r="K18" s="1" t="s">
        <v>76</v>
      </c>
      <c r="L18" s="1" t="s">
        <v>121</v>
      </c>
      <c r="M18" s="23">
        <v>20</v>
      </c>
      <c r="N18" s="24" t="s">
        <v>122</v>
      </c>
      <c r="O18" s="25">
        <f t="shared" si="0"/>
        <v>468000</v>
      </c>
      <c r="P18" s="14" t="e">
        <f>+O18*#REF!</f>
        <v>#REF!</v>
      </c>
      <c r="Q18" s="14"/>
      <c r="R18" s="110">
        <f t="shared" si="1"/>
        <v>0</v>
      </c>
      <c r="S18" s="111"/>
      <c r="T18" s="111"/>
      <c r="U18" s="111"/>
      <c r="V18" s="112"/>
      <c r="W18" s="104">
        <f t="shared" si="2"/>
        <v>38334</v>
      </c>
      <c r="X18" s="93">
        <v>0</v>
      </c>
      <c r="Y18" s="94">
        <v>38334</v>
      </c>
      <c r="Z18" s="27">
        <f t="shared" si="3"/>
        <v>76666</v>
      </c>
      <c r="AA18" s="29">
        <v>76666</v>
      </c>
      <c r="AB18" s="64"/>
      <c r="AC18" s="49">
        <f t="shared" si="4"/>
        <v>58000</v>
      </c>
      <c r="AD18" s="29">
        <v>58000</v>
      </c>
      <c r="AE18" s="57">
        <v>0</v>
      </c>
      <c r="AF18" s="49">
        <f t="shared" si="5"/>
        <v>295000</v>
      </c>
      <c r="AG18" s="29">
        <v>295000</v>
      </c>
      <c r="AH18" s="57">
        <v>0</v>
      </c>
      <c r="AI18" s="49">
        <f t="shared" si="6"/>
        <v>0</v>
      </c>
      <c r="AJ18" s="29">
        <v>0</v>
      </c>
      <c r="AK18" s="57">
        <v>0</v>
      </c>
      <c r="AL18" s="51">
        <v>0</v>
      </c>
      <c r="AM18" s="61">
        <v>41974</v>
      </c>
      <c r="AN18" s="59">
        <v>70000</v>
      </c>
      <c r="AO18" s="59" t="s">
        <v>54</v>
      </c>
      <c r="AP18" s="14"/>
      <c r="AT18" s="30" t="s">
        <v>39</v>
      </c>
      <c r="AV18" s="6">
        <v>160000</v>
      </c>
      <c r="AW18" s="14" t="e">
        <f>AU18-#REF!-#REF!-Q18+AV18</f>
        <v>#REF!</v>
      </c>
      <c r="AX18" s="59"/>
      <c r="AY18" s="1"/>
      <c r="AZ18" s="2" t="s">
        <v>351</v>
      </c>
    </row>
    <row r="19" spans="1:52" ht="19.899999999999999" customHeight="1">
      <c r="A19" s="132"/>
      <c r="B19" s="53">
        <v>21</v>
      </c>
      <c r="C19" s="138" t="s">
        <v>123</v>
      </c>
      <c r="D19" s="53" t="s">
        <v>124</v>
      </c>
      <c r="E19" s="53" t="s">
        <v>291</v>
      </c>
      <c r="F19" s="52" t="s">
        <v>125</v>
      </c>
      <c r="G19" s="52"/>
      <c r="H19" s="53" t="s">
        <v>126</v>
      </c>
      <c r="I19" s="53" t="s">
        <v>127</v>
      </c>
      <c r="J19" s="53" t="s">
        <v>34</v>
      </c>
      <c r="K19" s="1" t="s">
        <v>76</v>
      </c>
      <c r="L19" s="1" t="s">
        <v>128</v>
      </c>
      <c r="M19" s="23">
        <v>35</v>
      </c>
      <c r="N19" s="24" t="s">
        <v>122</v>
      </c>
      <c r="O19" s="25">
        <f t="shared" si="0"/>
        <v>578000</v>
      </c>
      <c r="P19" s="14" t="e">
        <f>+O19*#REF!</f>
        <v>#REF!</v>
      </c>
      <c r="Q19" s="14"/>
      <c r="R19" s="110">
        <f t="shared" si="1"/>
        <v>60000</v>
      </c>
      <c r="S19" s="111"/>
      <c r="T19" s="111"/>
      <c r="U19" s="111">
        <v>60000</v>
      </c>
      <c r="V19" s="112"/>
      <c r="W19" s="104">
        <f t="shared" si="2"/>
        <v>0</v>
      </c>
      <c r="X19" s="93">
        <v>0</v>
      </c>
      <c r="Y19" s="94">
        <v>0</v>
      </c>
      <c r="Z19" s="27">
        <f t="shared" si="3"/>
        <v>0</v>
      </c>
      <c r="AA19" s="29"/>
      <c r="AB19" s="64"/>
      <c r="AC19" s="49">
        <f t="shared" si="4"/>
        <v>310000</v>
      </c>
      <c r="AD19" s="29">
        <v>310000</v>
      </c>
      <c r="AE19" s="57">
        <v>0</v>
      </c>
      <c r="AF19" s="49">
        <f t="shared" si="5"/>
        <v>268000</v>
      </c>
      <c r="AG19" s="29">
        <v>268000</v>
      </c>
      <c r="AH19" s="57">
        <v>0</v>
      </c>
      <c r="AI19" s="49">
        <f t="shared" si="6"/>
        <v>0</v>
      </c>
      <c r="AJ19" s="29">
        <v>0</v>
      </c>
      <c r="AK19" s="57">
        <v>0</v>
      </c>
      <c r="AL19" s="51">
        <v>0</v>
      </c>
      <c r="AM19" s="61">
        <v>41548</v>
      </c>
      <c r="AN19" s="2">
        <v>100000</v>
      </c>
      <c r="AO19" s="2" t="s">
        <v>54</v>
      </c>
      <c r="AP19" s="14"/>
      <c r="AT19" s="5" t="s">
        <v>246</v>
      </c>
      <c r="AU19" s="6">
        <f>95700+223300</f>
        <v>319000</v>
      </c>
      <c r="AW19" s="6" t="e">
        <f>AU19-#REF!-#REF!-Q19+AV19</f>
        <v>#REF!</v>
      </c>
    </row>
    <row r="20" spans="1:52" ht="19.899999999999999" customHeight="1">
      <c r="A20" s="133"/>
      <c r="B20" s="53">
        <v>22</v>
      </c>
      <c r="C20" s="135" t="s">
        <v>129</v>
      </c>
      <c r="D20" s="53" t="s">
        <v>130</v>
      </c>
      <c r="E20" s="53" t="s">
        <v>292</v>
      </c>
      <c r="F20" s="52" t="s">
        <v>131</v>
      </c>
      <c r="G20" s="52"/>
      <c r="H20" s="53" t="s">
        <v>132</v>
      </c>
      <c r="I20" s="53" t="s">
        <v>64</v>
      </c>
      <c r="J20" s="53" t="s">
        <v>43</v>
      </c>
      <c r="K20" s="1" t="s">
        <v>51</v>
      </c>
      <c r="L20" s="33" t="s">
        <v>133</v>
      </c>
      <c r="M20" s="34">
        <v>20</v>
      </c>
      <c r="N20" s="24" t="s">
        <v>122</v>
      </c>
      <c r="O20" s="25">
        <f t="shared" si="0"/>
        <v>400000</v>
      </c>
      <c r="P20" s="14" t="e">
        <f>+O20*#REF!</f>
        <v>#REF!</v>
      </c>
      <c r="Q20" s="14"/>
      <c r="R20" s="110">
        <f t="shared" si="1"/>
        <v>0</v>
      </c>
      <c r="S20" s="111"/>
      <c r="T20" s="111"/>
      <c r="U20" s="111"/>
      <c r="V20" s="112"/>
      <c r="W20" s="104">
        <f t="shared" si="2"/>
        <v>0</v>
      </c>
      <c r="X20" s="93">
        <v>0</v>
      </c>
      <c r="Y20" s="94">
        <v>0</v>
      </c>
      <c r="Z20" s="27">
        <f t="shared" si="3"/>
        <v>40000</v>
      </c>
      <c r="AA20" s="29">
        <v>0</v>
      </c>
      <c r="AB20" s="64">
        <v>40000</v>
      </c>
      <c r="AC20" s="49">
        <f t="shared" si="4"/>
        <v>90000</v>
      </c>
      <c r="AD20" s="29">
        <v>30000</v>
      </c>
      <c r="AE20" s="57">
        <v>60000</v>
      </c>
      <c r="AF20" s="49">
        <f t="shared" si="5"/>
        <v>270000</v>
      </c>
      <c r="AG20" s="29">
        <v>270000</v>
      </c>
      <c r="AH20" s="57">
        <v>0</v>
      </c>
      <c r="AI20" s="49">
        <f t="shared" si="6"/>
        <v>0</v>
      </c>
      <c r="AJ20" s="29">
        <v>0</v>
      </c>
      <c r="AK20" s="57">
        <v>0</v>
      </c>
      <c r="AL20" s="51">
        <v>0</v>
      </c>
      <c r="AM20" s="61">
        <v>41974</v>
      </c>
      <c r="AN20" s="2">
        <v>30000</v>
      </c>
      <c r="AO20" s="2" t="s">
        <v>176</v>
      </c>
      <c r="AP20" s="14"/>
      <c r="AT20" s="5" t="s">
        <v>171</v>
      </c>
      <c r="AU20" s="6">
        <v>38000</v>
      </c>
      <c r="AW20" s="14" t="e">
        <f>AU20-#REF!-#REF!-Q20+AV20</f>
        <v>#REF!</v>
      </c>
      <c r="AX20" s="59"/>
    </row>
    <row r="21" spans="1:52" ht="19.899999999999999" customHeight="1">
      <c r="A21" s="134"/>
      <c r="B21" s="53">
        <v>23</v>
      </c>
      <c r="C21" s="135" t="s">
        <v>134</v>
      </c>
      <c r="D21" s="53" t="s">
        <v>135</v>
      </c>
      <c r="E21" s="53" t="s">
        <v>291</v>
      </c>
      <c r="F21" s="52" t="s">
        <v>136</v>
      </c>
      <c r="G21" s="52" t="s">
        <v>137</v>
      </c>
      <c r="H21" s="53" t="s">
        <v>138</v>
      </c>
      <c r="I21" s="53" t="s">
        <v>111</v>
      </c>
      <c r="J21" s="53" t="s">
        <v>43</v>
      </c>
      <c r="K21" s="1" t="s">
        <v>76</v>
      </c>
      <c r="L21" s="1" t="s">
        <v>139</v>
      </c>
      <c r="M21" s="23">
        <v>40</v>
      </c>
      <c r="N21" s="24" t="s">
        <v>122</v>
      </c>
      <c r="O21" s="25">
        <f t="shared" si="0"/>
        <v>750000</v>
      </c>
      <c r="P21" s="14" t="e">
        <f>+O21*#REF!</f>
        <v>#REF!</v>
      </c>
      <c r="Q21" s="14"/>
      <c r="R21" s="110">
        <f>+SUM(S21:V21)</f>
        <v>140000</v>
      </c>
      <c r="S21" s="111"/>
      <c r="T21" s="111"/>
      <c r="U21" s="111"/>
      <c r="V21" s="111">
        <v>140000</v>
      </c>
      <c r="W21" s="104">
        <f t="shared" si="2"/>
        <v>0</v>
      </c>
      <c r="X21" s="93">
        <v>0</v>
      </c>
      <c r="Y21" s="94">
        <v>0</v>
      </c>
      <c r="Z21" s="27">
        <f t="shared" si="3"/>
        <v>20000</v>
      </c>
      <c r="AA21" s="29">
        <v>20000</v>
      </c>
      <c r="AB21" s="64">
        <v>0</v>
      </c>
      <c r="AC21" s="49">
        <f t="shared" si="4"/>
        <v>50000</v>
      </c>
      <c r="AD21" s="29">
        <v>50000</v>
      </c>
      <c r="AE21" s="57">
        <v>0</v>
      </c>
      <c r="AF21" s="49">
        <f t="shared" si="5"/>
        <v>680000</v>
      </c>
      <c r="AG21" s="29">
        <v>680000</v>
      </c>
      <c r="AH21" s="57">
        <v>0</v>
      </c>
      <c r="AI21" s="49">
        <f t="shared" si="6"/>
        <v>0</v>
      </c>
      <c r="AJ21" s="29">
        <v>0</v>
      </c>
      <c r="AK21" s="57">
        <v>0</v>
      </c>
      <c r="AL21" s="51">
        <v>0</v>
      </c>
      <c r="AM21" s="61">
        <v>41760</v>
      </c>
      <c r="AN21" s="2">
        <v>110000</v>
      </c>
      <c r="AO21" s="2" t="s">
        <v>176</v>
      </c>
      <c r="AP21" s="14"/>
      <c r="AT21" s="5" t="s">
        <v>250</v>
      </c>
      <c r="AU21" s="6">
        <f>117000+273000</f>
        <v>390000</v>
      </c>
      <c r="AW21" s="6" t="e">
        <f>AU21-#REF!-#REF!-Q21+AV21</f>
        <v>#REF!</v>
      </c>
    </row>
    <row r="22" spans="1:52" ht="19.899999999999999" customHeight="1">
      <c r="A22" s="132"/>
      <c r="B22" s="53">
        <v>24</v>
      </c>
      <c r="C22" s="138" t="s">
        <v>141</v>
      </c>
      <c r="D22" s="53" t="s">
        <v>142</v>
      </c>
      <c r="E22" s="53" t="s">
        <v>292</v>
      </c>
      <c r="F22" s="52" t="s">
        <v>143</v>
      </c>
      <c r="G22" s="52"/>
      <c r="H22" s="53" t="s">
        <v>144</v>
      </c>
      <c r="I22" s="53" t="s">
        <v>33</v>
      </c>
      <c r="J22" s="53" t="s">
        <v>34</v>
      </c>
      <c r="K22" s="1" t="s">
        <v>51</v>
      </c>
      <c r="L22" s="22" t="s">
        <v>36</v>
      </c>
      <c r="M22" s="23">
        <v>50</v>
      </c>
      <c r="N22" s="24" t="s">
        <v>122</v>
      </c>
      <c r="O22" s="25">
        <f t="shared" si="0"/>
        <v>440000</v>
      </c>
      <c r="P22" s="14" t="e">
        <f>+O22*#REF!</f>
        <v>#REF!</v>
      </c>
      <c r="Q22" s="14"/>
      <c r="R22" s="110">
        <f t="shared" si="1"/>
        <v>150000</v>
      </c>
      <c r="S22" s="111"/>
      <c r="T22" s="111"/>
      <c r="U22" s="111"/>
      <c r="V22" s="112">
        <v>150000</v>
      </c>
      <c r="W22" s="104">
        <f t="shared" si="2"/>
        <v>0</v>
      </c>
      <c r="X22" s="93"/>
      <c r="Y22" s="94">
        <v>0</v>
      </c>
      <c r="Z22" s="27">
        <f t="shared" si="3"/>
        <v>150000</v>
      </c>
      <c r="AA22" s="29">
        <v>150000</v>
      </c>
      <c r="AB22" s="64">
        <v>0</v>
      </c>
      <c r="AC22" s="49">
        <f t="shared" si="4"/>
        <v>140000</v>
      </c>
      <c r="AD22" s="29">
        <v>140000</v>
      </c>
      <c r="AE22" s="57">
        <v>0</v>
      </c>
      <c r="AF22" s="49">
        <f t="shared" si="5"/>
        <v>150000</v>
      </c>
      <c r="AG22" s="29">
        <v>150000</v>
      </c>
      <c r="AH22" s="57">
        <v>0</v>
      </c>
      <c r="AI22" s="49">
        <f t="shared" si="6"/>
        <v>0</v>
      </c>
      <c r="AJ22" s="29">
        <v>0</v>
      </c>
      <c r="AK22" s="57">
        <v>0</v>
      </c>
      <c r="AL22" s="51">
        <v>0</v>
      </c>
      <c r="AM22" s="61">
        <v>41944</v>
      </c>
      <c r="AN22" s="59">
        <v>45000</v>
      </c>
      <c r="AO22" s="59" t="s">
        <v>54</v>
      </c>
      <c r="AP22" s="14"/>
      <c r="AW22" s="14" t="e">
        <f>AU22-#REF!-#REF!-Q22+AV22</f>
        <v>#REF!</v>
      </c>
      <c r="AX22" s="59"/>
      <c r="AY22" s="1"/>
      <c r="AZ22" s="2" t="s">
        <v>352</v>
      </c>
    </row>
    <row r="23" spans="1:52" ht="19.899999999999999" customHeight="1">
      <c r="A23" s="133"/>
      <c r="B23" s="53">
        <v>25</v>
      </c>
      <c r="C23" s="135" t="s">
        <v>145</v>
      </c>
      <c r="D23" s="53" t="s">
        <v>146</v>
      </c>
      <c r="E23" s="53" t="s">
        <v>294</v>
      </c>
      <c r="F23" s="52" t="s">
        <v>147</v>
      </c>
      <c r="G23" s="52"/>
      <c r="H23" s="53" t="s">
        <v>148</v>
      </c>
      <c r="I23" s="53" t="s">
        <v>64</v>
      </c>
      <c r="J23" s="53" t="s">
        <v>34</v>
      </c>
      <c r="K23" s="1" t="s">
        <v>103</v>
      </c>
      <c r="L23" s="54" t="s">
        <v>149</v>
      </c>
      <c r="M23" s="68">
        <v>15</v>
      </c>
      <c r="N23" s="24" t="s">
        <v>122</v>
      </c>
      <c r="O23" s="25">
        <f t="shared" si="0"/>
        <v>634500</v>
      </c>
      <c r="P23" s="14" t="e">
        <f>+O23*#REF!</f>
        <v>#REF!</v>
      </c>
      <c r="Q23" s="14"/>
      <c r="R23" s="110">
        <f t="shared" si="1"/>
        <v>0</v>
      </c>
      <c r="S23" s="111"/>
      <c r="T23" s="111"/>
      <c r="U23" s="111"/>
      <c r="V23" s="112"/>
      <c r="W23" s="104">
        <f t="shared" si="2"/>
        <v>130000</v>
      </c>
      <c r="X23" s="92">
        <v>40000</v>
      </c>
      <c r="Y23" s="97">
        <v>90000</v>
      </c>
      <c r="Z23" s="27">
        <f t="shared" si="3"/>
        <v>0</v>
      </c>
      <c r="AA23" s="29">
        <v>0</v>
      </c>
      <c r="AB23" s="64">
        <v>0</v>
      </c>
      <c r="AC23" s="49">
        <f t="shared" si="4"/>
        <v>124500</v>
      </c>
      <c r="AD23" s="29">
        <v>67500</v>
      </c>
      <c r="AE23" s="57">
        <v>57000</v>
      </c>
      <c r="AF23" s="49">
        <f t="shared" si="5"/>
        <v>380000</v>
      </c>
      <c r="AG23" s="29">
        <v>380000</v>
      </c>
      <c r="AH23" s="57">
        <v>0</v>
      </c>
      <c r="AI23" s="49">
        <f t="shared" si="6"/>
        <v>0</v>
      </c>
      <c r="AJ23" s="29">
        <v>0</v>
      </c>
      <c r="AK23" s="57">
        <v>0</v>
      </c>
      <c r="AL23" s="51">
        <v>0</v>
      </c>
      <c r="AM23" s="58">
        <v>42035</v>
      </c>
      <c r="AN23" s="59">
        <v>90000</v>
      </c>
      <c r="AO23" s="59" t="s">
        <v>54</v>
      </c>
      <c r="AP23" s="14"/>
      <c r="AW23" s="14" t="e">
        <f>AU23-#REF!-#REF!-Q23+AV23</f>
        <v>#REF!</v>
      </c>
      <c r="AX23" s="59"/>
    </row>
    <row r="24" spans="1:52" ht="19.899999999999999" customHeight="1">
      <c r="A24" s="134"/>
      <c r="B24" s="53">
        <v>26</v>
      </c>
      <c r="C24" s="138" t="s">
        <v>150</v>
      </c>
      <c r="D24" s="53" t="s">
        <v>151</v>
      </c>
      <c r="E24" s="53" t="s">
        <v>294</v>
      </c>
      <c r="F24" s="52" t="s">
        <v>152</v>
      </c>
      <c r="G24" s="52" t="s">
        <v>153</v>
      </c>
      <c r="H24" s="53" t="s">
        <v>150</v>
      </c>
      <c r="I24" s="53" t="s">
        <v>50</v>
      </c>
      <c r="J24" s="53" t="s">
        <v>43</v>
      </c>
      <c r="K24" s="1" t="s">
        <v>154</v>
      </c>
      <c r="L24" s="1" t="s">
        <v>155</v>
      </c>
      <c r="M24" s="23">
        <v>25</v>
      </c>
      <c r="N24" s="24" t="s">
        <v>122</v>
      </c>
      <c r="O24" s="25">
        <f t="shared" si="0"/>
        <v>486800</v>
      </c>
      <c r="P24" s="14" t="e">
        <f>+O24*#REF!</f>
        <v>#REF!</v>
      </c>
      <c r="Q24" s="14"/>
      <c r="R24" s="110">
        <f t="shared" si="1"/>
        <v>410000</v>
      </c>
      <c r="S24" s="111"/>
      <c r="T24" s="111"/>
      <c r="U24" s="111">
        <v>410000</v>
      </c>
      <c r="V24" s="112"/>
      <c r="W24" s="104">
        <f t="shared" si="2"/>
        <v>60000</v>
      </c>
      <c r="X24" s="92">
        <v>60000</v>
      </c>
      <c r="Y24" s="94">
        <v>0</v>
      </c>
      <c r="Z24" s="27">
        <f t="shared" si="3"/>
        <v>0</v>
      </c>
      <c r="AA24" s="29">
        <v>0</v>
      </c>
      <c r="AB24" s="64">
        <v>0</v>
      </c>
      <c r="AC24" s="49">
        <f t="shared" si="4"/>
        <v>0</v>
      </c>
      <c r="AD24" s="29">
        <v>0</v>
      </c>
      <c r="AE24" s="57">
        <v>0</v>
      </c>
      <c r="AF24" s="49">
        <f t="shared" si="5"/>
        <v>426800</v>
      </c>
      <c r="AG24" s="29">
        <v>426800</v>
      </c>
      <c r="AH24" s="57">
        <v>0</v>
      </c>
      <c r="AI24" s="49">
        <f t="shared" si="6"/>
        <v>0</v>
      </c>
      <c r="AJ24" s="29">
        <v>0</v>
      </c>
      <c r="AK24" s="57">
        <v>0</v>
      </c>
      <c r="AL24" s="51">
        <v>0</v>
      </c>
      <c r="AM24" s="58">
        <v>41728</v>
      </c>
      <c r="AN24" s="59">
        <v>50000</v>
      </c>
      <c r="AO24" s="59" t="s">
        <v>54</v>
      </c>
      <c r="AP24" s="14"/>
      <c r="AW24" s="14" t="e">
        <f>AU24-#REF!-#REF!-Q24+AV24</f>
        <v>#REF!</v>
      </c>
      <c r="AX24" s="59"/>
      <c r="AY24" s="1"/>
      <c r="AZ24" s="2"/>
    </row>
    <row r="25" spans="1:52" ht="19.899999999999999" customHeight="1">
      <c r="A25" s="132"/>
      <c r="B25" s="53">
        <v>27</v>
      </c>
      <c r="C25" s="135" t="s">
        <v>156</v>
      </c>
      <c r="D25" s="53" t="s">
        <v>124</v>
      </c>
      <c r="E25" s="53" t="s">
        <v>291</v>
      </c>
      <c r="F25" s="52"/>
      <c r="G25" s="52"/>
      <c r="H25" s="53" t="s">
        <v>156</v>
      </c>
      <c r="I25" s="53" t="s">
        <v>127</v>
      </c>
      <c r="J25" s="53" t="s">
        <v>34</v>
      </c>
      <c r="K25" s="1" t="s">
        <v>76</v>
      </c>
      <c r="L25" s="1" t="s">
        <v>128</v>
      </c>
      <c r="M25" s="23">
        <v>10</v>
      </c>
      <c r="N25" s="24" t="s">
        <v>122</v>
      </c>
      <c r="O25" s="25">
        <f t="shared" si="0"/>
        <v>190000</v>
      </c>
      <c r="P25" s="14" t="e">
        <f>+O25*#REF!</f>
        <v>#REF!</v>
      </c>
      <c r="Q25" s="14"/>
      <c r="R25" s="110">
        <f t="shared" si="1"/>
        <v>0</v>
      </c>
      <c r="S25" s="111"/>
      <c r="T25" s="111"/>
      <c r="U25" s="111"/>
      <c r="V25" s="112"/>
      <c r="W25" s="104">
        <f t="shared" si="2"/>
        <v>0</v>
      </c>
      <c r="X25" s="93">
        <v>0</v>
      </c>
      <c r="Y25" s="94">
        <v>0</v>
      </c>
      <c r="Z25" s="27">
        <f t="shared" si="3"/>
        <v>0</v>
      </c>
      <c r="AA25" s="29">
        <v>0</v>
      </c>
      <c r="AB25" s="64">
        <v>0</v>
      </c>
      <c r="AC25" s="49">
        <f t="shared" si="4"/>
        <v>0</v>
      </c>
      <c r="AD25" s="29">
        <v>0</v>
      </c>
      <c r="AE25" s="57">
        <v>0</v>
      </c>
      <c r="AF25" s="49">
        <f t="shared" si="5"/>
        <v>190000</v>
      </c>
      <c r="AG25" s="29">
        <v>190000</v>
      </c>
      <c r="AH25" s="57">
        <v>0</v>
      </c>
      <c r="AI25" s="49">
        <f t="shared" si="6"/>
        <v>0</v>
      </c>
      <c r="AJ25" s="29">
        <v>0</v>
      </c>
      <c r="AK25" s="57">
        <v>0</v>
      </c>
      <c r="AL25" s="51">
        <v>0</v>
      </c>
      <c r="AM25" s="58" t="s">
        <v>157</v>
      </c>
      <c r="AN25" s="59"/>
      <c r="AO25" s="59" t="s">
        <v>176</v>
      </c>
      <c r="AP25" s="53"/>
      <c r="AQ25" s="53" t="s">
        <v>256</v>
      </c>
      <c r="AR25" s="53" t="s">
        <v>257</v>
      </c>
      <c r="AS25" s="53" t="s">
        <v>256</v>
      </c>
      <c r="AT25" s="53" t="s">
        <v>258</v>
      </c>
      <c r="AU25" s="59">
        <f>325000+325000</f>
        <v>650000</v>
      </c>
      <c r="AV25" s="59"/>
      <c r="AW25" s="59" t="e">
        <f>AU25-#REF!-#REF!-Q25+AV25</f>
        <v>#REF!</v>
      </c>
      <c r="AY25" s="1"/>
      <c r="AZ25" s="2"/>
    </row>
    <row r="26" spans="1:52" ht="19.899999999999999" customHeight="1">
      <c r="A26" s="133"/>
      <c r="B26" s="53">
        <v>29</v>
      </c>
      <c r="C26" s="135" t="s">
        <v>158</v>
      </c>
      <c r="D26" s="53" t="s">
        <v>159</v>
      </c>
      <c r="E26" s="53" t="s">
        <v>294</v>
      </c>
      <c r="F26" s="52" t="s">
        <v>160</v>
      </c>
      <c r="G26" s="52" t="s">
        <v>161</v>
      </c>
      <c r="H26" s="53" t="s">
        <v>162</v>
      </c>
      <c r="I26" s="53" t="s">
        <v>64</v>
      </c>
      <c r="J26" s="53" t="s">
        <v>43</v>
      </c>
      <c r="K26" s="1" t="s">
        <v>154</v>
      </c>
      <c r="L26" s="1" t="s">
        <v>163</v>
      </c>
      <c r="M26" s="23">
        <v>10</v>
      </c>
      <c r="N26" s="24" t="s">
        <v>164</v>
      </c>
      <c r="O26" s="25">
        <f t="shared" si="0"/>
        <v>450000</v>
      </c>
      <c r="P26" s="14" t="e">
        <f>+O26*#REF!</f>
        <v>#REF!</v>
      </c>
      <c r="Q26" s="14"/>
      <c r="R26" s="110">
        <f t="shared" si="1"/>
        <v>0</v>
      </c>
      <c r="S26" s="111"/>
      <c r="T26" s="111"/>
      <c r="U26" s="111"/>
      <c r="V26" s="112"/>
      <c r="W26" s="104">
        <f>+X26+Y26</f>
        <v>0</v>
      </c>
      <c r="X26" s="93">
        <v>0</v>
      </c>
      <c r="Y26" s="94">
        <v>0</v>
      </c>
      <c r="Z26" s="27">
        <f t="shared" si="3"/>
        <v>0</v>
      </c>
      <c r="AA26" s="29">
        <v>0</v>
      </c>
      <c r="AB26" s="64">
        <v>0</v>
      </c>
      <c r="AC26" s="49">
        <f t="shared" si="4"/>
        <v>450000</v>
      </c>
      <c r="AD26" s="29">
        <v>450000</v>
      </c>
      <c r="AE26" s="57">
        <v>0</v>
      </c>
      <c r="AF26" s="49">
        <f t="shared" si="5"/>
        <v>0</v>
      </c>
      <c r="AG26" s="57">
        <v>0</v>
      </c>
      <c r="AH26" s="57">
        <v>0</v>
      </c>
      <c r="AI26" s="49">
        <f t="shared" si="6"/>
        <v>0</v>
      </c>
      <c r="AJ26" s="57">
        <v>0</v>
      </c>
      <c r="AK26" s="57">
        <v>0</v>
      </c>
      <c r="AL26" s="51">
        <v>0</v>
      </c>
      <c r="AM26" s="58">
        <v>41579</v>
      </c>
      <c r="AN26" s="59">
        <v>75000</v>
      </c>
      <c r="AO26" s="59" t="s">
        <v>176</v>
      </c>
      <c r="AP26" s="14"/>
      <c r="AW26" s="14" t="e">
        <f>AU26-#REF!-#REF!-Q26+AV26</f>
        <v>#REF!</v>
      </c>
      <c r="AX26" s="59"/>
      <c r="AY26" s="1"/>
      <c r="AZ26" s="2"/>
    </row>
    <row r="27" spans="1:52" ht="19.899999999999999" customHeight="1">
      <c r="A27" s="134"/>
      <c r="B27" s="53">
        <v>30</v>
      </c>
      <c r="C27" s="138" t="s">
        <v>281</v>
      </c>
      <c r="D27" s="53" t="s">
        <v>107</v>
      </c>
      <c r="E27" s="53" t="s">
        <v>291</v>
      </c>
      <c r="F27" s="53"/>
      <c r="G27" s="53"/>
      <c r="H27" s="53" t="s">
        <v>282</v>
      </c>
      <c r="I27" s="53" t="s">
        <v>111</v>
      </c>
      <c r="J27" s="53" t="s">
        <v>34</v>
      </c>
      <c r="K27" s="1" t="s">
        <v>76</v>
      </c>
      <c r="L27" s="1" t="s">
        <v>272</v>
      </c>
      <c r="M27" s="23">
        <v>100</v>
      </c>
      <c r="N27" s="24" t="s">
        <v>164</v>
      </c>
      <c r="O27" s="25">
        <f t="shared" si="0"/>
        <v>783000</v>
      </c>
      <c r="P27" s="14" t="e">
        <f>+O27*#REF!</f>
        <v>#REF!</v>
      </c>
      <c r="Q27" s="14"/>
      <c r="R27" s="110">
        <f t="shared" si="1"/>
        <v>0</v>
      </c>
      <c r="S27" s="111"/>
      <c r="T27" s="111"/>
      <c r="U27" s="111"/>
      <c r="V27" s="112"/>
      <c r="W27" s="104">
        <f t="shared" si="2"/>
        <v>0</v>
      </c>
      <c r="X27" s="93">
        <v>0</v>
      </c>
      <c r="Y27" s="94">
        <v>0</v>
      </c>
      <c r="Z27" s="27">
        <f t="shared" si="3"/>
        <v>273000</v>
      </c>
      <c r="AA27" s="29">
        <v>273000</v>
      </c>
      <c r="AB27" s="64">
        <v>0</v>
      </c>
      <c r="AC27" s="49">
        <f t="shared" si="4"/>
        <v>510000</v>
      </c>
      <c r="AD27" s="29">
        <v>510000</v>
      </c>
      <c r="AE27" s="57">
        <v>0</v>
      </c>
      <c r="AF27" s="49">
        <f t="shared" si="5"/>
        <v>0</v>
      </c>
      <c r="AG27" s="29">
        <v>0</v>
      </c>
      <c r="AH27" s="57">
        <v>0</v>
      </c>
      <c r="AI27" s="49">
        <f t="shared" si="6"/>
        <v>0</v>
      </c>
      <c r="AJ27" s="29">
        <v>0</v>
      </c>
      <c r="AK27" s="57">
        <v>0</v>
      </c>
      <c r="AL27" s="51">
        <v>0</v>
      </c>
      <c r="AM27" s="58">
        <v>42003</v>
      </c>
      <c r="AN27" s="59">
        <v>120000</v>
      </c>
      <c r="AO27" s="59" t="s">
        <v>54</v>
      </c>
      <c r="AP27" s="14"/>
      <c r="AT27" s="5" t="s">
        <v>263</v>
      </c>
      <c r="AU27" s="6">
        <v>87000</v>
      </c>
      <c r="AW27" s="6" t="e">
        <f>AU27-#REF!-#REF!-Q27+AV27</f>
        <v>#REF!</v>
      </c>
    </row>
    <row r="28" spans="1:52" ht="19.899999999999999" customHeight="1">
      <c r="A28" s="132"/>
      <c r="B28" s="53">
        <v>31</v>
      </c>
      <c r="C28" s="138" t="s">
        <v>165</v>
      </c>
      <c r="D28" s="53" t="s">
        <v>166</v>
      </c>
      <c r="E28" s="53" t="s">
        <v>294</v>
      </c>
      <c r="F28" s="52" t="s">
        <v>167</v>
      </c>
      <c r="G28" s="52"/>
      <c r="H28" s="53" t="s">
        <v>168</v>
      </c>
      <c r="I28" s="53" t="s">
        <v>64</v>
      </c>
      <c r="J28" s="53" t="s">
        <v>43</v>
      </c>
      <c r="K28" s="1" t="s">
        <v>154</v>
      </c>
      <c r="L28" s="1" t="s">
        <v>155</v>
      </c>
      <c r="M28" s="23">
        <v>150</v>
      </c>
      <c r="N28" s="24" t="s">
        <v>164</v>
      </c>
      <c r="O28" s="25">
        <f t="shared" si="0"/>
        <v>710000</v>
      </c>
      <c r="P28" s="25" t="e">
        <f>+O28*#REF!</f>
        <v>#REF!</v>
      </c>
      <c r="Q28" s="55">
        <v>40000</v>
      </c>
      <c r="R28" s="110">
        <f t="shared" si="1"/>
        <v>0</v>
      </c>
      <c r="S28" s="111"/>
      <c r="T28" s="111"/>
      <c r="U28" s="111"/>
      <c r="V28" s="112"/>
      <c r="W28" s="104">
        <f t="shared" si="2"/>
        <v>80000</v>
      </c>
      <c r="X28" s="93">
        <v>0</v>
      </c>
      <c r="Y28" s="94">
        <v>80000</v>
      </c>
      <c r="Z28" s="27">
        <f t="shared" si="3"/>
        <v>40000</v>
      </c>
      <c r="AA28" s="29"/>
      <c r="AB28" s="64">
        <v>40000</v>
      </c>
      <c r="AC28" s="49">
        <f t="shared" si="4"/>
        <v>590000</v>
      </c>
      <c r="AD28" s="29">
        <f>750000-160000</f>
        <v>590000</v>
      </c>
      <c r="AE28" s="57">
        <v>0</v>
      </c>
      <c r="AF28" s="49">
        <f t="shared" si="5"/>
        <v>0</v>
      </c>
      <c r="AG28" s="29">
        <v>0</v>
      </c>
      <c r="AH28" s="57">
        <v>0</v>
      </c>
      <c r="AI28" s="49">
        <f t="shared" si="6"/>
        <v>0</v>
      </c>
      <c r="AJ28" s="29">
        <v>0</v>
      </c>
      <c r="AK28" s="57">
        <v>0</v>
      </c>
      <c r="AL28" s="51">
        <v>0</v>
      </c>
      <c r="AM28" s="58">
        <v>42308</v>
      </c>
      <c r="AN28" s="59">
        <v>80000</v>
      </c>
      <c r="AO28" s="59" t="s">
        <v>54</v>
      </c>
      <c r="AP28" s="14"/>
      <c r="AT28" s="5" t="s">
        <v>140</v>
      </c>
      <c r="AU28" s="6">
        <v>20000</v>
      </c>
      <c r="AW28" s="14" t="e">
        <f>AU28-#REF!-#REF!-Q28+AV28</f>
        <v>#REF!</v>
      </c>
      <c r="AX28" s="59"/>
    </row>
    <row r="29" spans="1:52" ht="19.899999999999999" customHeight="1">
      <c r="A29" s="133"/>
      <c r="B29" s="53">
        <v>32</v>
      </c>
      <c r="C29" s="139" t="s">
        <v>169</v>
      </c>
      <c r="D29" s="62" t="s">
        <v>100</v>
      </c>
      <c r="E29" s="62" t="s">
        <v>290</v>
      </c>
      <c r="F29" s="52" t="s">
        <v>101</v>
      </c>
      <c r="G29" s="52"/>
      <c r="H29" s="53" t="s">
        <v>170</v>
      </c>
      <c r="I29" s="53" t="s">
        <v>33</v>
      </c>
      <c r="J29" s="53" t="s">
        <v>70</v>
      </c>
      <c r="K29" s="1" t="s">
        <v>103</v>
      </c>
      <c r="L29" s="1" t="s">
        <v>104</v>
      </c>
      <c r="M29" s="23">
        <v>5</v>
      </c>
      <c r="N29" s="24" t="s">
        <v>164</v>
      </c>
      <c r="O29" s="25">
        <f t="shared" si="0"/>
        <v>252999.66666666666</v>
      </c>
      <c r="P29" s="14" t="e">
        <f>+O29*#REF!</f>
        <v>#REF!</v>
      </c>
      <c r="Q29" s="32">
        <v>25000</v>
      </c>
      <c r="R29" s="110">
        <f t="shared" si="1"/>
        <v>0</v>
      </c>
      <c r="S29" s="111"/>
      <c r="T29" s="111"/>
      <c r="U29" s="111"/>
      <c r="V29" s="112"/>
      <c r="W29" s="104">
        <f t="shared" si="2"/>
        <v>40833</v>
      </c>
      <c r="X29" s="93">
        <v>0</v>
      </c>
      <c r="Y29" s="94">
        <f>15833+25000</f>
        <v>40833</v>
      </c>
      <c r="Z29" s="27">
        <f t="shared" si="3"/>
        <v>22166.666666666664</v>
      </c>
      <c r="AA29" s="29"/>
      <c r="AB29" s="64">
        <f>38000/12*7</f>
        <v>22166.666666666664</v>
      </c>
      <c r="AC29" s="49">
        <f t="shared" si="4"/>
        <v>190000</v>
      </c>
      <c r="AD29" s="29">
        <f>190000</f>
        <v>190000</v>
      </c>
      <c r="AE29" s="57">
        <v>0</v>
      </c>
      <c r="AF29" s="49">
        <f t="shared" si="5"/>
        <v>0</v>
      </c>
      <c r="AG29" s="29">
        <v>0</v>
      </c>
      <c r="AH29" s="57">
        <v>0</v>
      </c>
      <c r="AI29" s="49">
        <f t="shared" si="6"/>
        <v>0</v>
      </c>
      <c r="AJ29" s="29">
        <v>0</v>
      </c>
      <c r="AK29" s="57">
        <v>0</v>
      </c>
      <c r="AL29" s="51">
        <v>0</v>
      </c>
      <c r="AM29" s="58">
        <v>41790</v>
      </c>
      <c r="AN29" s="59">
        <v>38000</v>
      </c>
      <c r="AO29" s="59" t="s">
        <v>176</v>
      </c>
      <c r="AP29" s="14"/>
      <c r="AS29" s="1"/>
      <c r="AT29" s="1" t="s">
        <v>78</v>
      </c>
      <c r="AU29" s="2">
        <v>38500</v>
      </c>
      <c r="AV29" s="2"/>
      <c r="AW29" s="14" t="e">
        <f>AU29-#REF!-#REF!-Q29+AV29</f>
        <v>#REF!</v>
      </c>
      <c r="AX29" s="59"/>
    </row>
    <row r="30" spans="1:52" ht="19.899999999999999" customHeight="1">
      <c r="A30" s="134"/>
      <c r="B30" s="53">
        <v>34</v>
      </c>
      <c r="C30" s="138" t="s">
        <v>67</v>
      </c>
      <c r="D30" s="53" t="s">
        <v>30</v>
      </c>
      <c r="E30" s="53" t="s">
        <v>290</v>
      </c>
      <c r="F30" s="52" t="s">
        <v>177</v>
      </c>
      <c r="G30" s="52" t="s">
        <v>178</v>
      </c>
      <c r="H30" s="53" t="s">
        <v>179</v>
      </c>
      <c r="I30" s="53" t="s">
        <v>33</v>
      </c>
      <c r="J30" s="53" t="s">
        <v>70</v>
      </c>
      <c r="K30" s="66" t="s">
        <v>35</v>
      </c>
      <c r="L30" s="53" t="s">
        <v>180</v>
      </c>
      <c r="M30" s="67">
        <v>30</v>
      </c>
      <c r="N30" s="24" t="s">
        <v>164</v>
      </c>
      <c r="O30" s="25">
        <f t="shared" si="0"/>
        <v>443000</v>
      </c>
      <c r="P30" s="14" t="e">
        <f>+O30*#REF!</f>
        <v>#REF!</v>
      </c>
      <c r="Q30" s="14"/>
      <c r="R30" s="110">
        <f t="shared" si="1"/>
        <v>0</v>
      </c>
      <c r="S30" s="111"/>
      <c r="T30" s="111"/>
      <c r="U30" s="111"/>
      <c r="V30" s="112"/>
      <c r="W30" s="104">
        <f t="shared" si="2"/>
        <v>59000</v>
      </c>
      <c r="X30" s="93">
        <v>0</v>
      </c>
      <c r="Y30" s="94">
        <v>59000</v>
      </c>
      <c r="Z30" s="27">
        <f t="shared" si="3"/>
        <v>79000</v>
      </c>
      <c r="AA30" s="29">
        <v>65000</v>
      </c>
      <c r="AB30" s="64">
        <v>14000</v>
      </c>
      <c r="AC30" s="49">
        <f t="shared" si="4"/>
        <v>305000</v>
      </c>
      <c r="AD30" s="29">
        <v>305000</v>
      </c>
      <c r="AE30" s="57">
        <v>0</v>
      </c>
      <c r="AF30" s="49">
        <f t="shared" si="5"/>
        <v>0</v>
      </c>
      <c r="AG30" s="29">
        <v>0</v>
      </c>
      <c r="AH30" s="57">
        <v>0</v>
      </c>
      <c r="AI30" s="49">
        <f t="shared" si="6"/>
        <v>0</v>
      </c>
      <c r="AJ30" s="29">
        <v>0</v>
      </c>
      <c r="AK30" s="57">
        <v>0</v>
      </c>
      <c r="AL30" s="51">
        <v>0</v>
      </c>
      <c r="AM30" s="58">
        <v>42003</v>
      </c>
      <c r="AN30" s="59">
        <v>60000</v>
      </c>
      <c r="AO30" s="59" t="s">
        <v>54</v>
      </c>
      <c r="AP30" s="14"/>
      <c r="AS30" s="1"/>
      <c r="AT30" s="1" t="s">
        <v>86</v>
      </c>
      <c r="AU30" s="2">
        <v>64000</v>
      </c>
      <c r="AV30" s="2"/>
      <c r="AW30" s="14" t="e">
        <f>AU30-#REF!-#REF!-Q30+AV30</f>
        <v>#REF!</v>
      </c>
      <c r="AX30" s="59"/>
      <c r="AY30" s="1"/>
      <c r="AZ30" s="2" t="s">
        <v>354</v>
      </c>
    </row>
    <row r="31" spans="1:52" ht="19.899999999999999" customHeight="1">
      <c r="A31" s="132"/>
      <c r="B31" s="53">
        <v>35</v>
      </c>
      <c r="C31" s="135" t="s">
        <v>182</v>
      </c>
      <c r="D31" s="53" t="s">
        <v>73</v>
      </c>
      <c r="E31" s="53" t="s">
        <v>293</v>
      </c>
      <c r="F31" s="52"/>
      <c r="G31" s="52"/>
      <c r="H31" s="53" t="s">
        <v>183</v>
      </c>
      <c r="I31" s="53" t="s">
        <v>50</v>
      </c>
      <c r="J31" s="53" t="s">
        <v>43</v>
      </c>
      <c r="K31" s="1" t="s">
        <v>76</v>
      </c>
      <c r="L31" s="1" t="s">
        <v>184</v>
      </c>
      <c r="M31" s="23">
        <v>25</v>
      </c>
      <c r="N31" s="24" t="s">
        <v>164</v>
      </c>
      <c r="O31" s="25">
        <f t="shared" si="0"/>
        <v>460000</v>
      </c>
      <c r="P31" s="14" t="e">
        <f>+O31*#REF!</f>
        <v>#REF!</v>
      </c>
      <c r="Q31" s="14"/>
      <c r="R31" s="110">
        <f t="shared" si="1"/>
        <v>0</v>
      </c>
      <c r="S31" s="111"/>
      <c r="T31" s="111"/>
      <c r="U31" s="111"/>
      <c r="V31" s="112"/>
      <c r="W31" s="104">
        <f t="shared" si="2"/>
        <v>77000</v>
      </c>
      <c r="X31" s="93">
        <v>0</v>
      </c>
      <c r="Y31" s="94">
        <v>77000</v>
      </c>
      <c r="Z31" s="27">
        <f t="shared" si="3"/>
        <v>0</v>
      </c>
      <c r="AA31" s="29">
        <v>0</v>
      </c>
      <c r="AB31" s="64">
        <v>0</v>
      </c>
      <c r="AC31" s="49">
        <f t="shared" si="4"/>
        <v>383000</v>
      </c>
      <c r="AD31" s="29">
        <f>383000</f>
        <v>383000</v>
      </c>
      <c r="AE31" s="57">
        <v>0</v>
      </c>
      <c r="AF31" s="49">
        <f t="shared" si="5"/>
        <v>0</v>
      </c>
      <c r="AG31" s="29">
        <v>0</v>
      </c>
      <c r="AH31" s="57">
        <v>0</v>
      </c>
      <c r="AI31" s="49">
        <f t="shared" si="6"/>
        <v>0</v>
      </c>
      <c r="AJ31" s="29">
        <v>0</v>
      </c>
      <c r="AK31" s="57">
        <v>0</v>
      </c>
      <c r="AL31" s="51">
        <v>0</v>
      </c>
      <c r="AM31" s="58">
        <v>42003</v>
      </c>
      <c r="AN31" s="59">
        <v>77000</v>
      </c>
      <c r="AO31" s="59" t="s">
        <v>54</v>
      </c>
      <c r="AP31" s="14"/>
      <c r="AT31" s="30" t="s">
        <v>39</v>
      </c>
      <c r="AV31" s="6">
        <v>300000</v>
      </c>
      <c r="AW31" s="14" t="e">
        <f>AU31-#REF!-#REF!-Q31+AV31</f>
        <v>#REF!</v>
      </c>
      <c r="AX31" s="59"/>
    </row>
    <row r="32" spans="1:52" ht="19.899999999999999" customHeight="1">
      <c r="A32" s="133"/>
      <c r="B32" s="53">
        <v>36</v>
      </c>
      <c r="C32" s="138" t="s">
        <v>185</v>
      </c>
      <c r="D32" s="53" t="s">
        <v>61</v>
      </c>
      <c r="E32" s="53" t="s">
        <v>292</v>
      </c>
      <c r="F32" s="52" t="s">
        <v>186</v>
      </c>
      <c r="G32" s="52"/>
      <c r="H32" s="53" t="s">
        <v>187</v>
      </c>
      <c r="I32" s="53" t="s">
        <v>64</v>
      </c>
      <c r="J32" s="53" t="s">
        <v>43</v>
      </c>
      <c r="K32" s="1" t="s">
        <v>76</v>
      </c>
      <c r="L32" s="33" t="s">
        <v>188</v>
      </c>
      <c r="M32" s="34">
        <v>2000</v>
      </c>
      <c r="N32" s="24" t="s">
        <v>164</v>
      </c>
      <c r="O32" s="25">
        <f t="shared" si="0"/>
        <v>1077500</v>
      </c>
      <c r="P32" s="14" t="e">
        <f>+O32*#REF!</f>
        <v>#REF!</v>
      </c>
      <c r="Q32" s="14"/>
      <c r="R32" s="110">
        <f t="shared" si="1"/>
        <v>80000</v>
      </c>
      <c r="S32" s="111"/>
      <c r="T32" s="111"/>
      <c r="U32" s="111">
        <v>40000</v>
      </c>
      <c r="V32" s="112">
        <v>40000</v>
      </c>
      <c r="W32" s="104">
        <f t="shared" si="2"/>
        <v>80000</v>
      </c>
      <c r="X32" s="93">
        <v>0</v>
      </c>
      <c r="Y32" s="97">
        <v>80000</v>
      </c>
      <c r="Z32" s="27">
        <f t="shared" si="3"/>
        <v>160000</v>
      </c>
      <c r="AA32" s="29"/>
      <c r="AB32" s="64">
        <f>120000+40000</f>
        <v>160000</v>
      </c>
      <c r="AC32" s="49">
        <f t="shared" si="4"/>
        <v>837500</v>
      </c>
      <c r="AD32" s="29">
        <v>837500</v>
      </c>
      <c r="AE32" s="57">
        <v>0</v>
      </c>
      <c r="AF32" s="49">
        <f t="shared" si="5"/>
        <v>0</v>
      </c>
      <c r="AG32" s="29">
        <v>0</v>
      </c>
      <c r="AH32" s="57">
        <v>0</v>
      </c>
      <c r="AI32" s="49">
        <f t="shared" si="6"/>
        <v>0</v>
      </c>
      <c r="AJ32" s="29">
        <v>0</v>
      </c>
      <c r="AK32" s="57">
        <v>0</v>
      </c>
      <c r="AL32" s="51">
        <v>0</v>
      </c>
      <c r="AM32" s="58">
        <v>41698</v>
      </c>
      <c r="AN32" s="59">
        <v>160000</v>
      </c>
      <c r="AO32" s="59" t="s">
        <v>176</v>
      </c>
      <c r="AP32" s="14"/>
      <c r="AS32" s="3"/>
      <c r="AT32" s="3" t="s">
        <v>181</v>
      </c>
      <c r="AU32" s="2">
        <f>20000+59000</f>
        <v>79000</v>
      </c>
      <c r="AV32" s="2">
        <v>0</v>
      </c>
      <c r="AW32" s="14" t="e">
        <f>AU32-#REF!-#REF!-Q32+AV32</f>
        <v>#REF!</v>
      </c>
      <c r="AX32" s="59"/>
    </row>
    <row r="33" spans="1:52" ht="19.899999999999999" customHeight="1">
      <c r="A33" s="134"/>
      <c r="B33" s="53">
        <v>37</v>
      </c>
      <c r="C33" s="135" t="s">
        <v>189</v>
      </c>
      <c r="D33" s="53" t="s">
        <v>190</v>
      </c>
      <c r="E33" s="53" t="s">
        <v>292</v>
      </c>
      <c r="F33" s="52"/>
      <c r="G33" s="52"/>
      <c r="H33" s="53" t="s">
        <v>191</v>
      </c>
      <c r="I33" s="53" t="s">
        <v>64</v>
      </c>
      <c r="J33" s="53" t="s">
        <v>43</v>
      </c>
      <c r="K33" s="1" t="s">
        <v>51</v>
      </c>
      <c r="L33" s="22" t="s">
        <v>36</v>
      </c>
      <c r="M33" s="23">
        <v>240</v>
      </c>
      <c r="N33" s="24" t="s">
        <v>164</v>
      </c>
      <c r="O33" s="25">
        <f t="shared" si="0"/>
        <v>960000</v>
      </c>
      <c r="P33" s="14" t="e">
        <f>+O33*#REF!</f>
        <v>#REF!</v>
      </c>
      <c r="Q33" s="14"/>
      <c r="R33" s="110">
        <f t="shared" si="1"/>
        <v>0</v>
      </c>
      <c r="S33" s="111"/>
      <c r="T33" s="111"/>
      <c r="U33" s="111"/>
      <c r="V33" s="112"/>
      <c r="W33" s="104">
        <f t="shared" si="2"/>
        <v>76000</v>
      </c>
      <c r="X33" s="93">
        <v>0</v>
      </c>
      <c r="Y33" s="94">
        <v>76000</v>
      </c>
      <c r="Z33" s="27">
        <f t="shared" si="3"/>
        <v>15000</v>
      </c>
      <c r="AA33" s="29"/>
      <c r="AB33" s="56">
        <v>15000</v>
      </c>
      <c r="AC33" s="49">
        <f t="shared" si="4"/>
        <v>869000</v>
      </c>
      <c r="AD33" s="29">
        <f>960000-91000</f>
        <v>869000</v>
      </c>
      <c r="AE33" s="57">
        <v>0</v>
      </c>
      <c r="AF33" s="49">
        <f t="shared" si="5"/>
        <v>0</v>
      </c>
      <c r="AG33" s="29">
        <v>0</v>
      </c>
      <c r="AH33" s="57">
        <v>0</v>
      </c>
      <c r="AI33" s="49">
        <f t="shared" si="6"/>
        <v>0</v>
      </c>
      <c r="AJ33" s="29">
        <v>0</v>
      </c>
      <c r="AK33" s="57">
        <v>0</v>
      </c>
      <c r="AL33" s="51">
        <v>0</v>
      </c>
      <c r="AM33" s="58">
        <v>41910</v>
      </c>
      <c r="AN33" s="59">
        <v>76000</v>
      </c>
      <c r="AO33" s="59" t="s">
        <v>54</v>
      </c>
      <c r="AP33" s="14"/>
      <c r="AS33" s="3"/>
      <c r="AT33" s="30" t="s">
        <v>39</v>
      </c>
      <c r="AU33" s="2"/>
      <c r="AV33" s="2">
        <v>77000</v>
      </c>
      <c r="AW33" s="14" t="e">
        <f>AU33-#REF!-#REF!-Q33+AV33</f>
        <v>#REF!</v>
      </c>
      <c r="AX33" s="59"/>
    </row>
    <row r="34" spans="1:52" ht="19.899999999999999" customHeight="1">
      <c r="A34" s="132"/>
      <c r="B34" s="53">
        <v>38</v>
      </c>
      <c r="C34" s="138" t="s">
        <v>192</v>
      </c>
      <c r="D34" s="53" t="s">
        <v>193</v>
      </c>
      <c r="E34" s="53" t="s">
        <v>290</v>
      </c>
      <c r="F34" s="52" t="s">
        <v>194</v>
      </c>
      <c r="G34" s="52" t="s">
        <v>195</v>
      </c>
      <c r="H34" s="53" t="s">
        <v>196</v>
      </c>
      <c r="I34" s="53" t="s">
        <v>33</v>
      </c>
      <c r="J34" s="53" t="s">
        <v>43</v>
      </c>
      <c r="K34" s="1" t="s">
        <v>76</v>
      </c>
      <c r="L34" s="1" t="s">
        <v>197</v>
      </c>
      <c r="M34" s="23">
        <v>25</v>
      </c>
      <c r="N34" s="24" t="s">
        <v>164</v>
      </c>
      <c r="O34" s="25">
        <f t="shared" si="0"/>
        <v>451017</v>
      </c>
      <c r="P34" s="14" t="e">
        <f>+O34*#REF!</f>
        <v>#REF!</v>
      </c>
      <c r="Q34" s="14"/>
      <c r="R34" s="110">
        <f t="shared" si="1"/>
        <v>0</v>
      </c>
      <c r="S34" s="111"/>
      <c r="T34" s="111"/>
      <c r="U34" s="111"/>
      <c r="V34" s="112"/>
      <c r="W34" s="104">
        <f t="shared" si="2"/>
        <v>55932</v>
      </c>
      <c r="X34" s="93">
        <v>0</v>
      </c>
      <c r="Y34" s="94">
        <v>55932</v>
      </c>
      <c r="Z34" s="27">
        <f t="shared" si="3"/>
        <v>5085</v>
      </c>
      <c r="AA34" s="31"/>
      <c r="AB34" s="64">
        <v>5085</v>
      </c>
      <c r="AC34" s="49">
        <f t="shared" si="4"/>
        <v>390000</v>
      </c>
      <c r="AD34" s="29">
        <v>390000</v>
      </c>
      <c r="AE34" s="57">
        <v>0</v>
      </c>
      <c r="AF34" s="49">
        <f t="shared" si="5"/>
        <v>0</v>
      </c>
      <c r="AG34" s="29">
        <v>0</v>
      </c>
      <c r="AH34" s="57">
        <v>0</v>
      </c>
      <c r="AI34" s="49">
        <f t="shared" si="6"/>
        <v>0</v>
      </c>
      <c r="AJ34" s="29">
        <v>0</v>
      </c>
      <c r="AK34" s="57">
        <v>0</v>
      </c>
      <c r="AL34" s="51">
        <v>0</v>
      </c>
      <c r="AM34" s="58">
        <v>41971</v>
      </c>
      <c r="AN34" s="59">
        <v>72000</v>
      </c>
      <c r="AO34" s="59" t="s">
        <v>176</v>
      </c>
      <c r="AP34" s="14"/>
      <c r="AS34" s="1"/>
      <c r="AT34" s="1" t="s">
        <v>92</v>
      </c>
      <c r="AU34" s="2">
        <v>25000</v>
      </c>
      <c r="AV34" s="2"/>
      <c r="AW34" s="14" t="e">
        <f>AU34-#REF!-#REF!-Q34+AV34</f>
        <v>#REF!</v>
      </c>
      <c r="AX34" s="59"/>
      <c r="AY34" s="3"/>
      <c r="AZ34" s="2"/>
    </row>
    <row r="35" spans="1:52" ht="19.899999999999999" customHeight="1">
      <c r="A35" s="133"/>
      <c r="B35" s="53">
        <v>39</v>
      </c>
      <c r="C35" s="138" t="s">
        <v>198</v>
      </c>
      <c r="D35" s="53" t="s">
        <v>94</v>
      </c>
      <c r="E35" s="53" t="s">
        <v>292</v>
      </c>
      <c r="F35" s="52"/>
      <c r="G35" s="52"/>
      <c r="H35" s="53" t="s">
        <v>199</v>
      </c>
      <c r="I35" s="53" t="s">
        <v>64</v>
      </c>
      <c r="J35" s="53" t="s">
        <v>34</v>
      </c>
      <c r="K35" s="1" t="s">
        <v>35</v>
      </c>
      <c r="L35" s="33" t="s">
        <v>200</v>
      </c>
      <c r="M35" s="34">
        <v>200</v>
      </c>
      <c r="N35" s="24" t="s">
        <v>164</v>
      </c>
      <c r="O35" s="25">
        <f t="shared" ref="O35:O56" si="7">+AL35+AI35+AF35+AC35+Z35+W35</f>
        <v>773000</v>
      </c>
      <c r="P35" s="14" t="e">
        <f>+O35*#REF!</f>
        <v>#REF!</v>
      </c>
      <c r="Q35" s="55"/>
      <c r="R35" s="110">
        <f t="shared" si="1"/>
        <v>0</v>
      </c>
      <c r="S35" s="111"/>
      <c r="T35" s="111"/>
      <c r="U35" s="111"/>
      <c r="V35" s="112"/>
      <c r="W35" s="104">
        <f t="shared" ref="W35:W80" si="8">+X35+Y35</f>
        <v>164000</v>
      </c>
      <c r="X35" s="92">
        <v>50000</v>
      </c>
      <c r="Y35" s="92">
        <v>114000</v>
      </c>
      <c r="Z35" s="27">
        <f t="shared" ref="Z35:Z56" si="9">+AA35+AB35</f>
        <v>39000</v>
      </c>
      <c r="AA35" s="29">
        <v>39000</v>
      </c>
      <c r="AB35" s="64">
        <v>0</v>
      </c>
      <c r="AC35" s="49">
        <f t="shared" ref="AC35:AC52" si="10">+AD35+AE35</f>
        <v>570000</v>
      </c>
      <c r="AD35" s="29">
        <v>570000</v>
      </c>
      <c r="AE35" s="57">
        <v>0</v>
      </c>
      <c r="AF35" s="49">
        <f t="shared" ref="AF35:AF52" si="11">+AG35+AH35</f>
        <v>0</v>
      </c>
      <c r="AG35" s="29">
        <v>0</v>
      </c>
      <c r="AH35" s="57">
        <v>0</v>
      </c>
      <c r="AI35" s="49">
        <f t="shared" ref="AI35:AI52" si="12">+AJ35+AK35</f>
        <v>0</v>
      </c>
      <c r="AJ35" s="29">
        <v>0</v>
      </c>
      <c r="AK35" s="57">
        <v>0</v>
      </c>
      <c r="AL35" s="51">
        <v>0</v>
      </c>
      <c r="AM35" s="58">
        <v>41790</v>
      </c>
      <c r="AN35" s="59">
        <v>114000</v>
      </c>
      <c r="AO35" s="59" t="s">
        <v>54</v>
      </c>
      <c r="AP35" s="14"/>
      <c r="AS35" s="3"/>
      <c r="AT35" s="3"/>
      <c r="AU35" s="2"/>
      <c r="AV35" s="2"/>
      <c r="AW35" s="14" t="e">
        <f>AU35-#REF!-#REF!-Q35+AV35</f>
        <v>#REF!</v>
      </c>
      <c r="AX35" s="59"/>
    </row>
    <row r="36" spans="1:52" ht="19.899999999999999" customHeight="1">
      <c r="A36" s="134"/>
      <c r="B36" s="53">
        <v>40</v>
      </c>
      <c r="C36" s="138" t="s">
        <v>201</v>
      </c>
      <c r="D36" s="53" t="s">
        <v>202</v>
      </c>
      <c r="E36" s="53" t="s">
        <v>294</v>
      </c>
      <c r="F36" s="52" t="s">
        <v>203</v>
      </c>
      <c r="G36" s="52"/>
      <c r="H36" s="53" t="s">
        <v>204</v>
      </c>
      <c r="I36" s="53" t="s">
        <v>50</v>
      </c>
      <c r="J36" s="53" t="s">
        <v>43</v>
      </c>
      <c r="K36" s="1" t="s">
        <v>51</v>
      </c>
      <c r="L36" s="22" t="s">
        <v>36</v>
      </c>
      <c r="M36" s="23">
        <v>110</v>
      </c>
      <c r="N36" s="24" t="s">
        <v>164</v>
      </c>
      <c r="O36" s="25">
        <f t="shared" si="7"/>
        <v>832500</v>
      </c>
      <c r="P36" s="14" t="e">
        <f>+O36*#REF!</f>
        <v>#REF!</v>
      </c>
      <c r="Q36" s="14"/>
      <c r="R36" s="110">
        <f t="shared" si="1"/>
        <v>67500</v>
      </c>
      <c r="S36" s="111"/>
      <c r="T36" s="111"/>
      <c r="U36" s="111">
        <v>33750</v>
      </c>
      <c r="V36" s="112">
        <v>33750</v>
      </c>
      <c r="W36" s="104">
        <f t="shared" si="8"/>
        <v>122500</v>
      </c>
      <c r="X36" s="92">
        <f>5000+50000</f>
        <v>55000</v>
      </c>
      <c r="Y36" s="92">
        <f>33750+33750</f>
        <v>67500</v>
      </c>
      <c r="Z36" s="27">
        <f t="shared" si="9"/>
        <v>0</v>
      </c>
      <c r="AA36" s="29">
        <v>0</v>
      </c>
      <c r="AB36" s="64">
        <v>0</v>
      </c>
      <c r="AC36" s="49">
        <f t="shared" si="10"/>
        <v>710000</v>
      </c>
      <c r="AD36" s="29">
        <v>710000</v>
      </c>
      <c r="AE36" s="57">
        <v>0</v>
      </c>
      <c r="AF36" s="49">
        <f t="shared" si="11"/>
        <v>0</v>
      </c>
      <c r="AG36" s="29">
        <v>0</v>
      </c>
      <c r="AH36" s="57">
        <v>0</v>
      </c>
      <c r="AI36" s="49">
        <f t="shared" si="12"/>
        <v>0</v>
      </c>
      <c r="AJ36" s="29">
        <v>0</v>
      </c>
      <c r="AK36" s="57">
        <v>0</v>
      </c>
      <c r="AL36" s="51">
        <v>0</v>
      </c>
      <c r="AM36" s="58">
        <v>41670</v>
      </c>
      <c r="AN36" s="59">
        <v>140000</v>
      </c>
      <c r="AO36" s="59" t="s">
        <v>54</v>
      </c>
      <c r="AP36" s="14"/>
      <c r="AW36" s="14" t="e">
        <f>AU36-#REF!-#REF!-Q36+AV36</f>
        <v>#REF!</v>
      </c>
      <c r="AX36" s="59"/>
    </row>
    <row r="37" spans="1:52" ht="19.899999999999999" customHeight="1">
      <c r="A37" s="132"/>
      <c r="B37" s="53">
        <v>41</v>
      </c>
      <c r="C37" s="138" t="s">
        <v>205</v>
      </c>
      <c r="D37" s="53" t="s">
        <v>206</v>
      </c>
      <c r="E37" s="53" t="s">
        <v>293</v>
      </c>
      <c r="F37" s="52" t="s">
        <v>207</v>
      </c>
      <c r="G37" s="52"/>
      <c r="H37" s="53" t="s">
        <v>208</v>
      </c>
      <c r="I37" s="53" t="s">
        <v>50</v>
      </c>
      <c r="J37" s="53" t="s">
        <v>70</v>
      </c>
      <c r="K37" s="1" t="s">
        <v>76</v>
      </c>
      <c r="L37" s="1" t="s">
        <v>209</v>
      </c>
      <c r="M37" s="23">
        <v>20</v>
      </c>
      <c r="N37" s="24" t="s">
        <v>164</v>
      </c>
      <c r="O37" s="25">
        <f t="shared" si="7"/>
        <v>574550</v>
      </c>
      <c r="P37" s="14" t="e">
        <f>+O37*#REF!</f>
        <v>#REF!</v>
      </c>
      <c r="Q37" s="14"/>
      <c r="R37" s="110">
        <f t="shared" si="1"/>
        <v>0</v>
      </c>
      <c r="S37" s="111"/>
      <c r="T37" s="111"/>
      <c r="U37" s="111"/>
      <c r="V37" s="112"/>
      <c r="W37" s="104">
        <f t="shared" si="8"/>
        <v>67700</v>
      </c>
      <c r="X37" s="92">
        <v>0</v>
      </c>
      <c r="Y37" s="97">
        <f>33850+33850</f>
        <v>67700</v>
      </c>
      <c r="Z37" s="27">
        <f t="shared" si="9"/>
        <v>58850</v>
      </c>
      <c r="AA37" s="31"/>
      <c r="AB37" s="64">
        <f>29425*2</f>
        <v>58850</v>
      </c>
      <c r="AC37" s="49">
        <f t="shared" si="10"/>
        <v>448000</v>
      </c>
      <c r="AD37" s="29">
        <v>448000</v>
      </c>
      <c r="AE37" s="57">
        <v>0</v>
      </c>
      <c r="AF37" s="49">
        <f t="shared" si="11"/>
        <v>0</v>
      </c>
      <c r="AG37" s="29">
        <v>0</v>
      </c>
      <c r="AH37" s="57">
        <v>0</v>
      </c>
      <c r="AI37" s="49">
        <f t="shared" si="12"/>
        <v>0</v>
      </c>
      <c r="AJ37" s="29">
        <v>0</v>
      </c>
      <c r="AK37" s="57">
        <v>0</v>
      </c>
      <c r="AL37" s="51">
        <v>0</v>
      </c>
      <c r="AM37" s="58">
        <v>41638</v>
      </c>
      <c r="AN37" s="59">
        <v>67000</v>
      </c>
      <c r="AO37" s="59" t="s">
        <v>176</v>
      </c>
      <c r="AP37" s="14"/>
      <c r="AW37" s="14" t="e">
        <f>AU37-#REF!-#REF!-Q37+AV37</f>
        <v>#REF!</v>
      </c>
      <c r="AX37" s="59"/>
      <c r="AY37" s="1"/>
      <c r="AZ37" s="2"/>
    </row>
    <row r="38" spans="1:52" ht="19.899999999999999" customHeight="1">
      <c r="A38" s="133"/>
      <c r="B38" s="53">
        <v>42</v>
      </c>
      <c r="C38" s="138" t="s">
        <v>211</v>
      </c>
      <c r="D38" s="53" t="s">
        <v>146</v>
      </c>
      <c r="E38" s="53" t="s">
        <v>292</v>
      </c>
      <c r="F38" s="52"/>
      <c r="G38" s="52"/>
      <c r="H38" s="53" t="s">
        <v>212</v>
      </c>
      <c r="I38" s="53" t="s">
        <v>64</v>
      </c>
      <c r="J38" s="53" t="s">
        <v>70</v>
      </c>
      <c r="K38" s="1" t="s">
        <v>35</v>
      </c>
      <c r="L38" s="54" t="s">
        <v>213</v>
      </c>
      <c r="M38" s="68">
        <v>1100</v>
      </c>
      <c r="N38" s="24" t="s">
        <v>164</v>
      </c>
      <c r="O38" s="25">
        <f t="shared" si="7"/>
        <v>1112500</v>
      </c>
      <c r="P38" s="35" t="e">
        <f>+O38*#REF!</f>
        <v>#REF!</v>
      </c>
      <c r="Q38" s="32">
        <v>87500</v>
      </c>
      <c r="R38" s="110">
        <f t="shared" si="1"/>
        <v>0</v>
      </c>
      <c r="S38" s="111"/>
      <c r="T38" s="111"/>
      <c r="U38" s="111"/>
      <c r="V38" s="112"/>
      <c r="W38" s="104">
        <f t="shared" si="8"/>
        <v>150000</v>
      </c>
      <c r="X38" s="93">
        <v>0</v>
      </c>
      <c r="Y38" s="94">
        <v>150000</v>
      </c>
      <c r="Z38" s="27">
        <f t="shared" si="9"/>
        <v>62500</v>
      </c>
      <c r="AA38" s="29"/>
      <c r="AB38" s="56">
        <v>62500</v>
      </c>
      <c r="AC38" s="49">
        <f t="shared" si="10"/>
        <v>900000</v>
      </c>
      <c r="AD38" s="29">
        <f>1200000-300000</f>
        <v>900000</v>
      </c>
      <c r="AE38" s="57">
        <v>0</v>
      </c>
      <c r="AF38" s="49">
        <f t="shared" si="11"/>
        <v>0</v>
      </c>
      <c r="AG38" s="29">
        <v>0</v>
      </c>
      <c r="AH38" s="57">
        <v>0</v>
      </c>
      <c r="AI38" s="49">
        <f t="shared" si="12"/>
        <v>0</v>
      </c>
      <c r="AJ38" s="29">
        <v>0</v>
      </c>
      <c r="AK38" s="57">
        <v>0</v>
      </c>
      <c r="AL38" s="51">
        <v>0</v>
      </c>
      <c r="AM38" s="58">
        <v>42154</v>
      </c>
      <c r="AN38" s="59">
        <v>150000</v>
      </c>
      <c r="AO38" s="59" t="s">
        <v>54</v>
      </c>
      <c r="AP38" s="14"/>
      <c r="AS38" s="3"/>
      <c r="AT38" s="30" t="s">
        <v>39</v>
      </c>
      <c r="AU38" s="2"/>
      <c r="AV38" s="2">
        <v>91000</v>
      </c>
      <c r="AW38" s="14" t="e">
        <f>AU38-#REF!-#REF!-Q38+AV38</f>
        <v>#REF!</v>
      </c>
      <c r="AX38" s="59"/>
    </row>
    <row r="39" spans="1:52" ht="19.899999999999999" customHeight="1">
      <c r="A39" s="134"/>
      <c r="B39" s="53">
        <v>43</v>
      </c>
      <c r="C39" s="138" t="s">
        <v>214</v>
      </c>
      <c r="D39" s="53" t="s">
        <v>124</v>
      </c>
      <c r="E39" s="53" t="s">
        <v>291</v>
      </c>
      <c r="F39" s="52"/>
      <c r="G39" s="52"/>
      <c r="H39" s="53" t="s">
        <v>215</v>
      </c>
      <c r="I39" s="53" t="s">
        <v>127</v>
      </c>
      <c r="J39" s="53" t="s">
        <v>70</v>
      </c>
      <c r="K39" s="1" t="s">
        <v>76</v>
      </c>
      <c r="L39" s="1" t="s">
        <v>128</v>
      </c>
      <c r="M39" s="23">
        <v>10</v>
      </c>
      <c r="N39" s="24" t="s">
        <v>164</v>
      </c>
      <c r="O39" s="25">
        <f t="shared" si="7"/>
        <v>473411.62492201535</v>
      </c>
      <c r="P39" s="14" t="e">
        <f>+O39*#REF!</f>
        <v>#REF!</v>
      </c>
      <c r="Q39" s="14"/>
      <c r="R39" s="110">
        <f t="shared" si="1"/>
        <v>0</v>
      </c>
      <c r="S39" s="111"/>
      <c r="T39" s="111"/>
      <c r="U39" s="111"/>
      <c r="V39" s="112"/>
      <c r="W39" s="104">
        <f t="shared" si="8"/>
        <v>14375.044922015382</v>
      </c>
      <c r="X39" s="98">
        <f>20000/1.3913</f>
        <v>14375.044922015382</v>
      </c>
      <c r="Y39" s="94">
        <v>0</v>
      </c>
      <c r="Z39" s="27">
        <f t="shared" si="9"/>
        <v>109036.57999999999</v>
      </c>
      <c r="AA39" s="29">
        <v>43506.63</v>
      </c>
      <c r="AB39" s="64">
        <v>65529.95</v>
      </c>
      <c r="AC39" s="49">
        <f t="shared" si="10"/>
        <v>350000</v>
      </c>
      <c r="AD39" s="29">
        <v>350000</v>
      </c>
      <c r="AE39" s="57">
        <v>0</v>
      </c>
      <c r="AF39" s="49">
        <f t="shared" si="11"/>
        <v>0</v>
      </c>
      <c r="AG39" s="29">
        <v>0</v>
      </c>
      <c r="AH39" s="57">
        <v>0</v>
      </c>
      <c r="AI39" s="49">
        <f t="shared" si="12"/>
        <v>0</v>
      </c>
      <c r="AJ39" s="29">
        <v>0</v>
      </c>
      <c r="AK39" s="57">
        <v>0</v>
      </c>
      <c r="AL39" s="51">
        <v>0</v>
      </c>
      <c r="AM39" s="58">
        <v>42003</v>
      </c>
      <c r="AN39" s="59">
        <v>70000</v>
      </c>
      <c r="AO39" s="59" t="s">
        <v>54</v>
      </c>
      <c r="AP39" s="14"/>
      <c r="AW39" s="14" t="e">
        <f>AU39-#REF!-#REF!-Q39+AV39</f>
        <v>#REF!</v>
      </c>
    </row>
    <row r="40" spans="1:52" ht="19.899999999999999" customHeight="1">
      <c r="A40" s="132"/>
      <c r="B40" s="53">
        <v>44</v>
      </c>
      <c r="C40" s="138" t="s">
        <v>216</v>
      </c>
      <c r="D40" s="53" t="s">
        <v>217</v>
      </c>
      <c r="E40" s="53" t="s">
        <v>294</v>
      </c>
      <c r="F40" s="52" t="s">
        <v>218</v>
      </c>
      <c r="G40" s="52"/>
      <c r="H40" s="53" t="s">
        <v>219</v>
      </c>
      <c r="I40" s="53" t="s">
        <v>33</v>
      </c>
      <c r="J40" s="53" t="s">
        <v>34</v>
      </c>
      <c r="K40" s="1" t="s">
        <v>35</v>
      </c>
      <c r="L40" s="22" t="s">
        <v>36</v>
      </c>
      <c r="M40" s="23">
        <v>10</v>
      </c>
      <c r="N40" s="24" t="s">
        <v>164</v>
      </c>
      <c r="O40" s="25">
        <f t="shared" si="7"/>
        <v>204700</v>
      </c>
      <c r="P40" s="14" t="e">
        <f>+O40*#REF!</f>
        <v>#REF!</v>
      </c>
      <c r="Q40" s="32">
        <f>35600*7/12</f>
        <v>20766.666666666668</v>
      </c>
      <c r="R40" s="110">
        <f t="shared" si="1"/>
        <v>0</v>
      </c>
      <c r="S40" s="111"/>
      <c r="T40" s="111"/>
      <c r="U40" s="111"/>
      <c r="V40" s="112"/>
      <c r="W40" s="104">
        <f t="shared" si="8"/>
        <v>14833.333333333334</v>
      </c>
      <c r="X40" s="93">
        <v>0</v>
      </c>
      <c r="Y40" s="94">
        <f>35600*5/12</f>
        <v>14833.333333333334</v>
      </c>
      <c r="Z40" s="27">
        <f t="shared" si="9"/>
        <v>11866.666666666666</v>
      </c>
      <c r="AA40" s="29"/>
      <c r="AB40" s="64">
        <f>35600/12*4</f>
        <v>11866.666666666666</v>
      </c>
      <c r="AC40" s="49">
        <f t="shared" si="10"/>
        <v>178000</v>
      </c>
      <c r="AD40" s="29">
        <v>178000</v>
      </c>
      <c r="AE40" s="57">
        <v>0</v>
      </c>
      <c r="AF40" s="49">
        <f t="shared" si="11"/>
        <v>0</v>
      </c>
      <c r="AG40" s="29">
        <v>0</v>
      </c>
      <c r="AH40" s="57">
        <v>0</v>
      </c>
      <c r="AI40" s="49">
        <f t="shared" si="12"/>
        <v>0</v>
      </c>
      <c r="AJ40" s="29">
        <v>0</v>
      </c>
      <c r="AK40" s="57">
        <v>0</v>
      </c>
      <c r="AL40" s="51">
        <v>0</v>
      </c>
      <c r="AM40" s="58">
        <v>41881</v>
      </c>
      <c r="AN40" s="59">
        <v>35000</v>
      </c>
      <c r="AO40" s="59" t="s">
        <v>54</v>
      </c>
      <c r="AP40" s="14"/>
      <c r="AW40" s="14" t="e">
        <f>AU40-#REF!-#REF!-Q40+AV40</f>
        <v>#REF!</v>
      </c>
      <c r="AX40" s="59"/>
    </row>
    <row r="41" spans="1:52" ht="19.899999999999999" customHeight="1">
      <c r="A41" s="133"/>
      <c r="B41" s="53">
        <v>45</v>
      </c>
      <c r="C41" s="138" t="s">
        <v>221</v>
      </c>
      <c r="D41" s="53" t="s">
        <v>94</v>
      </c>
      <c r="E41" s="53" t="s">
        <v>292</v>
      </c>
      <c r="F41" s="52"/>
      <c r="G41" s="52"/>
      <c r="H41" s="53" t="s">
        <v>362</v>
      </c>
      <c r="I41" s="53" t="s">
        <v>64</v>
      </c>
      <c r="J41" s="66" t="s">
        <v>70</v>
      </c>
      <c r="K41" s="1" t="s">
        <v>35</v>
      </c>
      <c r="L41" s="69" t="s">
        <v>222</v>
      </c>
      <c r="M41" s="70">
        <v>1000</v>
      </c>
      <c r="N41" s="24" t="s">
        <v>223</v>
      </c>
      <c r="O41" s="25">
        <f t="shared" si="7"/>
        <v>1108687</v>
      </c>
      <c r="P41" s="14" t="e">
        <f>+O41*#REF!</f>
        <v>#REF!</v>
      </c>
      <c r="Q41" s="14"/>
      <c r="R41" s="110">
        <f t="shared" si="1"/>
        <v>0</v>
      </c>
      <c r="S41" s="111"/>
      <c r="T41" s="111"/>
      <c r="U41" s="111"/>
      <c r="V41" s="112"/>
      <c r="W41" s="104">
        <f t="shared" si="8"/>
        <v>9487</v>
      </c>
      <c r="X41" s="92">
        <v>9487</v>
      </c>
      <c r="Y41" s="94"/>
      <c r="Z41" s="27">
        <f t="shared" si="9"/>
        <v>1099200</v>
      </c>
      <c r="AA41" s="29">
        <f>343500+572500+183200</f>
        <v>1099200</v>
      </c>
      <c r="AB41" s="64"/>
      <c r="AC41" s="49">
        <f t="shared" si="10"/>
        <v>0</v>
      </c>
      <c r="AD41" s="29">
        <v>0</v>
      </c>
      <c r="AE41" s="57">
        <v>0</v>
      </c>
      <c r="AF41" s="49">
        <f t="shared" si="11"/>
        <v>0</v>
      </c>
      <c r="AG41" s="29">
        <v>0</v>
      </c>
      <c r="AH41" s="57">
        <v>0</v>
      </c>
      <c r="AI41" s="49">
        <f t="shared" si="12"/>
        <v>0</v>
      </c>
      <c r="AJ41" s="29">
        <v>0</v>
      </c>
      <c r="AK41" s="57">
        <v>0</v>
      </c>
      <c r="AL41" s="51">
        <v>0</v>
      </c>
      <c r="AM41" s="58">
        <v>42003</v>
      </c>
      <c r="AN41" s="59">
        <v>220000</v>
      </c>
      <c r="AO41" s="59" t="s">
        <v>54</v>
      </c>
      <c r="AP41" s="14"/>
      <c r="AS41" s="1"/>
      <c r="AT41" s="1"/>
      <c r="AU41" s="2"/>
      <c r="AV41" s="2"/>
      <c r="AW41" s="14" t="e">
        <f>AU41-#REF!-#REF!-Q41+AV41</f>
        <v>#REF!</v>
      </c>
      <c r="AX41" s="59"/>
      <c r="AY41" s="3"/>
      <c r="AZ41" s="2"/>
    </row>
    <row r="42" spans="1:52" ht="19.899999999999999" customHeight="1">
      <c r="A42" s="134"/>
      <c r="B42" s="53">
        <v>46</v>
      </c>
      <c r="C42" s="138" t="s">
        <v>224</v>
      </c>
      <c r="D42" s="53" t="s">
        <v>73</v>
      </c>
      <c r="E42" s="53" t="s">
        <v>293</v>
      </c>
      <c r="F42" s="52" t="s">
        <v>225</v>
      </c>
      <c r="G42" s="52"/>
      <c r="H42" s="53" t="s">
        <v>224</v>
      </c>
      <c r="I42" s="53" t="s">
        <v>50</v>
      </c>
      <c r="J42" s="66" t="s">
        <v>43</v>
      </c>
      <c r="K42" s="1" t="s">
        <v>76</v>
      </c>
      <c r="L42" s="1" t="s">
        <v>77</v>
      </c>
      <c r="M42" s="23">
        <v>40</v>
      </c>
      <c r="N42" s="24" t="s">
        <v>223</v>
      </c>
      <c r="O42" s="25">
        <f t="shared" si="7"/>
        <v>520000</v>
      </c>
      <c r="P42" s="14" t="e">
        <f>+O42*#REF!</f>
        <v>#REF!</v>
      </c>
      <c r="Q42" s="14"/>
      <c r="R42" s="110">
        <f t="shared" si="1"/>
        <v>70000</v>
      </c>
      <c r="S42" s="111"/>
      <c r="T42" s="111"/>
      <c r="U42" s="111">
        <v>70000</v>
      </c>
      <c r="V42" s="112"/>
      <c r="W42" s="104">
        <f t="shared" si="8"/>
        <v>0</v>
      </c>
      <c r="X42" s="93">
        <v>0</v>
      </c>
      <c r="Y42" s="94"/>
      <c r="Z42" s="27">
        <f t="shared" si="9"/>
        <v>520000</v>
      </c>
      <c r="AA42" s="29">
        <f>434000+64500+21500</f>
        <v>520000</v>
      </c>
      <c r="AB42" s="64"/>
      <c r="AC42" s="49">
        <f t="shared" si="10"/>
        <v>0</v>
      </c>
      <c r="AD42" s="29">
        <v>0</v>
      </c>
      <c r="AE42" s="57">
        <v>0</v>
      </c>
      <c r="AF42" s="49">
        <f t="shared" si="11"/>
        <v>0</v>
      </c>
      <c r="AG42" s="29">
        <v>0</v>
      </c>
      <c r="AH42" s="57">
        <v>0</v>
      </c>
      <c r="AI42" s="49">
        <f t="shared" si="12"/>
        <v>0</v>
      </c>
      <c r="AJ42" s="29">
        <v>0</v>
      </c>
      <c r="AK42" s="57">
        <v>0</v>
      </c>
      <c r="AL42" s="51"/>
      <c r="AM42" s="58">
        <v>42093</v>
      </c>
      <c r="AN42" s="59">
        <v>64500</v>
      </c>
      <c r="AO42" s="59" t="s">
        <v>54</v>
      </c>
      <c r="AP42" s="14"/>
      <c r="AT42" s="5" t="s">
        <v>220</v>
      </c>
      <c r="AU42" s="6">
        <v>35600</v>
      </c>
      <c r="AW42" s="14" t="e">
        <f>AU42-#REF!-#REF!-Q42+AV42</f>
        <v>#REF!</v>
      </c>
      <c r="AX42" s="59"/>
      <c r="AY42" s="3"/>
      <c r="AZ42" s="2"/>
    </row>
    <row r="43" spans="1:52" ht="19.899999999999999" customHeight="1">
      <c r="A43" s="132"/>
      <c r="B43" s="53">
        <v>47</v>
      </c>
      <c r="C43" s="135" t="s">
        <v>230</v>
      </c>
      <c r="D43" s="53" t="s">
        <v>107</v>
      </c>
      <c r="E43" s="53" t="s">
        <v>291</v>
      </c>
      <c r="F43" s="52" t="s">
        <v>231</v>
      </c>
      <c r="G43" s="52" t="s">
        <v>232</v>
      </c>
      <c r="H43" s="53" t="s">
        <v>233</v>
      </c>
      <c r="I43" s="53" t="s">
        <v>111</v>
      </c>
      <c r="J43" s="66" t="s">
        <v>34</v>
      </c>
      <c r="K43" s="1" t="s">
        <v>76</v>
      </c>
      <c r="L43" s="1" t="s">
        <v>234</v>
      </c>
      <c r="M43" s="23">
        <v>5</v>
      </c>
      <c r="N43" s="24" t="s">
        <v>223</v>
      </c>
      <c r="O43" s="25">
        <f t="shared" si="7"/>
        <v>303873.14058837976</v>
      </c>
      <c r="P43" s="25">
        <v>315000</v>
      </c>
      <c r="Q43" s="65">
        <f>(113000/1.3574)*2/12</f>
        <v>13874.564117675951</v>
      </c>
      <c r="R43" s="110">
        <f>+SUM(T43:V43)</f>
        <v>0</v>
      </c>
      <c r="S43" s="111">
        <v>0</v>
      </c>
      <c r="T43" s="111"/>
      <c r="U43" s="111"/>
      <c r="V43" s="112"/>
      <c r="W43" s="104">
        <f>+X43+Y43</f>
        <v>69372.820588379749</v>
      </c>
      <c r="X43" s="92">
        <v>0</v>
      </c>
      <c r="Y43" s="97">
        <f>(113000/1.3574)*10/12</f>
        <v>69372.820588379749</v>
      </c>
      <c r="Z43" s="27">
        <f t="shared" si="9"/>
        <v>234500.32</v>
      </c>
      <c r="AA43" s="29">
        <v>234500.32</v>
      </c>
      <c r="AB43" s="64"/>
      <c r="AC43" s="49">
        <f t="shared" si="10"/>
        <v>0</v>
      </c>
      <c r="AD43" s="29">
        <v>0</v>
      </c>
      <c r="AE43" s="57">
        <v>0</v>
      </c>
      <c r="AF43" s="49">
        <f t="shared" si="11"/>
        <v>0</v>
      </c>
      <c r="AG43" s="29">
        <v>0</v>
      </c>
      <c r="AH43" s="57">
        <v>0</v>
      </c>
      <c r="AI43" s="49">
        <f t="shared" si="12"/>
        <v>0</v>
      </c>
      <c r="AJ43" s="29">
        <v>0</v>
      </c>
      <c r="AK43" s="57">
        <v>0</v>
      </c>
      <c r="AL43" s="51">
        <v>0</v>
      </c>
      <c r="AM43" s="58">
        <v>41698</v>
      </c>
      <c r="AN43" s="59">
        <v>48000</v>
      </c>
      <c r="AO43" s="59" t="s">
        <v>54</v>
      </c>
      <c r="AP43" s="14"/>
      <c r="AW43" s="14" t="e">
        <f>AU43-#REF!-#REF!-Q43+AV43</f>
        <v>#REF!</v>
      </c>
    </row>
    <row r="44" spans="1:52" ht="19.899999999999999" customHeight="1">
      <c r="A44" s="133"/>
      <c r="B44" s="53">
        <v>48</v>
      </c>
      <c r="C44" s="138" t="s">
        <v>236</v>
      </c>
      <c r="D44" s="53" t="s">
        <v>237</v>
      </c>
      <c r="E44" s="53" t="s">
        <v>294</v>
      </c>
      <c r="F44" s="52" t="s">
        <v>238</v>
      </c>
      <c r="G44" s="52"/>
      <c r="H44" s="53" t="s">
        <v>239</v>
      </c>
      <c r="I44" s="53" t="s">
        <v>33</v>
      </c>
      <c r="J44" s="53" t="s">
        <v>43</v>
      </c>
      <c r="K44" s="1" t="s">
        <v>103</v>
      </c>
      <c r="L44" s="1" t="s">
        <v>240</v>
      </c>
      <c r="M44" s="23">
        <v>10</v>
      </c>
      <c r="N44" s="24" t="s">
        <v>223</v>
      </c>
      <c r="O44" s="25">
        <f t="shared" si="7"/>
        <v>336571</v>
      </c>
      <c r="P44" s="14" t="e">
        <f>+O44*#REF!</f>
        <v>#REF!</v>
      </c>
      <c r="Q44" s="32">
        <v>12429</v>
      </c>
      <c r="R44" s="110">
        <f t="shared" ref="R44:R56" si="13">+SUM(S44:V44)</f>
        <v>0</v>
      </c>
      <c r="S44" s="111"/>
      <c r="T44" s="111"/>
      <c r="U44" s="111"/>
      <c r="V44" s="112"/>
      <c r="W44" s="104">
        <f t="shared" si="8"/>
        <v>16571</v>
      </c>
      <c r="X44" s="92">
        <v>0</v>
      </c>
      <c r="Y44" s="97">
        <v>16571</v>
      </c>
      <c r="Z44" s="27">
        <f t="shared" si="9"/>
        <v>320000</v>
      </c>
      <c r="AA44" s="29">
        <v>320000</v>
      </c>
      <c r="AB44" s="64"/>
      <c r="AC44" s="49">
        <f t="shared" si="10"/>
        <v>0</v>
      </c>
      <c r="AD44" s="29"/>
      <c r="AE44" s="57"/>
      <c r="AF44" s="49">
        <f t="shared" si="11"/>
        <v>0</v>
      </c>
      <c r="AG44" s="29"/>
      <c r="AH44" s="57"/>
      <c r="AI44" s="49">
        <f t="shared" si="12"/>
        <v>0</v>
      </c>
      <c r="AJ44" s="29"/>
      <c r="AK44" s="57"/>
      <c r="AL44" s="51"/>
      <c r="AM44" s="58">
        <v>41759</v>
      </c>
      <c r="AN44" s="59">
        <v>32000</v>
      </c>
      <c r="AO44" s="59" t="s">
        <v>353</v>
      </c>
      <c r="AP44" s="14"/>
      <c r="AW44" s="14" t="e">
        <f>AU44-#REF!-#REF!-Q44+AV44</f>
        <v>#REF!</v>
      </c>
      <c r="AX44" s="59"/>
      <c r="AY44" s="3"/>
      <c r="AZ44" s="2"/>
    </row>
    <row r="45" spans="1:52" ht="19.899999999999999" customHeight="1">
      <c r="A45" s="134"/>
      <c r="B45" s="53">
        <v>49</v>
      </c>
      <c r="C45" s="66" t="s">
        <v>242</v>
      </c>
      <c r="D45" s="53" t="s">
        <v>107</v>
      </c>
      <c r="E45" s="53" t="s">
        <v>291</v>
      </c>
      <c r="F45" s="52" t="s">
        <v>243</v>
      </c>
      <c r="G45" s="52"/>
      <c r="H45" s="53" t="s">
        <v>244</v>
      </c>
      <c r="I45" s="53" t="s">
        <v>111</v>
      </c>
      <c r="J45" s="53" t="s">
        <v>70</v>
      </c>
      <c r="K45" s="1" t="s">
        <v>103</v>
      </c>
      <c r="L45" s="1" t="s">
        <v>245</v>
      </c>
      <c r="M45" s="23">
        <v>10</v>
      </c>
      <c r="N45" s="24" t="s">
        <v>223</v>
      </c>
      <c r="O45" s="25">
        <f t="shared" si="7"/>
        <v>465376.27</v>
      </c>
      <c r="P45" s="25">
        <v>415000</v>
      </c>
      <c r="Q45" s="65">
        <v>22458</v>
      </c>
      <c r="R45" s="110">
        <f>+SUM(T45:V45)</f>
        <v>0</v>
      </c>
      <c r="S45" s="113"/>
      <c r="T45" s="113"/>
      <c r="U45" s="111"/>
      <c r="V45" s="114"/>
      <c r="W45" s="104">
        <f t="shared" si="8"/>
        <v>152075</v>
      </c>
      <c r="X45" s="92">
        <v>129617</v>
      </c>
      <c r="Y45" s="99">
        <v>22458</v>
      </c>
      <c r="Z45" s="27">
        <f>+AA45+AB45</f>
        <v>313301.27</v>
      </c>
      <c r="AA45" s="29">
        <v>313301.27</v>
      </c>
      <c r="AB45" s="64"/>
      <c r="AC45" s="49">
        <f t="shared" si="10"/>
        <v>0</v>
      </c>
      <c r="AD45" s="29"/>
      <c r="AE45" s="57"/>
      <c r="AF45" s="49">
        <f t="shared" si="11"/>
        <v>0</v>
      </c>
      <c r="AG45" s="29"/>
      <c r="AH45" s="57"/>
      <c r="AI45" s="49">
        <f t="shared" si="12"/>
        <v>0</v>
      </c>
      <c r="AJ45" s="29"/>
      <c r="AK45" s="57"/>
      <c r="AL45" s="51"/>
      <c r="AM45" s="58">
        <v>41818</v>
      </c>
      <c r="AN45" s="59">
        <v>64000</v>
      </c>
      <c r="AO45" s="59" t="s">
        <v>54</v>
      </c>
      <c r="AP45" s="14"/>
      <c r="AW45" s="14" t="e">
        <f>AU45-#REF!-#REF!-Q45+AV45</f>
        <v>#REF!</v>
      </c>
      <c r="AY45" s="1"/>
      <c r="AZ45" s="2"/>
    </row>
    <row r="46" spans="1:52" ht="19.899999999999999" customHeight="1">
      <c r="A46" s="132"/>
      <c r="B46" s="53">
        <v>50</v>
      </c>
      <c r="C46" s="136" t="s">
        <v>247</v>
      </c>
      <c r="D46" s="53" t="s">
        <v>107</v>
      </c>
      <c r="E46" s="53" t="s">
        <v>291</v>
      </c>
      <c r="F46" s="52" t="s">
        <v>248</v>
      </c>
      <c r="G46" s="52"/>
      <c r="H46" s="53" t="s">
        <v>249</v>
      </c>
      <c r="I46" s="53" t="s">
        <v>111</v>
      </c>
      <c r="J46" s="53" t="s">
        <v>70</v>
      </c>
      <c r="K46" s="1" t="s">
        <v>103</v>
      </c>
      <c r="L46" s="1" t="s">
        <v>245</v>
      </c>
      <c r="M46" s="23">
        <v>25</v>
      </c>
      <c r="N46" s="24" t="s">
        <v>223</v>
      </c>
      <c r="O46" s="25">
        <f t="shared" si="7"/>
        <v>386296.3</v>
      </c>
      <c r="P46" s="25">
        <v>509000</v>
      </c>
      <c r="Q46" s="27"/>
      <c r="R46" s="110">
        <f t="shared" si="13"/>
        <v>120000</v>
      </c>
      <c r="S46" s="113"/>
      <c r="T46" s="113"/>
      <c r="U46" s="111">
        <v>120000</v>
      </c>
      <c r="V46" s="114"/>
      <c r="W46" s="104">
        <f t="shared" si="8"/>
        <v>0</v>
      </c>
      <c r="X46" s="92">
        <v>0</v>
      </c>
      <c r="Y46" s="99">
        <v>0</v>
      </c>
      <c r="Z46" s="27">
        <f t="shared" si="9"/>
        <v>386296.3</v>
      </c>
      <c r="AA46" s="29">
        <v>386296.3</v>
      </c>
      <c r="AB46" s="64"/>
      <c r="AC46" s="49">
        <f t="shared" si="10"/>
        <v>0</v>
      </c>
      <c r="AD46" s="29"/>
      <c r="AE46" s="57"/>
      <c r="AF46" s="49">
        <f t="shared" si="11"/>
        <v>0</v>
      </c>
      <c r="AG46" s="29"/>
      <c r="AH46" s="57"/>
      <c r="AI46" s="49">
        <f t="shared" si="12"/>
        <v>0</v>
      </c>
      <c r="AJ46" s="29"/>
      <c r="AK46" s="57"/>
      <c r="AL46" s="51"/>
      <c r="AM46" s="58">
        <v>41818</v>
      </c>
      <c r="AN46" s="59">
        <v>78000</v>
      </c>
      <c r="AO46" s="59" t="s">
        <v>54</v>
      </c>
      <c r="AP46" s="14"/>
      <c r="AW46" s="14" t="e">
        <f>AU46-#REF!-#REF!-Q46+AV46</f>
        <v>#REF!</v>
      </c>
    </row>
    <row r="47" spans="1:52" ht="19.899999999999999" customHeight="1">
      <c r="A47" s="133"/>
      <c r="B47" s="53">
        <v>51</v>
      </c>
      <c r="C47" s="66" t="s">
        <v>251</v>
      </c>
      <c r="D47" s="53" t="s">
        <v>252</v>
      </c>
      <c r="E47" s="53" t="s">
        <v>293</v>
      </c>
      <c r="F47" s="52" t="s">
        <v>253</v>
      </c>
      <c r="G47" s="52" t="s">
        <v>254</v>
      </c>
      <c r="H47" s="53" t="s">
        <v>255</v>
      </c>
      <c r="I47" s="53" t="s">
        <v>50</v>
      </c>
      <c r="J47" s="53" t="s">
        <v>43</v>
      </c>
      <c r="K47" s="1" t="s">
        <v>35</v>
      </c>
      <c r="L47" s="1"/>
      <c r="M47" s="23">
        <v>200</v>
      </c>
      <c r="N47" s="24" t="s">
        <v>223</v>
      </c>
      <c r="O47" s="25">
        <f t="shared" si="7"/>
        <v>650000</v>
      </c>
      <c r="P47" s="14" t="e">
        <f>+O47*#REF!</f>
        <v>#REF!</v>
      </c>
      <c r="Q47" s="27"/>
      <c r="R47" s="110">
        <f t="shared" si="13"/>
        <v>0</v>
      </c>
      <c r="S47" s="113"/>
      <c r="T47" s="113"/>
      <c r="U47" s="111"/>
      <c r="V47" s="114"/>
      <c r="W47" s="104">
        <f t="shared" si="8"/>
        <v>0</v>
      </c>
      <c r="X47" s="92">
        <v>0</v>
      </c>
      <c r="Y47" s="99">
        <v>0</v>
      </c>
      <c r="Z47" s="27">
        <f t="shared" si="9"/>
        <v>650000</v>
      </c>
      <c r="AA47" s="29">
        <v>650000</v>
      </c>
      <c r="AB47" s="64"/>
      <c r="AC47" s="49">
        <f t="shared" si="10"/>
        <v>0</v>
      </c>
      <c r="AD47" s="29"/>
      <c r="AE47" s="57"/>
      <c r="AF47" s="49">
        <f t="shared" si="11"/>
        <v>0</v>
      </c>
      <c r="AG47" s="29"/>
      <c r="AH47" s="57"/>
      <c r="AI47" s="49">
        <f t="shared" si="12"/>
        <v>0</v>
      </c>
      <c r="AJ47" s="29"/>
      <c r="AK47" s="57"/>
      <c r="AL47" s="51"/>
      <c r="AM47" s="58">
        <v>42154</v>
      </c>
      <c r="AN47" s="59">
        <v>100000</v>
      </c>
      <c r="AO47" s="59" t="s">
        <v>54</v>
      </c>
      <c r="AP47" s="14"/>
      <c r="AT47" s="30" t="s">
        <v>39</v>
      </c>
      <c r="AV47" s="6">
        <v>343500</v>
      </c>
      <c r="AW47" s="6" t="e">
        <f>AU47-#REF!-#REF!-Q47+AV47</f>
        <v>#REF!</v>
      </c>
      <c r="AY47" s="1"/>
      <c r="AZ47" s="2"/>
    </row>
    <row r="48" spans="1:52" ht="19.899999999999999" customHeight="1">
      <c r="A48" s="134"/>
      <c r="B48" s="53">
        <v>52</v>
      </c>
      <c r="C48" s="66" t="s">
        <v>259</v>
      </c>
      <c r="D48" s="53" t="s">
        <v>260</v>
      </c>
      <c r="E48" s="53" t="s">
        <v>293</v>
      </c>
      <c r="F48" s="52"/>
      <c r="G48" s="52"/>
      <c r="H48" s="53" t="s">
        <v>261</v>
      </c>
      <c r="I48" s="53" t="s">
        <v>50</v>
      </c>
      <c r="J48" s="53" t="s">
        <v>34</v>
      </c>
      <c r="K48" s="1" t="s">
        <v>103</v>
      </c>
      <c r="L48" s="1" t="s">
        <v>262</v>
      </c>
      <c r="M48" s="23">
        <v>25</v>
      </c>
      <c r="N48" s="24" t="s">
        <v>223</v>
      </c>
      <c r="O48" s="25">
        <f t="shared" si="7"/>
        <v>286482.27</v>
      </c>
      <c r="P48" s="25">
        <v>375000</v>
      </c>
      <c r="Q48" s="27"/>
      <c r="R48" s="110">
        <f t="shared" si="13"/>
        <v>0</v>
      </c>
      <c r="S48" s="113"/>
      <c r="T48" s="113"/>
      <c r="U48" s="113"/>
      <c r="V48" s="114"/>
      <c r="W48" s="104">
        <f t="shared" si="8"/>
        <v>0</v>
      </c>
      <c r="X48" s="92">
        <v>0</v>
      </c>
      <c r="Y48" s="99">
        <v>0</v>
      </c>
      <c r="Z48" s="27">
        <f t="shared" si="9"/>
        <v>286482.27</v>
      </c>
      <c r="AA48" s="29">
        <v>286482.27</v>
      </c>
      <c r="AB48" s="64"/>
      <c r="AC48" s="49">
        <f t="shared" si="10"/>
        <v>0</v>
      </c>
      <c r="AD48" s="29"/>
      <c r="AE48" s="57"/>
      <c r="AF48" s="49">
        <f t="shared" si="11"/>
        <v>0</v>
      </c>
      <c r="AG48" s="29"/>
      <c r="AH48" s="57"/>
      <c r="AI48" s="49">
        <f t="shared" si="12"/>
        <v>0</v>
      </c>
      <c r="AJ48" s="29"/>
      <c r="AK48" s="57"/>
      <c r="AL48" s="51"/>
      <c r="AM48" s="58">
        <v>41850</v>
      </c>
      <c r="AN48" s="59">
        <v>52000</v>
      </c>
      <c r="AO48" s="59" t="s">
        <v>176</v>
      </c>
      <c r="AP48" s="53"/>
      <c r="AQ48" s="53" t="s">
        <v>226</v>
      </c>
      <c r="AR48" s="53" t="s">
        <v>227</v>
      </c>
      <c r="AS48" s="53" t="s">
        <v>228</v>
      </c>
      <c r="AT48" s="53" t="s">
        <v>229</v>
      </c>
      <c r="AU48" s="59">
        <f>156000+364000</f>
        <v>520000</v>
      </c>
      <c r="AV48" s="59"/>
      <c r="AW48" s="59" t="e">
        <f>AU48-#REF!-#REF!-Q48+AV48</f>
        <v>#REF!</v>
      </c>
    </row>
    <row r="49" spans="1:73" ht="19.899999999999999" customHeight="1">
      <c r="A49" s="132"/>
      <c r="B49" s="53">
        <v>53</v>
      </c>
      <c r="C49" s="66" t="s">
        <v>264</v>
      </c>
      <c r="D49" s="53" t="s">
        <v>265</v>
      </c>
      <c r="E49" s="53" t="s">
        <v>291</v>
      </c>
      <c r="F49" s="52"/>
      <c r="G49" s="52"/>
      <c r="H49" s="53" t="s">
        <v>264</v>
      </c>
      <c r="I49" s="53" t="s">
        <v>111</v>
      </c>
      <c r="J49" s="53" t="s">
        <v>34</v>
      </c>
      <c r="K49" s="1" t="s">
        <v>103</v>
      </c>
      <c r="L49" s="1" t="s">
        <v>139</v>
      </c>
      <c r="M49" s="23">
        <v>10</v>
      </c>
      <c r="N49" s="24" t="s">
        <v>223</v>
      </c>
      <c r="O49" s="25">
        <f t="shared" si="7"/>
        <v>460000</v>
      </c>
      <c r="P49" s="14" t="e">
        <f>+O49*#REF!</f>
        <v>#REF!</v>
      </c>
      <c r="Q49" s="31">
        <v>75000</v>
      </c>
      <c r="R49" s="110">
        <f t="shared" si="13"/>
        <v>20000</v>
      </c>
      <c r="S49" s="113"/>
      <c r="T49" s="113"/>
      <c r="U49" s="113"/>
      <c r="V49" s="114">
        <v>20000</v>
      </c>
      <c r="W49" s="104">
        <f t="shared" si="8"/>
        <v>0</v>
      </c>
      <c r="X49" s="92">
        <v>0</v>
      </c>
      <c r="Y49" s="99">
        <v>0</v>
      </c>
      <c r="Z49" s="27">
        <f t="shared" si="9"/>
        <v>460000</v>
      </c>
      <c r="AA49" s="29">
        <v>460000</v>
      </c>
      <c r="AB49" s="64"/>
      <c r="AC49" s="49">
        <f t="shared" si="10"/>
        <v>0</v>
      </c>
      <c r="AD49" s="29"/>
      <c r="AE49" s="57"/>
      <c r="AF49" s="49">
        <f t="shared" si="11"/>
        <v>0</v>
      </c>
      <c r="AG49" s="29"/>
      <c r="AH49" s="57"/>
      <c r="AI49" s="49">
        <f t="shared" si="12"/>
        <v>0</v>
      </c>
      <c r="AJ49" s="29"/>
      <c r="AK49" s="57"/>
      <c r="AL49" s="51"/>
      <c r="AM49" s="58">
        <v>41943</v>
      </c>
      <c r="AN49" s="59">
        <v>75000</v>
      </c>
      <c r="AO49" s="59" t="s">
        <v>54</v>
      </c>
      <c r="AP49" s="14"/>
      <c r="AW49" s="14" t="e">
        <f>AU49-#REF!-#REF!-Q49+AV49</f>
        <v>#REF!</v>
      </c>
      <c r="AY49" s="1"/>
      <c r="AZ49" s="2"/>
    </row>
    <row r="50" spans="1:73" ht="19.899999999999999" customHeight="1">
      <c r="A50" s="133"/>
      <c r="B50" s="53">
        <v>54</v>
      </c>
      <c r="C50" s="66" t="s">
        <v>266</v>
      </c>
      <c r="D50" s="53" t="s">
        <v>267</v>
      </c>
      <c r="E50" s="53" t="s">
        <v>291</v>
      </c>
      <c r="F50" s="52"/>
      <c r="G50" s="52"/>
      <c r="H50" s="53" t="s">
        <v>359</v>
      </c>
      <c r="I50" s="53" t="s">
        <v>111</v>
      </c>
      <c r="J50" s="53" t="s">
        <v>34</v>
      </c>
      <c r="K50" s="1" t="s">
        <v>103</v>
      </c>
      <c r="L50" s="1" t="s">
        <v>268</v>
      </c>
      <c r="M50" s="23">
        <v>35</v>
      </c>
      <c r="N50" s="24" t="s">
        <v>223</v>
      </c>
      <c r="O50" s="25">
        <f t="shared" si="7"/>
        <v>335000</v>
      </c>
      <c r="P50" s="14" t="e">
        <f>+O50*#REF!</f>
        <v>#REF!</v>
      </c>
      <c r="Q50" s="27"/>
      <c r="R50" s="110">
        <f t="shared" si="13"/>
        <v>0</v>
      </c>
      <c r="S50" s="113"/>
      <c r="T50" s="113"/>
      <c r="U50" s="113"/>
      <c r="V50" s="114"/>
      <c r="W50" s="104">
        <f t="shared" si="8"/>
        <v>0</v>
      </c>
      <c r="X50" s="92">
        <v>0</v>
      </c>
      <c r="Y50" s="99">
        <v>0</v>
      </c>
      <c r="Z50" s="27">
        <f t="shared" si="9"/>
        <v>335000</v>
      </c>
      <c r="AA50" s="29">
        <v>335000</v>
      </c>
      <c r="AB50" s="64"/>
      <c r="AC50" s="49">
        <f t="shared" si="10"/>
        <v>0</v>
      </c>
      <c r="AD50" s="29"/>
      <c r="AE50" s="57"/>
      <c r="AF50" s="49">
        <f t="shared" si="11"/>
        <v>0</v>
      </c>
      <c r="AG50" s="29"/>
      <c r="AH50" s="57"/>
      <c r="AI50" s="49">
        <f t="shared" si="12"/>
        <v>0</v>
      </c>
      <c r="AJ50" s="29"/>
      <c r="AK50" s="57"/>
      <c r="AL50" s="51"/>
      <c r="AM50" s="58">
        <v>42674</v>
      </c>
      <c r="AN50" s="59">
        <v>35000</v>
      </c>
      <c r="AO50" s="59" t="s">
        <v>54</v>
      </c>
      <c r="AP50" s="14"/>
      <c r="AW50" s="14"/>
    </row>
    <row r="51" spans="1:73" ht="19.899999999999999" customHeight="1">
      <c r="A51" s="134"/>
      <c r="B51" s="66">
        <v>55</v>
      </c>
      <c r="C51" s="136" t="s">
        <v>269</v>
      </c>
      <c r="D51" s="66" t="s">
        <v>30</v>
      </c>
      <c r="E51" s="66" t="s">
        <v>290</v>
      </c>
      <c r="F51" s="52"/>
      <c r="G51" s="52"/>
      <c r="H51" s="66" t="s">
        <v>361</v>
      </c>
      <c r="I51" s="66" t="s">
        <v>33</v>
      </c>
      <c r="J51" s="66" t="s">
        <v>34</v>
      </c>
      <c r="K51" s="1" t="s">
        <v>35</v>
      </c>
      <c r="L51" s="1"/>
      <c r="M51" s="23"/>
      <c r="N51" s="24" t="s">
        <v>223</v>
      </c>
      <c r="O51" s="25">
        <f t="shared" si="7"/>
        <v>400000</v>
      </c>
      <c r="P51" s="14" t="e">
        <f>+O51*#REF!</f>
        <v>#REF!</v>
      </c>
      <c r="Q51" s="27"/>
      <c r="R51" s="110">
        <f t="shared" si="13"/>
        <v>50000</v>
      </c>
      <c r="S51" s="113"/>
      <c r="T51" s="113"/>
      <c r="U51" s="113"/>
      <c r="V51" s="114">
        <v>50000</v>
      </c>
      <c r="W51" s="104">
        <f t="shared" si="8"/>
        <v>0</v>
      </c>
      <c r="X51" s="92">
        <v>0</v>
      </c>
      <c r="Y51" s="99">
        <v>0</v>
      </c>
      <c r="Z51" s="27">
        <f t="shared" si="9"/>
        <v>400000</v>
      </c>
      <c r="AA51" s="29">
        <v>400000</v>
      </c>
      <c r="AB51" s="64"/>
      <c r="AC51" s="49">
        <f t="shared" si="10"/>
        <v>0</v>
      </c>
      <c r="AD51" s="29"/>
      <c r="AE51" s="57"/>
      <c r="AF51" s="49">
        <f t="shared" si="11"/>
        <v>0</v>
      </c>
      <c r="AG51" s="29"/>
      <c r="AH51" s="57"/>
      <c r="AI51" s="49">
        <f t="shared" si="12"/>
        <v>0</v>
      </c>
      <c r="AJ51" s="29"/>
      <c r="AK51" s="57"/>
      <c r="AL51" s="51"/>
      <c r="AM51" s="58">
        <v>42003</v>
      </c>
      <c r="AN51" s="59">
        <v>80000</v>
      </c>
      <c r="AO51" s="59" t="s">
        <v>54</v>
      </c>
      <c r="AP51" s="14"/>
      <c r="AS51" s="3"/>
      <c r="AT51" s="3" t="s">
        <v>98</v>
      </c>
      <c r="AU51" s="2">
        <v>175000</v>
      </c>
      <c r="AV51" s="2"/>
      <c r="AW51" s="14" t="e">
        <f>AU51-#REF!-#REF!-Q51+AV51</f>
        <v>#REF!</v>
      </c>
      <c r="AX51" s="59"/>
    </row>
    <row r="52" spans="1:73" ht="19.899999999999999" customHeight="1">
      <c r="A52" s="132"/>
      <c r="B52" s="53">
        <v>56</v>
      </c>
      <c r="C52" s="66" t="s">
        <v>304</v>
      </c>
      <c r="D52" s="66" t="s">
        <v>305</v>
      </c>
      <c r="E52" s="66" t="s">
        <v>294</v>
      </c>
      <c r="F52" s="52"/>
      <c r="G52" s="52"/>
      <c r="H52" s="66" t="s">
        <v>360</v>
      </c>
      <c r="I52" s="66" t="s">
        <v>33</v>
      </c>
      <c r="J52" s="66" t="s">
        <v>34</v>
      </c>
      <c r="K52" s="1" t="s">
        <v>35</v>
      </c>
      <c r="L52" s="1"/>
      <c r="M52" s="23">
        <v>5</v>
      </c>
      <c r="N52" s="24" t="s">
        <v>223</v>
      </c>
      <c r="O52" s="25">
        <f t="shared" si="7"/>
        <v>255000</v>
      </c>
      <c r="P52" s="14" t="e">
        <f>+O52*#REF!</f>
        <v>#REF!</v>
      </c>
      <c r="Q52" s="27"/>
      <c r="R52" s="110">
        <f t="shared" si="13"/>
        <v>0</v>
      </c>
      <c r="S52" s="113"/>
      <c r="T52" s="113"/>
      <c r="U52" s="113"/>
      <c r="V52" s="114"/>
      <c r="W52" s="104">
        <f t="shared" si="8"/>
        <v>0</v>
      </c>
      <c r="X52" s="92">
        <v>0</v>
      </c>
      <c r="Y52" s="99">
        <v>0</v>
      </c>
      <c r="Z52" s="27">
        <f t="shared" si="9"/>
        <v>255000</v>
      </c>
      <c r="AA52" s="29">
        <v>255000</v>
      </c>
      <c r="AB52" s="64"/>
      <c r="AC52" s="49">
        <f t="shared" si="10"/>
        <v>0</v>
      </c>
      <c r="AD52" s="29"/>
      <c r="AE52" s="57"/>
      <c r="AF52" s="49">
        <f t="shared" si="11"/>
        <v>0</v>
      </c>
      <c r="AG52" s="29"/>
      <c r="AH52" s="57"/>
      <c r="AI52" s="49">
        <f t="shared" si="12"/>
        <v>0</v>
      </c>
      <c r="AJ52" s="29"/>
      <c r="AK52" s="57"/>
      <c r="AL52" s="51"/>
      <c r="AM52" s="58">
        <v>42005</v>
      </c>
      <c r="AN52" s="59">
        <v>40000</v>
      </c>
      <c r="AO52" s="59" t="s">
        <v>54</v>
      </c>
      <c r="AP52" s="14"/>
      <c r="AW52" s="14" t="e">
        <f>AU52-#REF!-#REF!-Q52+AV52</f>
        <v>#REF!</v>
      </c>
      <c r="AX52" s="59"/>
    </row>
    <row r="53" spans="1:73" ht="19.899999999999999" customHeight="1">
      <c r="A53" s="133"/>
      <c r="B53" s="66">
        <v>57</v>
      </c>
      <c r="C53" s="66" t="s">
        <v>307</v>
      </c>
      <c r="D53" s="66" t="s">
        <v>302</v>
      </c>
      <c r="E53" s="66" t="s">
        <v>292</v>
      </c>
      <c r="F53" s="52"/>
      <c r="G53" s="52"/>
      <c r="H53" s="66" t="s">
        <v>363</v>
      </c>
      <c r="I53" s="66" t="s">
        <v>64</v>
      </c>
      <c r="J53" s="66" t="s">
        <v>43</v>
      </c>
      <c r="K53" s="1" t="s">
        <v>103</v>
      </c>
      <c r="L53" s="1" t="s">
        <v>303</v>
      </c>
      <c r="M53" s="23"/>
      <c r="N53" s="24" t="s">
        <v>223</v>
      </c>
      <c r="O53" s="25">
        <f t="shared" si="7"/>
        <v>210000</v>
      </c>
      <c r="P53" s="14" t="e">
        <f>+O53*#REF!</f>
        <v>#REF!</v>
      </c>
      <c r="Q53" s="27"/>
      <c r="R53" s="110">
        <f t="shared" si="13"/>
        <v>450000</v>
      </c>
      <c r="S53" s="113"/>
      <c r="T53" s="113"/>
      <c r="U53" s="113"/>
      <c r="V53" s="114">
        <v>450000</v>
      </c>
      <c r="W53" s="104">
        <f t="shared" si="8"/>
        <v>0</v>
      </c>
      <c r="X53" s="92">
        <v>0</v>
      </c>
      <c r="Y53" s="99">
        <v>0</v>
      </c>
      <c r="Z53" s="27">
        <f t="shared" si="9"/>
        <v>210000</v>
      </c>
      <c r="AA53" s="29">
        <v>210000</v>
      </c>
      <c r="AB53" s="64">
        <v>0</v>
      </c>
      <c r="AC53" s="49"/>
      <c r="AD53" s="29"/>
      <c r="AE53" s="57"/>
      <c r="AF53" s="49"/>
      <c r="AG53" s="29"/>
      <c r="AH53" s="57"/>
      <c r="AI53" s="49"/>
      <c r="AJ53" s="29"/>
      <c r="AK53" s="57"/>
      <c r="AL53" s="51"/>
      <c r="AM53" s="71"/>
      <c r="AN53" s="59"/>
      <c r="AO53" s="59"/>
      <c r="AP53" s="14"/>
      <c r="AS53" s="1"/>
      <c r="AT53" s="1"/>
      <c r="AU53" s="2"/>
      <c r="AV53" s="2"/>
      <c r="AW53" s="14" t="e">
        <f>AU53-#REF!-#REF!-Q53+AV53</f>
        <v>#REF!</v>
      </c>
      <c r="AX53" s="59"/>
    </row>
    <row r="54" spans="1:73" ht="19.899999999999999" customHeight="1">
      <c r="A54" s="134"/>
      <c r="B54" s="53">
        <v>58</v>
      </c>
      <c r="C54" s="136" t="s">
        <v>300</v>
      </c>
      <c r="D54" s="66" t="s">
        <v>298</v>
      </c>
      <c r="E54" s="66" t="s">
        <v>291</v>
      </c>
      <c r="F54" s="52"/>
      <c r="G54" s="52"/>
      <c r="H54" s="66"/>
      <c r="I54" s="66" t="s">
        <v>111</v>
      </c>
      <c r="J54" s="66" t="s">
        <v>299</v>
      </c>
      <c r="K54" s="1" t="s">
        <v>103</v>
      </c>
      <c r="L54" s="1"/>
      <c r="M54" s="23"/>
      <c r="N54" s="24" t="s">
        <v>223</v>
      </c>
      <c r="O54" s="25">
        <f t="shared" si="7"/>
        <v>321120</v>
      </c>
      <c r="P54" s="14" t="e">
        <f>+O54*#REF!</f>
        <v>#REF!</v>
      </c>
      <c r="Q54" s="27"/>
      <c r="R54" s="110">
        <f t="shared" si="13"/>
        <v>0</v>
      </c>
      <c r="S54" s="113"/>
      <c r="T54" s="113"/>
      <c r="U54" s="113"/>
      <c r="V54" s="114"/>
      <c r="W54" s="104">
        <f t="shared" si="8"/>
        <v>0</v>
      </c>
      <c r="X54" s="92">
        <v>0</v>
      </c>
      <c r="Y54" s="99">
        <v>0</v>
      </c>
      <c r="Z54" s="27">
        <f t="shared" si="9"/>
        <v>321120</v>
      </c>
      <c r="AA54" s="29">
        <f>160560*2</f>
        <v>321120</v>
      </c>
      <c r="AB54" s="64"/>
      <c r="AC54" s="49"/>
      <c r="AD54" s="29"/>
      <c r="AE54" s="57"/>
      <c r="AF54" s="49"/>
      <c r="AG54" s="29"/>
      <c r="AH54" s="57"/>
      <c r="AI54" s="49"/>
      <c r="AJ54" s="29"/>
      <c r="AK54" s="57"/>
      <c r="AL54" s="51"/>
      <c r="AM54" s="71"/>
      <c r="AN54" s="59"/>
      <c r="AO54" s="59"/>
      <c r="AP54" s="14"/>
      <c r="AW54" s="14"/>
    </row>
    <row r="55" spans="1:73" ht="19.899999999999999" customHeight="1">
      <c r="A55" s="132"/>
      <c r="B55" s="73">
        <v>59</v>
      </c>
      <c r="C55" s="137" t="s">
        <v>301</v>
      </c>
      <c r="D55" s="73" t="s">
        <v>73</v>
      </c>
      <c r="E55" s="73" t="s">
        <v>293</v>
      </c>
      <c r="F55" s="74"/>
      <c r="G55" s="74"/>
      <c r="H55" s="73"/>
      <c r="I55" s="73" t="s">
        <v>50</v>
      </c>
      <c r="J55" s="73" t="s">
        <v>34</v>
      </c>
      <c r="K55" s="33" t="s">
        <v>103</v>
      </c>
      <c r="L55" s="33"/>
      <c r="M55" s="34"/>
      <c r="N55" s="75" t="s">
        <v>223</v>
      </c>
      <c r="O55" s="76">
        <f t="shared" si="7"/>
        <v>0</v>
      </c>
      <c r="P55" s="77" t="e">
        <f>+O55*#REF!</f>
        <v>#REF!</v>
      </c>
      <c r="Q55" s="79"/>
      <c r="R55" s="115">
        <f t="shared" si="13"/>
        <v>440000</v>
      </c>
      <c r="S55" s="116"/>
      <c r="T55" s="116"/>
      <c r="U55" s="116">
        <v>440000</v>
      </c>
      <c r="V55" s="117"/>
      <c r="W55" s="104">
        <f t="shared" si="8"/>
        <v>0</v>
      </c>
      <c r="X55" s="92">
        <v>0</v>
      </c>
      <c r="Y55" s="99">
        <v>0</v>
      </c>
      <c r="Z55" s="27">
        <f t="shared" si="9"/>
        <v>0</v>
      </c>
      <c r="AA55" s="31"/>
      <c r="AB55" s="64"/>
      <c r="AC55" s="49"/>
      <c r="AD55" s="29"/>
      <c r="AE55" s="57"/>
      <c r="AF55" s="49"/>
      <c r="AG55" s="29"/>
      <c r="AH55" s="57"/>
      <c r="AI55" s="49"/>
      <c r="AJ55" s="29"/>
      <c r="AK55" s="57"/>
      <c r="AL55" s="51"/>
      <c r="AM55" s="71"/>
      <c r="AN55" s="59"/>
      <c r="AO55" s="59"/>
      <c r="AP55" s="14"/>
      <c r="AT55" s="5" t="s">
        <v>235</v>
      </c>
      <c r="AU55" s="6">
        <f>70665+163916</f>
        <v>234581</v>
      </c>
      <c r="AW55" s="6" t="e">
        <f>AU55-#REF!-#REF!-Q55+AV55</f>
        <v>#REF!</v>
      </c>
    </row>
    <row r="56" spans="1:73" ht="20.45" customHeight="1">
      <c r="A56" s="133"/>
      <c r="B56" s="53">
        <v>60</v>
      </c>
      <c r="C56" s="66" t="s">
        <v>297</v>
      </c>
      <c r="D56" s="66" t="s">
        <v>297</v>
      </c>
      <c r="E56" s="66" t="s">
        <v>294</v>
      </c>
      <c r="F56" s="52"/>
      <c r="G56" s="52"/>
      <c r="H56" s="66"/>
      <c r="I56" s="66" t="s">
        <v>111</v>
      </c>
      <c r="J56" s="66" t="s">
        <v>34</v>
      </c>
      <c r="K56" s="1" t="s">
        <v>154</v>
      </c>
      <c r="L56" s="1" t="s">
        <v>310</v>
      </c>
      <c r="M56" s="23"/>
      <c r="N56" s="24" t="s">
        <v>335</v>
      </c>
      <c r="O56" s="25">
        <f t="shared" si="7"/>
        <v>359238</v>
      </c>
      <c r="P56" s="14"/>
      <c r="Q56" s="27"/>
      <c r="R56" s="110">
        <f t="shared" si="13"/>
        <v>0</v>
      </c>
      <c r="S56" s="113">
        <v>0</v>
      </c>
      <c r="T56" s="113"/>
      <c r="U56" s="113"/>
      <c r="V56" s="114"/>
      <c r="W56" s="104">
        <f t="shared" si="8"/>
        <v>359238</v>
      </c>
      <c r="X56" s="92">
        <f>4238+355000</f>
        <v>359238</v>
      </c>
      <c r="Y56" s="99">
        <v>0</v>
      </c>
      <c r="Z56" s="27">
        <f t="shared" si="9"/>
        <v>0</v>
      </c>
      <c r="AA56" s="29"/>
      <c r="AB56" s="64"/>
      <c r="AC56" s="49">
        <f>+AD56+AE56</f>
        <v>0</v>
      </c>
      <c r="AD56" s="29"/>
      <c r="AE56" s="57"/>
      <c r="AF56" s="49">
        <f>+AG56+AH56</f>
        <v>0</v>
      </c>
      <c r="AG56" s="29"/>
      <c r="AH56" s="57"/>
      <c r="AI56" s="49">
        <f>+AJ56+AK56</f>
        <v>0</v>
      </c>
      <c r="AJ56" s="29"/>
      <c r="AK56" s="57"/>
      <c r="AL56" s="51"/>
      <c r="AM56" s="71"/>
      <c r="AN56" s="59"/>
      <c r="AO56" s="59"/>
      <c r="AP56" s="14"/>
      <c r="AW56" s="14" t="e">
        <f>AU56-#REF!-#REF!-Q56+AV56</f>
        <v>#REF!</v>
      </c>
    </row>
    <row r="57" spans="1:73" ht="20.45" customHeight="1">
      <c r="A57" s="134"/>
      <c r="B57" s="66">
        <v>61</v>
      </c>
      <c r="C57" s="66" t="s">
        <v>388</v>
      </c>
      <c r="D57" s="53" t="s">
        <v>107</v>
      </c>
      <c r="E57" s="53" t="s">
        <v>291</v>
      </c>
      <c r="F57" s="52"/>
      <c r="G57" s="52"/>
      <c r="H57" s="53"/>
      <c r="I57" s="53" t="s">
        <v>111</v>
      </c>
      <c r="J57" s="53"/>
      <c r="K57" s="1"/>
      <c r="L57" s="1" t="s">
        <v>245</v>
      </c>
      <c r="M57" s="23"/>
      <c r="N57" s="24" t="s">
        <v>335</v>
      </c>
      <c r="O57" s="25">
        <f t="shared" ref="O57" si="14">+AL57+AI57+AF57+AC57+Z57+W57</f>
        <v>322900.35681004828</v>
      </c>
      <c r="P57" s="14"/>
      <c r="Q57" s="14"/>
      <c r="R57" s="110">
        <f>+SUM(T57:V57)</f>
        <v>0</v>
      </c>
      <c r="S57" s="113"/>
      <c r="T57" s="113"/>
      <c r="U57" s="111"/>
      <c r="V57" s="114"/>
      <c r="W57" s="104">
        <f t="shared" ref="W57:W79" si="15">+X57+Y57</f>
        <v>322900.35681004828</v>
      </c>
      <c r="X57" s="92">
        <f>(220000/1.3635)+(220000/1.3618)</f>
        <v>322900.35681004828</v>
      </c>
      <c r="Y57" s="99">
        <v>0</v>
      </c>
      <c r="Z57" s="27">
        <f t="shared" ref="Z57:Z66" si="16">+AA57+AB57</f>
        <v>0</v>
      </c>
      <c r="AA57" s="29"/>
      <c r="AB57" s="64"/>
      <c r="AC57" s="49"/>
      <c r="AD57" s="29"/>
      <c r="AE57" s="57"/>
      <c r="AF57" s="49"/>
      <c r="AG57" s="29"/>
      <c r="AH57" s="57"/>
      <c r="AI57" s="49"/>
      <c r="AJ57" s="29"/>
      <c r="AK57" s="57"/>
      <c r="AL57" s="51"/>
      <c r="AM57" s="58"/>
      <c r="AN57" s="59"/>
      <c r="AO57" s="59"/>
      <c r="AP57" s="14"/>
      <c r="AW57" s="14"/>
      <c r="AX57" s="59"/>
    </row>
    <row r="58" spans="1:73" s="87" customFormat="1" ht="31.5">
      <c r="A58" s="132"/>
      <c r="B58" s="66">
        <v>62</v>
      </c>
      <c r="C58" s="66" t="s">
        <v>394</v>
      </c>
      <c r="D58" s="53" t="s">
        <v>107</v>
      </c>
      <c r="E58" s="53" t="s">
        <v>291</v>
      </c>
      <c r="F58" s="52"/>
      <c r="G58" s="52"/>
      <c r="H58" s="53" t="s">
        <v>395</v>
      </c>
      <c r="I58" s="53" t="s">
        <v>111</v>
      </c>
      <c r="J58" s="53" t="s">
        <v>34</v>
      </c>
      <c r="K58" s="1" t="s">
        <v>103</v>
      </c>
      <c r="L58" s="1" t="s">
        <v>396</v>
      </c>
      <c r="M58" s="23"/>
      <c r="N58" s="24" t="s">
        <v>335</v>
      </c>
      <c r="O58" s="25">
        <f t="shared" ref="O58:O81" si="17">+AL58+AI58+AF58+AC58+Z58+W58</f>
        <v>201700</v>
      </c>
      <c r="P58" s="14"/>
      <c r="Q58" s="14"/>
      <c r="R58" s="115">
        <f>+SUM(T58:V58)</f>
        <v>201700</v>
      </c>
      <c r="S58" s="113"/>
      <c r="T58" s="113"/>
      <c r="U58" s="111">
        <v>201700</v>
      </c>
      <c r="V58" s="114"/>
      <c r="W58" s="104">
        <f t="shared" si="15"/>
        <v>201700</v>
      </c>
      <c r="X58" s="92">
        <v>201700</v>
      </c>
      <c r="Y58" s="99">
        <v>0</v>
      </c>
      <c r="Z58" s="27">
        <f t="shared" si="16"/>
        <v>0</v>
      </c>
      <c r="AA58" s="29"/>
      <c r="AB58" s="64"/>
      <c r="AC58" s="49"/>
      <c r="AD58" s="29"/>
      <c r="AE58" s="57"/>
      <c r="AF58" s="49"/>
      <c r="AG58" s="29"/>
      <c r="AH58" s="57"/>
      <c r="AI58" s="49"/>
      <c r="AJ58" s="29"/>
      <c r="AK58" s="57"/>
      <c r="AL58" s="51"/>
      <c r="AM58" s="58"/>
      <c r="AN58" s="59">
        <v>91000</v>
      </c>
      <c r="AO58" s="59"/>
      <c r="AP58" s="14"/>
      <c r="AQ58" s="5"/>
      <c r="AR58" s="5"/>
      <c r="AS58" s="5"/>
      <c r="AT58" s="5"/>
      <c r="AU58" s="6"/>
      <c r="AV58" s="6"/>
      <c r="AW58" s="14"/>
      <c r="AX58" s="59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:73" s="87" customFormat="1" ht="20.45" customHeight="1">
      <c r="A59" s="133"/>
      <c r="B59" s="73"/>
      <c r="C59" s="73" t="s">
        <v>309</v>
      </c>
      <c r="D59" s="62" t="s">
        <v>308</v>
      </c>
      <c r="E59" s="62" t="s">
        <v>294</v>
      </c>
      <c r="F59" s="74"/>
      <c r="G59" s="74"/>
      <c r="H59" s="62"/>
      <c r="I59" s="62" t="s">
        <v>111</v>
      </c>
      <c r="J59" s="62" t="s">
        <v>34</v>
      </c>
      <c r="K59" s="33" t="s">
        <v>103</v>
      </c>
      <c r="L59" s="33" t="s">
        <v>296</v>
      </c>
      <c r="M59" s="34"/>
      <c r="N59" s="75"/>
      <c r="O59" s="76">
        <f t="shared" si="17"/>
        <v>0</v>
      </c>
      <c r="P59" s="77"/>
      <c r="Q59" s="77"/>
      <c r="R59" s="115">
        <f t="shared" ref="R59:R68" si="18">+SUM(S59:V59)</f>
        <v>405000</v>
      </c>
      <c r="S59" s="116"/>
      <c r="T59" s="116"/>
      <c r="U59" s="118">
        <v>405000</v>
      </c>
      <c r="V59" s="117"/>
      <c r="W59" s="105">
        <f t="shared" si="15"/>
        <v>0</v>
      </c>
      <c r="X59" s="100">
        <v>0</v>
      </c>
      <c r="Y59" s="101">
        <v>0</v>
      </c>
      <c r="Z59" s="79">
        <f t="shared" si="16"/>
        <v>0</v>
      </c>
      <c r="AA59" s="80"/>
      <c r="AB59" s="81"/>
      <c r="AC59" s="82"/>
      <c r="AD59" s="80"/>
      <c r="AE59" s="83"/>
      <c r="AF59" s="82"/>
      <c r="AG59" s="80"/>
      <c r="AH59" s="83"/>
      <c r="AI59" s="82"/>
      <c r="AJ59" s="80"/>
      <c r="AK59" s="83"/>
      <c r="AL59" s="84"/>
      <c r="AM59" s="85"/>
      <c r="AN59" s="86"/>
      <c r="AO59" s="86"/>
      <c r="AP59" s="77"/>
      <c r="AU59" s="88"/>
      <c r="AV59" s="88"/>
      <c r="AW59" s="77"/>
      <c r="AX59" s="86"/>
    </row>
    <row r="60" spans="1:73" s="87" customFormat="1" ht="20.45" customHeight="1">
      <c r="A60" s="134"/>
      <c r="B60" s="73"/>
      <c r="C60" s="73" t="s">
        <v>312</v>
      </c>
      <c r="D60" s="62" t="s">
        <v>107</v>
      </c>
      <c r="E60" s="62" t="s">
        <v>291</v>
      </c>
      <c r="F60" s="74"/>
      <c r="G60" s="74"/>
      <c r="H60" s="62"/>
      <c r="I60" s="62" t="s">
        <v>111</v>
      </c>
      <c r="J60" s="62" t="s">
        <v>43</v>
      </c>
      <c r="K60" s="33"/>
      <c r="L60" s="33" t="s">
        <v>377</v>
      </c>
      <c r="M60" s="34"/>
      <c r="N60" s="75"/>
      <c r="O60" s="76">
        <f t="shared" si="17"/>
        <v>0</v>
      </c>
      <c r="P60" s="77"/>
      <c r="Q60" s="77"/>
      <c r="R60" s="115">
        <f t="shared" si="18"/>
        <v>510000</v>
      </c>
      <c r="S60" s="116"/>
      <c r="T60" s="116"/>
      <c r="U60" s="118">
        <v>510000</v>
      </c>
      <c r="V60" s="117"/>
      <c r="W60" s="105">
        <f t="shared" si="15"/>
        <v>0</v>
      </c>
      <c r="X60" s="100">
        <v>0</v>
      </c>
      <c r="Y60" s="101">
        <v>0</v>
      </c>
      <c r="Z60" s="79">
        <f t="shared" si="16"/>
        <v>0</v>
      </c>
      <c r="AA60" s="80"/>
      <c r="AB60" s="81"/>
      <c r="AC60" s="82"/>
      <c r="AD60" s="80"/>
      <c r="AE60" s="83"/>
      <c r="AF60" s="82"/>
      <c r="AG60" s="80"/>
      <c r="AH60" s="83"/>
      <c r="AI60" s="82"/>
      <c r="AJ60" s="80"/>
      <c r="AK60" s="83"/>
      <c r="AL60" s="84"/>
      <c r="AM60" s="85"/>
      <c r="AN60" s="86"/>
      <c r="AO60" s="86"/>
      <c r="AP60" s="77"/>
      <c r="AU60" s="88"/>
      <c r="AV60" s="88"/>
      <c r="AW60" s="77"/>
      <c r="AX60" s="86"/>
    </row>
    <row r="61" spans="1:73" s="87" customFormat="1" ht="20.45" customHeight="1">
      <c r="A61" s="132"/>
      <c r="B61" s="73"/>
      <c r="C61" s="73" t="s">
        <v>313</v>
      </c>
      <c r="D61" s="62" t="s">
        <v>107</v>
      </c>
      <c r="E61" s="62" t="s">
        <v>291</v>
      </c>
      <c r="F61" s="74"/>
      <c r="G61" s="74"/>
      <c r="H61" s="62"/>
      <c r="I61" s="62" t="s">
        <v>111</v>
      </c>
      <c r="J61" s="62" t="s">
        <v>34</v>
      </c>
      <c r="K61" s="33"/>
      <c r="L61" s="33" t="s">
        <v>377</v>
      </c>
      <c r="M61" s="34"/>
      <c r="N61" s="75"/>
      <c r="O61" s="76">
        <f t="shared" si="17"/>
        <v>0</v>
      </c>
      <c r="P61" s="77"/>
      <c r="Q61" s="77"/>
      <c r="R61" s="115">
        <f t="shared" si="18"/>
        <v>420000</v>
      </c>
      <c r="S61" s="116"/>
      <c r="T61" s="116"/>
      <c r="U61" s="118">
        <v>420000</v>
      </c>
      <c r="V61" s="117"/>
      <c r="W61" s="105">
        <f t="shared" si="15"/>
        <v>0</v>
      </c>
      <c r="X61" s="100">
        <v>0</v>
      </c>
      <c r="Y61" s="101">
        <v>0</v>
      </c>
      <c r="Z61" s="79">
        <f t="shared" si="16"/>
        <v>0</v>
      </c>
      <c r="AA61" s="80"/>
      <c r="AB61" s="81"/>
      <c r="AC61" s="82"/>
      <c r="AD61" s="80"/>
      <c r="AE61" s="83"/>
      <c r="AF61" s="82"/>
      <c r="AG61" s="80"/>
      <c r="AH61" s="83"/>
      <c r="AI61" s="82"/>
      <c r="AJ61" s="80"/>
      <c r="AK61" s="83"/>
      <c r="AL61" s="84"/>
      <c r="AM61" s="85"/>
      <c r="AN61" s="86"/>
      <c r="AO61" s="86"/>
      <c r="AP61" s="77"/>
      <c r="AU61" s="88"/>
      <c r="AV61" s="88"/>
      <c r="AW61" s="77"/>
      <c r="AX61" s="86"/>
    </row>
    <row r="62" spans="1:73" s="87" customFormat="1" ht="20.45" customHeight="1">
      <c r="A62" s="133"/>
      <c r="B62" s="73"/>
      <c r="C62" s="73" t="s">
        <v>332</v>
      </c>
      <c r="D62" s="62" t="s">
        <v>355</v>
      </c>
      <c r="E62" s="62" t="s">
        <v>339</v>
      </c>
      <c r="F62" s="74"/>
      <c r="G62" s="74"/>
      <c r="H62" s="62"/>
      <c r="I62" s="62" t="s">
        <v>33</v>
      </c>
      <c r="J62" s="62" t="s">
        <v>34</v>
      </c>
      <c r="K62" s="33"/>
      <c r="L62" s="33"/>
      <c r="M62" s="34"/>
      <c r="N62" s="75"/>
      <c r="O62" s="76">
        <f t="shared" si="17"/>
        <v>0</v>
      </c>
      <c r="P62" s="77"/>
      <c r="Q62" s="77"/>
      <c r="R62" s="115">
        <f t="shared" si="18"/>
        <v>486000</v>
      </c>
      <c r="S62" s="116"/>
      <c r="T62" s="116"/>
      <c r="U62" s="118">
        <v>486000</v>
      </c>
      <c r="V62" s="117"/>
      <c r="W62" s="105">
        <f t="shared" si="15"/>
        <v>0</v>
      </c>
      <c r="X62" s="100">
        <v>0</v>
      </c>
      <c r="Y62" s="101">
        <v>0</v>
      </c>
      <c r="Z62" s="79">
        <f t="shared" si="16"/>
        <v>0</v>
      </c>
      <c r="AA62" s="80"/>
      <c r="AB62" s="81"/>
      <c r="AC62" s="82"/>
      <c r="AD62" s="80"/>
      <c r="AE62" s="83"/>
      <c r="AF62" s="82"/>
      <c r="AG62" s="80"/>
      <c r="AH62" s="83"/>
      <c r="AI62" s="82"/>
      <c r="AJ62" s="80"/>
      <c r="AK62" s="83"/>
      <c r="AL62" s="84"/>
      <c r="AM62" s="85"/>
      <c r="AN62" s="86"/>
      <c r="AO62" s="86"/>
      <c r="AP62" s="77"/>
      <c r="AU62" s="88"/>
      <c r="AV62" s="88"/>
      <c r="AW62" s="77"/>
      <c r="AX62" s="86"/>
    </row>
    <row r="63" spans="1:73" s="87" customFormat="1" ht="20.45" customHeight="1">
      <c r="A63" s="134"/>
      <c r="B63" s="73"/>
      <c r="C63" s="73" t="s">
        <v>343</v>
      </c>
      <c r="D63" s="62" t="s">
        <v>348</v>
      </c>
      <c r="E63" s="62" t="s">
        <v>294</v>
      </c>
      <c r="F63" s="74"/>
      <c r="G63" s="74"/>
      <c r="H63" s="62"/>
      <c r="I63" s="62" t="s">
        <v>33</v>
      </c>
      <c r="J63" s="62"/>
      <c r="K63" s="33"/>
      <c r="L63" s="33"/>
      <c r="M63" s="34"/>
      <c r="N63" s="75"/>
      <c r="O63" s="76">
        <f t="shared" si="17"/>
        <v>0</v>
      </c>
      <c r="P63" s="77"/>
      <c r="Q63" s="77"/>
      <c r="R63" s="115">
        <f t="shared" si="18"/>
        <v>300000</v>
      </c>
      <c r="S63" s="116"/>
      <c r="T63" s="116"/>
      <c r="U63" s="118">
        <v>300000</v>
      </c>
      <c r="V63" s="117"/>
      <c r="W63" s="105">
        <f t="shared" si="15"/>
        <v>0</v>
      </c>
      <c r="X63" s="100">
        <v>0</v>
      </c>
      <c r="Y63" s="101">
        <v>0</v>
      </c>
      <c r="Z63" s="79">
        <f t="shared" si="16"/>
        <v>0</v>
      </c>
      <c r="AA63" s="80"/>
      <c r="AB63" s="81"/>
      <c r="AC63" s="82"/>
      <c r="AD63" s="80"/>
      <c r="AE63" s="83"/>
      <c r="AF63" s="82"/>
      <c r="AG63" s="80"/>
      <c r="AH63" s="83"/>
      <c r="AI63" s="82"/>
      <c r="AJ63" s="80"/>
      <c r="AK63" s="83"/>
      <c r="AL63" s="84"/>
      <c r="AM63" s="85"/>
      <c r="AN63" s="86"/>
      <c r="AO63" s="86"/>
      <c r="AP63" s="77"/>
      <c r="AU63" s="88"/>
      <c r="AV63" s="88"/>
      <c r="AW63" s="77"/>
      <c r="AX63" s="86"/>
    </row>
    <row r="64" spans="1:73" s="87" customFormat="1" ht="20.45" customHeight="1">
      <c r="A64" s="132"/>
      <c r="B64" s="73"/>
      <c r="C64" s="73" t="s">
        <v>337</v>
      </c>
      <c r="D64" s="62" t="s">
        <v>94</v>
      </c>
      <c r="E64" s="62" t="s">
        <v>292</v>
      </c>
      <c r="F64" s="74"/>
      <c r="G64" s="74"/>
      <c r="H64" s="62"/>
      <c r="I64" s="62" t="s">
        <v>64</v>
      </c>
      <c r="J64" s="62"/>
      <c r="K64" s="33"/>
      <c r="L64" s="33"/>
      <c r="M64" s="34"/>
      <c r="N64" s="75"/>
      <c r="O64" s="76">
        <f t="shared" si="17"/>
        <v>0</v>
      </c>
      <c r="P64" s="77"/>
      <c r="Q64" s="77"/>
      <c r="R64" s="115">
        <f t="shared" si="18"/>
        <v>350000</v>
      </c>
      <c r="S64" s="116"/>
      <c r="T64" s="116"/>
      <c r="U64" s="118">
        <v>350000</v>
      </c>
      <c r="V64" s="117"/>
      <c r="W64" s="105">
        <f t="shared" si="15"/>
        <v>0</v>
      </c>
      <c r="X64" s="100">
        <v>0</v>
      </c>
      <c r="Y64" s="101">
        <v>0</v>
      </c>
      <c r="Z64" s="79">
        <f t="shared" si="16"/>
        <v>0</v>
      </c>
      <c r="AA64" s="80"/>
      <c r="AB64" s="81"/>
      <c r="AC64" s="82"/>
      <c r="AD64" s="80"/>
      <c r="AE64" s="83"/>
      <c r="AF64" s="82"/>
      <c r="AG64" s="80"/>
      <c r="AH64" s="83"/>
      <c r="AI64" s="82"/>
      <c r="AJ64" s="80"/>
      <c r="AK64" s="83"/>
      <c r="AL64" s="84"/>
      <c r="AM64" s="85"/>
      <c r="AN64" s="86"/>
      <c r="AO64" s="86"/>
      <c r="AP64" s="77"/>
      <c r="AU64" s="88"/>
      <c r="AV64" s="88"/>
      <c r="AW64" s="77"/>
      <c r="AX64" s="86"/>
    </row>
    <row r="65" spans="1:50" s="87" customFormat="1" ht="20.45" customHeight="1">
      <c r="A65" s="133"/>
      <c r="B65" s="73"/>
      <c r="C65" s="73" t="s">
        <v>333</v>
      </c>
      <c r="D65" s="62" t="s">
        <v>142</v>
      </c>
      <c r="E65" s="62" t="s">
        <v>292</v>
      </c>
      <c r="F65" s="74"/>
      <c r="G65" s="74"/>
      <c r="H65" s="62"/>
      <c r="I65" s="62" t="s">
        <v>33</v>
      </c>
      <c r="J65" s="62"/>
      <c r="K65" s="33"/>
      <c r="L65" s="33"/>
      <c r="M65" s="34"/>
      <c r="N65" s="75"/>
      <c r="O65" s="76">
        <f t="shared" si="17"/>
        <v>0</v>
      </c>
      <c r="P65" s="77"/>
      <c r="Q65" s="77"/>
      <c r="R65" s="115">
        <f t="shared" si="18"/>
        <v>300000</v>
      </c>
      <c r="S65" s="116"/>
      <c r="T65" s="116"/>
      <c r="U65" s="118">
        <v>300000</v>
      </c>
      <c r="V65" s="117"/>
      <c r="W65" s="105">
        <f t="shared" si="15"/>
        <v>0</v>
      </c>
      <c r="X65" s="100">
        <v>0</v>
      </c>
      <c r="Y65" s="101">
        <v>0</v>
      </c>
      <c r="Z65" s="79">
        <f t="shared" si="16"/>
        <v>0</v>
      </c>
      <c r="AA65" s="80"/>
      <c r="AB65" s="81"/>
      <c r="AC65" s="82"/>
      <c r="AD65" s="80"/>
      <c r="AE65" s="83"/>
      <c r="AF65" s="82"/>
      <c r="AG65" s="80"/>
      <c r="AH65" s="83"/>
      <c r="AI65" s="82"/>
      <c r="AJ65" s="80"/>
      <c r="AK65" s="83"/>
      <c r="AL65" s="84"/>
      <c r="AM65" s="85"/>
      <c r="AN65" s="86"/>
      <c r="AO65" s="86"/>
      <c r="AP65" s="77"/>
      <c r="AU65" s="88"/>
      <c r="AV65" s="88"/>
      <c r="AW65" s="77"/>
      <c r="AX65" s="86"/>
    </row>
    <row r="66" spans="1:50" s="87" customFormat="1" ht="20.45" customHeight="1">
      <c r="A66" s="134"/>
      <c r="B66" s="73"/>
      <c r="C66" s="73" t="s">
        <v>364</v>
      </c>
      <c r="D66" s="62" t="s">
        <v>118</v>
      </c>
      <c r="E66" s="62" t="s">
        <v>292</v>
      </c>
      <c r="F66" s="74"/>
      <c r="G66" s="74"/>
      <c r="H66" s="62"/>
      <c r="I66" s="62" t="s">
        <v>64</v>
      </c>
      <c r="J66" s="62"/>
      <c r="K66" s="33"/>
      <c r="L66" s="33" t="s">
        <v>368</v>
      </c>
      <c r="M66" s="34"/>
      <c r="N66" s="75"/>
      <c r="O66" s="76">
        <f t="shared" si="17"/>
        <v>0</v>
      </c>
      <c r="P66" s="77"/>
      <c r="Q66" s="77"/>
      <c r="R66" s="115">
        <f t="shared" si="18"/>
        <v>600000</v>
      </c>
      <c r="S66" s="116"/>
      <c r="T66" s="116"/>
      <c r="U66" s="118">
        <v>600000</v>
      </c>
      <c r="V66" s="117"/>
      <c r="W66" s="105">
        <f t="shared" si="15"/>
        <v>0</v>
      </c>
      <c r="X66" s="100">
        <v>0</v>
      </c>
      <c r="Y66" s="101">
        <v>0</v>
      </c>
      <c r="Z66" s="79">
        <f t="shared" si="16"/>
        <v>0</v>
      </c>
      <c r="AA66" s="80"/>
      <c r="AB66" s="81"/>
      <c r="AC66" s="82"/>
      <c r="AD66" s="80"/>
      <c r="AE66" s="83"/>
      <c r="AF66" s="82"/>
      <c r="AG66" s="80"/>
      <c r="AH66" s="83"/>
      <c r="AI66" s="82"/>
      <c r="AJ66" s="80"/>
      <c r="AK66" s="83"/>
      <c r="AL66" s="84"/>
      <c r="AM66" s="85"/>
      <c r="AN66" s="86"/>
      <c r="AO66" s="86"/>
      <c r="AP66" s="77"/>
      <c r="AU66" s="88"/>
      <c r="AV66" s="88"/>
      <c r="AW66" s="77"/>
      <c r="AX66" s="86"/>
    </row>
    <row r="67" spans="1:50" s="87" customFormat="1" ht="20.45" customHeight="1">
      <c r="A67" s="132"/>
      <c r="B67" s="73"/>
      <c r="C67" s="73" t="s">
        <v>365</v>
      </c>
      <c r="D67" s="62" t="s">
        <v>118</v>
      </c>
      <c r="E67" s="62"/>
      <c r="F67" s="74"/>
      <c r="G67" s="74"/>
      <c r="H67" s="62"/>
      <c r="I67" s="62" t="s">
        <v>64</v>
      </c>
      <c r="J67" s="62"/>
      <c r="K67" s="33"/>
      <c r="L67" s="33" t="s">
        <v>120</v>
      </c>
      <c r="M67" s="34"/>
      <c r="N67" s="75"/>
      <c r="O67" s="76">
        <f t="shared" si="17"/>
        <v>0</v>
      </c>
      <c r="P67" s="77"/>
      <c r="Q67" s="77"/>
      <c r="R67" s="115">
        <f t="shared" si="18"/>
        <v>280000</v>
      </c>
      <c r="S67" s="116"/>
      <c r="T67" s="116"/>
      <c r="U67" s="118">
        <v>280000</v>
      </c>
      <c r="V67" s="117"/>
      <c r="W67" s="105">
        <f t="shared" si="15"/>
        <v>0</v>
      </c>
      <c r="X67" s="100">
        <v>0</v>
      </c>
      <c r="Y67" s="101">
        <v>0</v>
      </c>
      <c r="Z67" s="79"/>
      <c r="AA67" s="80"/>
      <c r="AB67" s="81"/>
      <c r="AC67" s="82"/>
      <c r="AD67" s="80"/>
      <c r="AE67" s="83"/>
      <c r="AF67" s="82"/>
      <c r="AG67" s="80"/>
      <c r="AH67" s="83"/>
      <c r="AI67" s="82"/>
      <c r="AJ67" s="80"/>
      <c r="AK67" s="83"/>
      <c r="AL67" s="84"/>
      <c r="AM67" s="85"/>
      <c r="AN67" s="86"/>
      <c r="AO67" s="86"/>
      <c r="AP67" s="77"/>
      <c r="AU67" s="88"/>
      <c r="AV67" s="88"/>
      <c r="AW67" s="77"/>
      <c r="AX67" s="86"/>
    </row>
    <row r="68" spans="1:50" s="87" customFormat="1" ht="20.45" customHeight="1">
      <c r="A68" s="133"/>
      <c r="B68" s="73"/>
      <c r="C68" s="73" t="s">
        <v>334</v>
      </c>
      <c r="D68" s="62" t="s">
        <v>146</v>
      </c>
      <c r="E68" s="62" t="s">
        <v>292</v>
      </c>
      <c r="F68" s="74"/>
      <c r="G68" s="74"/>
      <c r="H68" s="62"/>
      <c r="I68" s="62" t="s">
        <v>64</v>
      </c>
      <c r="J68" s="62"/>
      <c r="K68" s="33"/>
      <c r="L68" s="33"/>
      <c r="M68" s="34"/>
      <c r="N68" s="75"/>
      <c r="O68" s="76">
        <f t="shared" si="17"/>
        <v>0</v>
      </c>
      <c r="P68" s="77"/>
      <c r="Q68" s="77"/>
      <c r="R68" s="115">
        <f t="shared" si="18"/>
        <v>500000</v>
      </c>
      <c r="S68" s="116"/>
      <c r="T68" s="116"/>
      <c r="U68" s="118">
        <v>500000</v>
      </c>
      <c r="V68" s="117"/>
      <c r="W68" s="105">
        <f t="shared" si="15"/>
        <v>0</v>
      </c>
      <c r="X68" s="100">
        <v>0</v>
      </c>
      <c r="Y68" s="101">
        <v>0</v>
      </c>
      <c r="Z68" s="79">
        <f t="shared" ref="Z68:Z76" si="19">+AA68+AB68</f>
        <v>0</v>
      </c>
      <c r="AA68" s="80"/>
      <c r="AB68" s="81"/>
      <c r="AC68" s="82"/>
      <c r="AD68" s="80"/>
      <c r="AE68" s="83"/>
      <c r="AF68" s="82"/>
      <c r="AG68" s="80"/>
      <c r="AH68" s="83"/>
      <c r="AI68" s="82"/>
      <c r="AJ68" s="80"/>
      <c r="AK68" s="83"/>
      <c r="AL68" s="84"/>
      <c r="AM68" s="85"/>
      <c r="AN68" s="86"/>
      <c r="AO68" s="86"/>
      <c r="AP68" s="77"/>
      <c r="AU68" s="88"/>
      <c r="AV68" s="88"/>
      <c r="AW68" s="77"/>
      <c r="AX68" s="86"/>
    </row>
    <row r="69" spans="1:50" s="87" customFormat="1" ht="20.45" customHeight="1">
      <c r="A69" s="134"/>
      <c r="B69" s="73"/>
      <c r="C69" s="73" t="s">
        <v>369</v>
      </c>
      <c r="D69" s="62" t="s">
        <v>94</v>
      </c>
      <c r="E69" s="62"/>
      <c r="F69" s="74"/>
      <c r="G69" s="74"/>
      <c r="H69" s="62"/>
      <c r="I69" s="62" t="s">
        <v>64</v>
      </c>
      <c r="J69" s="62"/>
      <c r="K69" s="33"/>
      <c r="L69" s="33" t="s">
        <v>295</v>
      </c>
      <c r="M69" s="34"/>
      <c r="N69" s="75"/>
      <c r="O69" s="76">
        <f t="shared" si="17"/>
        <v>0</v>
      </c>
      <c r="P69" s="77"/>
      <c r="Q69" s="77"/>
      <c r="R69" s="115">
        <v>500000</v>
      </c>
      <c r="S69" s="116"/>
      <c r="T69" s="116"/>
      <c r="U69" s="118">
        <v>500000</v>
      </c>
      <c r="V69" s="117"/>
      <c r="W69" s="105">
        <f t="shared" si="15"/>
        <v>0</v>
      </c>
      <c r="X69" s="100">
        <v>0</v>
      </c>
      <c r="Y69" s="101">
        <v>0</v>
      </c>
      <c r="Z69" s="79"/>
      <c r="AA69" s="80"/>
      <c r="AB69" s="81"/>
      <c r="AC69" s="82"/>
      <c r="AD69" s="80"/>
      <c r="AE69" s="83"/>
      <c r="AF69" s="82"/>
      <c r="AG69" s="80"/>
      <c r="AH69" s="83"/>
      <c r="AI69" s="82"/>
      <c r="AJ69" s="80"/>
      <c r="AK69" s="83"/>
      <c r="AL69" s="84"/>
      <c r="AM69" s="85"/>
      <c r="AN69" s="86"/>
      <c r="AO69" s="86"/>
      <c r="AP69" s="77"/>
      <c r="AU69" s="88"/>
      <c r="AV69" s="88"/>
      <c r="AW69" s="77"/>
      <c r="AX69" s="86"/>
    </row>
    <row r="70" spans="1:50" s="87" customFormat="1" ht="20.45" customHeight="1">
      <c r="A70" s="132"/>
      <c r="B70" s="73"/>
      <c r="C70" s="73" t="s">
        <v>338</v>
      </c>
      <c r="D70" s="62" t="s">
        <v>73</v>
      </c>
      <c r="E70" s="62" t="s">
        <v>293</v>
      </c>
      <c r="F70" s="74"/>
      <c r="G70" s="74"/>
      <c r="H70" s="62"/>
      <c r="I70" s="62" t="s">
        <v>50</v>
      </c>
      <c r="J70" s="62"/>
      <c r="K70" s="33"/>
      <c r="L70" s="33" t="s">
        <v>77</v>
      </c>
      <c r="M70" s="34"/>
      <c r="N70" s="75"/>
      <c r="O70" s="76">
        <f t="shared" si="17"/>
        <v>0</v>
      </c>
      <c r="P70" s="77"/>
      <c r="Q70" s="77"/>
      <c r="R70" s="115">
        <f>+SUM(T70:V70)</f>
        <v>380000</v>
      </c>
      <c r="S70" s="116"/>
      <c r="T70" s="116"/>
      <c r="U70" s="118">
        <v>380000</v>
      </c>
      <c r="V70" s="117"/>
      <c r="W70" s="105">
        <f t="shared" si="15"/>
        <v>0</v>
      </c>
      <c r="X70" s="100">
        <v>0</v>
      </c>
      <c r="Y70" s="101">
        <v>0</v>
      </c>
      <c r="Z70" s="79">
        <f t="shared" si="19"/>
        <v>0</v>
      </c>
      <c r="AA70" s="80"/>
      <c r="AB70" s="81"/>
      <c r="AC70" s="82"/>
      <c r="AD70" s="80"/>
      <c r="AE70" s="83"/>
      <c r="AF70" s="82"/>
      <c r="AG70" s="80"/>
      <c r="AH70" s="83"/>
      <c r="AI70" s="82"/>
      <c r="AJ70" s="80"/>
      <c r="AK70" s="83"/>
      <c r="AL70" s="84"/>
      <c r="AM70" s="85"/>
      <c r="AN70" s="86"/>
      <c r="AO70" s="86"/>
      <c r="AP70" s="77"/>
      <c r="AU70" s="88"/>
      <c r="AV70" s="88"/>
      <c r="AW70" s="77"/>
      <c r="AX70" s="86"/>
    </row>
    <row r="71" spans="1:50" s="87" customFormat="1" ht="20.45" customHeight="1">
      <c r="A71" s="133"/>
      <c r="B71" s="73"/>
      <c r="C71" s="73" t="s">
        <v>366</v>
      </c>
      <c r="D71" s="62" t="s">
        <v>367</v>
      </c>
      <c r="E71" s="62"/>
      <c r="F71" s="74"/>
      <c r="G71" s="74"/>
      <c r="H71" s="62"/>
      <c r="I71" s="62" t="s">
        <v>33</v>
      </c>
      <c r="J71" s="62"/>
      <c r="K71" s="33"/>
      <c r="L71" s="33"/>
      <c r="M71" s="34"/>
      <c r="N71" s="75"/>
      <c r="O71" s="76">
        <f t="shared" si="17"/>
        <v>0</v>
      </c>
      <c r="P71" s="77"/>
      <c r="Q71" s="78"/>
      <c r="R71" s="115">
        <f>+SUM(S71:V71)</f>
        <v>250000</v>
      </c>
      <c r="S71" s="116"/>
      <c r="T71" s="116"/>
      <c r="U71" s="118">
        <v>250000</v>
      </c>
      <c r="V71" s="117"/>
      <c r="W71" s="105">
        <f t="shared" si="15"/>
        <v>0</v>
      </c>
      <c r="X71" s="100">
        <v>0</v>
      </c>
      <c r="Y71" s="101">
        <v>0</v>
      </c>
      <c r="Z71" s="79"/>
      <c r="AA71" s="80"/>
      <c r="AB71" s="81"/>
      <c r="AC71" s="82"/>
      <c r="AD71" s="80"/>
      <c r="AE71" s="83"/>
      <c r="AF71" s="82"/>
      <c r="AG71" s="80"/>
      <c r="AH71" s="83"/>
      <c r="AI71" s="82"/>
      <c r="AJ71" s="80"/>
      <c r="AK71" s="83"/>
      <c r="AL71" s="84"/>
      <c r="AM71" s="85"/>
      <c r="AN71" s="86"/>
      <c r="AO71" s="86"/>
      <c r="AP71" s="77"/>
      <c r="AU71" s="88"/>
      <c r="AV71" s="88"/>
      <c r="AW71" s="77"/>
      <c r="AX71" s="86"/>
    </row>
    <row r="72" spans="1:50" s="87" customFormat="1" ht="20.45" customHeight="1">
      <c r="A72" s="134"/>
      <c r="B72" s="73"/>
      <c r="C72" s="73" t="s">
        <v>340</v>
      </c>
      <c r="D72" s="62" t="s">
        <v>356</v>
      </c>
      <c r="E72" s="62" t="s">
        <v>339</v>
      </c>
      <c r="F72" s="74"/>
      <c r="G72" s="74"/>
      <c r="H72" s="62"/>
      <c r="I72" s="62" t="s">
        <v>33</v>
      </c>
      <c r="J72" s="62"/>
      <c r="K72" s="33"/>
      <c r="L72" s="33"/>
      <c r="M72" s="34"/>
      <c r="N72" s="75"/>
      <c r="O72" s="76">
        <f t="shared" si="17"/>
        <v>0</v>
      </c>
      <c r="P72" s="77"/>
      <c r="Q72" s="78"/>
      <c r="R72" s="115">
        <f>+SUM(S72:V72)</f>
        <v>300000</v>
      </c>
      <c r="S72" s="116"/>
      <c r="T72" s="118"/>
      <c r="U72" s="118"/>
      <c r="V72" s="119">
        <v>300000</v>
      </c>
      <c r="W72" s="105">
        <f t="shared" si="15"/>
        <v>0</v>
      </c>
      <c r="X72" s="100">
        <v>0</v>
      </c>
      <c r="Y72" s="101">
        <v>0</v>
      </c>
      <c r="Z72" s="79">
        <f t="shared" si="19"/>
        <v>0</v>
      </c>
      <c r="AA72" s="80"/>
      <c r="AB72" s="81"/>
      <c r="AC72" s="82"/>
      <c r="AD72" s="80"/>
      <c r="AE72" s="83"/>
      <c r="AF72" s="82"/>
      <c r="AG72" s="80"/>
      <c r="AH72" s="83"/>
      <c r="AI72" s="82"/>
      <c r="AJ72" s="80"/>
      <c r="AK72" s="83"/>
      <c r="AL72" s="84"/>
      <c r="AM72" s="85"/>
      <c r="AN72" s="86"/>
      <c r="AO72" s="86"/>
      <c r="AP72" s="77"/>
      <c r="AU72" s="88"/>
      <c r="AV72" s="88"/>
      <c r="AW72" s="77"/>
      <c r="AX72" s="86"/>
    </row>
    <row r="73" spans="1:50" s="87" customFormat="1" ht="20.45" customHeight="1">
      <c r="A73" s="132"/>
      <c r="B73" s="73"/>
      <c r="C73" s="73" t="s">
        <v>341</v>
      </c>
      <c r="D73" s="62" t="s">
        <v>357</v>
      </c>
      <c r="E73" s="62" t="s">
        <v>294</v>
      </c>
      <c r="F73" s="74"/>
      <c r="G73" s="74"/>
      <c r="H73" s="62"/>
      <c r="I73" s="62" t="s">
        <v>33</v>
      </c>
      <c r="J73" s="62"/>
      <c r="K73" s="33"/>
      <c r="L73" s="33"/>
      <c r="M73" s="34"/>
      <c r="N73" s="75"/>
      <c r="O73" s="76">
        <f t="shared" si="17"/>
        <v>0</v>
      </c>
      <c r="P73" s="77"/>
      <c r="Q73" s="78"/>
      <c r="R73" s="115"/>
      <c r="S73" s="118"/>
      <c r="T73" s="118"/>
      <c r="U73" s="118"/>
      <c r="V73" s="119"/>
      <c r="W73" s="105">
        <f t="shared" si="15"/>
        <v>0</v>
      </c>
      <c r="X73" s="100">
        <v>0</v>
      </c>
      <c r="Y73" s="101">
        <v>0</v>
      </c>
      <c r="Z73" s="79">
        <f t="shared" si="19"/>
        <v>0</v>
      </c>
      <c r="AA73" s="80"/>
      <c r="AB73" s="81"/>
      <c r="AC73" s="82"/>
      <c r="AD73" s="80"/>
      <c r="AE73" s="83"/>
      <c r="AF73" s="82"/>
      <c r="AG73" s="80"/>
      <c r="AH73" s="83"/>
      <c r="AI73" s="82"/>
      <c r="AJ73" s="80"/>
      <c r="AK73" s="83"/>
      <c r="AL73" s="84"/>
      <c r="AM73" s="85"/>
      <c r="AN73" s="86"/>
      <c r="AO73" s="86"/>
      <c r="AP73" s="77"/>
      <c r="AU73" s="88"/>
      <c r="AV73" s="88"/>
      <c r="AW73" s="77"/>
      <c r="AX73" s="86"/>
    </row>
    <row r="74" spans="1:50" s="87" customFormat="1" ht="20.45" customHeight="1">
      <c r="A74" s="133"/>
      <c r="B74" s="73"/>
      <c r="C74" s="73" t="s">
        <v>372</v>
      </c>
      <c r="D74" s="62" t="s">
        <v>267</v>
      </c>
      <c r="E74" s="62"/>
      <c r="F74" s="74"/>
      <c r="G74" s="74"/>
      <c r="H74" s="62"/>
      <c r="I74" s="62" t="s">
        <v>111</v>
      </c>
      <c r="J74" s="62"/>
      <c r="K74" s="33"/>
      <c r="L74" s="33" t="s">
        <v>373</v>
      </c>
      <c r="M74" s="34"/>
      <c r="N74" s="75"/>
      <c r="O74" s="76">
        <f t="shared" si="17"/>
        <v>0</v>
      </c>
      <c r="P74" s="77"/>
      <c r="Q74" s="78"/>
      <c r="R74" s="115">
        <f t="shared" ref="R74:R79" si="20">+SUM(S74:V74)</f>
        <v>608000</v>
      </c>
      <c r="S74" s="118"/>
      <c r="T74" s="118"/>
      <c r="U74" s="118">
        <v>608000</v>
      </c>
      <c r="V74" s="119"/>
      <c r="W74" s="105">
        <f t="shared" si="15"/>
        <v>0</v>
      </c>
      <c r="X74" s="100">
        <v>0</v>
      </c>
      <c r="Y74" s="101">
        <v>0</v>
      </c>
      <c r="Z74" s="79"/>
      <c r="AA74" s="80"/>
      <c r="AB74" s="81"/>
      <c r="AC74" s="82"/>
      <c r="AD74" s="80"/>
      <c r="AE74" s="83"/>
      <c r="AF74" s="82"/>
      <c r="AG74" s="80"/>
      <c r="AH74" s="83"/>
      <c r="AI74" s="82"/>
      <c r="AJ74" s="80"/>
      <c r="AK74" s="83"/>
      <c r="AL74" s="84"/>
      <c r="AM74" s="85"/>
      <c r="AN74" s="86"/>
      <c r="AO74" s="86"/>
      <c r="AP74" s="77"/>
      <c r="AU74" s="88"/>
      <c r="AV74" s="88"/>
      <c r="AW74" s="77"/>
      <c r="AX74" s="86"/>
    </row>
    <row r="75" spans="1:50" s="87" customFormat="1" ht="20.45" customHeight="1">
      <c r="A75" s="134"/>
      <c r="B75" s="73"/>
      <c r="C75" s="73" t="s">
        <v>370</v>
      </c>
      <c r="D75" s="62" t="s">
        <v>371</v>
      </c>
      <c r="E75" s="62"/>
      <c r="F75" s="74"/>
      <c r="G75" s="74"/>
      <c r="H75" s="62"/>
      <c r="I75" s="62" t="s">
        <v>111</v>
      </c>
      <c r="J75" s="62"/>
      <c r="K75" s="33"/>
      <c r="L75" s="33" t="s">
        <v>374</v>
      </c>
      <c r="M75" s="34"/>
      <c r="N75" s="75"/>
      <c r="O75" s="76">
        <f t="shared" si="17"/>
        <v>0</v>
      </c>
      <c r="P75" s="77"/>
      <c r="Q75" s="78"/>
      <c r="R75" s="115">
        <f t="shared" si="20"/>
        <v>690000</v>
      </c>
      <c r="S75" s="118"/>
      <c r="T75" s="118"/>
      <c r="U75" s="118">
        <v>690000</v>
      </c>
      <c r="V75" s="119"/>
      <c r="W75" s="105">
        <f t="shared" si="15"/>
        <v>0</v>
      </c>
      <c r="X75" s="100">
        <v>0</v>
      </c>
      <c r="Y75" s="101">
        <v>0</v>
      </c>
      <c r="Z75" s="79"/>
      <c r="AA75" s="80"/>
      <c r="AB75" s="81"/>
      <c r="AC75" s="82"/>
      <c r="AD75" s="80"/>
      <c r="AE75" s="83"/>
      <c r="AF75" s="82"/>
      <c r="AG75" s="80"/>
      <c r="AH75" s="83"/>
      <c r="AI75" s="82"/>
      <c r="AJ75" s="80"/>
      <c r="AK75" s="83"/>
      <c r="AL75" s="84"/>
      <c r="AM75" s="85"/>
      <c r="AN75" s="86"/>
      <c r="AO75" s="86"/>
      <c r="AP75" s="77"/>
      <c r="AU75" s="88"/>
      <c r="AV75" s="88"/>
      <c r="AW75" s="77"/>
      <c r="AX75" s="86"/>
    </row>
    <row r="76" spans="1:50" s="87" customFormat="1" ht="20.45" customHeight="1">
      <c r="A76" s="132"/>
      <c r="B76" s="73"/>
      <c r="C76" s="73" t="s">
        <v>342</v>
      </c>
      <c r="D76" s="62" t="s">
        <v>358</v>
      </c>
      <c r="E76" s="62" t="s">
        <v>294</v>
      </c>
      <c r="F76" s="74"/>
      <c r="G76" s="74"/>
      <c r="H76" s="62"/>
      <c r="I76" s="62" t="s">
        <v>33</v>
      </c>
      <c r="J76" s="62"/>
      <c r="K76" s="33"/>
      <c r="L76" s="33"/>
      <c r="M76" s="34"/>
      <c r="N76" s="75"/>
      <c r="O76" s="76">
        <f t="shared" si="17"/>
        <v>0</v>
      </c>
      <c r="P76" s="77"/>
      <c r="Q76" s="78"/>
      <c r="R76" s="115">
        <f t="shared" si="20"/>
        <v>300000</v>
      </c>
      <c r="S76" s="116"/>
      <c r="T76" s="118"/>
      <c r="U76" s="118">
        <v>300000</v>
      </c>
      <c r="V76" s="119"/>
      <c r="W76" s="105">
        <f t="shared" si="15"/>
        <v>0</v>
      </c>
      <c r="X76" s="100">
        <v>0</v>
      </c>
      <c r="Y76" s="101">
        <v>0</v>
      </c>
      <c r="Z76" s="79">
        <f t="shared" si="19"/>
        <v>0</v>
      </c>
      <c r="AA76" s="80"/>
      <c r="AB76" s="81"/>
      <c r="AC76" s="82"/>
      <c r="AD76" s="80"/>
      <c r="AE76" s="83"/>
      <c r="AF76" s="82"/>
      <c r="AG76" s="80"/>
      <c r="AH76" s="83"/>
      <c r="AI76" s="82"/>
      <c r="AJ76" s="80"/>
      <c r="AK76" s="83"/>
      <c r="AL76" s="84"/>
      <c r="AM76" s="85"/>
      <c r="AN76" s="86"/>
      <c r="AO76" s="86"/>
      <c r="AP76" s="77"/>
      <c r="AU76" s="88"/>
      <c r="AV76" s="88"/>
      <c r="AW76" s="77"/>
      <c r="AX76" s="86"/>
    </row>
    <row r="77" spans="1:50" s="87" customFormat="1" ht="20.45" customHeight="1">
      <c r="A77" s="133"/>
      <c r="B77" s="73"/>
      <c r="C77" s="73" t="s">
        <v>375</v>
      </c>
      <c r="D77" s="62" t="s">
        <v>107</v>
      </c>
      <c r="E77" s="62"/>
      <c r="F77" s="74"/>
      <c r="G77" s="74"/>
      <c r="H77" s="62"/>
      <c r="I77" s="62" t="s">
        <v>111</v>
      </c>
      <c r="J77" s="62"/>
      <c r="K77" s="33"/>
      <c r="L77" s="33" t="s">
        <v>376</v>
      </c>
      <c r="M77" s="34"/>
      <c r="N77" s="75"/>
      <c r="O77" s="76">
        <f t="shared" si="17"/>
        <v>0</v>
      </c>
      <c r="P77" s="77"/>
      <c r="Q77" s="78"/>
      <c r="R77" s="115">
        <f t="shared" si="20"/>
        <v>450000</v>
      </c>
      <c r="S77" s="116"/>
      <c r="T77" s="118"/>
      <c r="U77" s="118">
        <v>450000</v>
      </c>
      <c r="V77" s="119"/>
      <c r="W77" s="105">
        <f t="shared" si="15"/>
        <v>0</v>
      </c>
      <c r="X77" s="100">
        <v>0</v>
      </c>
      <c r="Y77" s="101">
        <v>0</v>
      </c>
      <c r="Z77" s="79"/>
      <c r="AA77" s="80"/>
      <c r="AB77" s="81"/>
      <c r="AC77" s="82"/>
      <c r="AD77" s="80"/>
      <c r="AE77" s="83"/>
      <c r="AF77" s="82"/>
      <c r="AG77" s="80"/>
      <c r="AH77" s="83"/>
      <c r="AI77" s="82"/>
      <c r="AJ77" s="80"/>
      <c r="AK77" s="83"/>
      <c r="AL77" s="84"/>
      <c r="AM77" s="85"/>
      <c r="AN77" s="86"/>
      <c r="AO77" s="86"/>
      <c r="AP77" s="77"/>
      <c r="AU77" s="88"/>
      <c r="AV77" s="88"/>
      <c r="AW77" s="77"/>
      <c r="AX77" s="86"/>
    </row>
    <row r="78" spans="1:50" s="87" customFormat="1" ht="20.45" customHeight="1">
      <c r="A78" s="134"/>
      <c r="B78" s="73"/>
      <c r="C78" s="73" t="s">
        <v>378</v>
      </c>
      <c r="D78" s="62" t="s">
        <v>379</v>
      </c>
      <c r="E78" s="62"/>
      <c r="F78" s="74"/>
      <c r="G78" s="74"/>
      <c r="H78" s="62"/>
      <c r="I78" s="62" t="s">
        <v>33</v>
      </c>
      <c r="J78" s="62"/>
      <c r="K78" s="33"/>
      <c r="L78" s="33" t="s">
        <v>380</v>
      </c>
      <c r="M78" s="34"/>
      <c r="N78" s="75"/>
      <c r="O78" s="76">
        <f t="shared" si="17"/>
        <v>0</v>
      </c>
      <c r="P78" s="77"/>
      <c r="Q78" s="78"/>
      <c r="R78" s="115">
        <f t="shared" si="20"/>
        <v>350000</v>
      </c>
      <c r="S78" s="116"/>
      <c r="T78" s="120"/>
      <c r="U78" s="118">
        <v>350000</v>
      </c>
      <c r="V78" s="119"/>
      <c r="W78" s="105">
        <f t="shared" si="15"/>
        <v>0</v>
      </c>
      <c r="X78" s="100">
        <v>0</v>
      </c>
      <c r="Y78" s="101">
        <v>0</v>
      </c>
      <c r="Z78" s="79"/>
      <c r="AA78" s="80"/>
      <c r="AB78" s="81"/>
      <c r="AC78" s="82"/>
      <c r="AD78" s="80"/>
      <c r="AE78" s="83"/>
      <c r="AF78" s="82"/>
      <c r="AG78" s="80"/>
      <c r="AH78" s="83"/>
      <c r="AI78" s="82"/>
      <c r="AJ78" s="80"/>
      <c r="AK78" s="83"/>
      <c r="AL78" s="84"/>
      <c r="AM78" s="85"/>
      <c r="AN78" s="86"/>
      <c r="AO78" s="86"/>
      <c r="AP78" s="77"/>
      <c r="AU78" s="88"/>
      <c r="AV78" s="88"/>
      <c r="AW78" s="77"/>
      <c r="AX78" s="86"/>
    </row>
    <row r="79" spans="1:50" s="87" customFormat="1" ht="20.45" customHeight="1">
      <c r="A79" s="132"/>
      <c r="B79" s="73"/>
      <c r="C79" s="73" t="s">
        <v>349</v>
      </c>
      <c r="D79" s="62" t="s">
        <v>107</v>
      </c>
      <c r="E79" s="62" t="s">
        <v>291</v>
      </c>
      <c r="F79" s="74"/>
      <c r="G79" s="74"/>
      <c r="H79" s="62"/>
      <c r="I79" s="62" t="s">
        <v>111</v>
      </c>
      <c r="J79" s="62"/>
      <c r="K79" s="33"/>
      <c r="L79" s="33" t="s">
        <v>377</v>
      </c>
      <c r="M79" s="34"/>
      <c r="N79" s="75"/>
      <c r="O79" s="76">
        <f t="shared" si="17"/>
        <v>0</v>
      </c>
      <c r="P79" s="77"/>
      <c r="Q79" s="78"/>
      <c r="R79" s="115">
        <f t="shared" si="20"/>
        <v>350000</v>
      </c>
      <c r="S79" s="116"/>
      <c r="T79" s="120"/>
      <c r="U79" s="118">
        <v>350000</v>
      </c>
      <c r="V79" s="119"/>
      <c r="W79" s="105">
        <f t="shared" si="15"/>
        <v>0</v>
      </c>
      <c r="X79" s="100">
        <v>0</v>
      </c>
      <c r="Y79" s="101">
        <v>0</v>
      </c>
      <c r="Z79" s="79"/>
      <c r="AA79" s="80"/>
      <c r="AB79" s="81"/>
      <c r="AC79" s="82"/>
      <c r="AD79" s="80"/>
      <c r="AE79" s="83"/>
      <c r="AF79" s="82"/>
      <c r="AG79" s="80"/>
      <c r="AH79" s="83"/>
      <c r="AI79" s="82"/>
      <c r="AJ79" s="80"/>
      <c r="AK79" s="83"/>
      <c r="AL79" s="84"/>
      <c r="AM79" s="85"/>
      <c r="AN79" s="86"/>
      <c r="AO79" s="86"/>
      <c r="AP79" s="77"/>
      <c r="AU79" s="88"/>
      <c r="AV79" s="88"/>
      <c r="AW79" s="77"/>
      <c r="AX79" s="86"/>
    </row>
    <row r="80" spans="1:50">
      <c r="B80" s="53"/>
      <c r="C80" s="54"/>
      <c r="D80" s="53"/>
      <c r="E80" s="53"/>
      <c r="F80" s="52"/>
      <c r="G80" s="52"/>
      <c r="H80" s="53"/>
      <c r="I80" s="53"/>
      <c r="J80" s="53"/>
      <c r="K80" s="1"/>
      <c r="L80" s="1"/>
      <c r="M80" s="23"/>
      <c r="N80" s="24"/>
      <c r="O80" s="25">
        <f t="shared" si="17"/>
        <v>0</v>
      </c>
      <c r="P80" s="14"/>
      <c r="Q80" s="26"/>
      <c r="R80" s="121"/>
      <c r="S80" s="122"/>
      <c r="T80" s="122"/>
      <c r="U80" s="122"/>
      <c r="V80" s="123"/>
      <c r="W80" s="104">
        <f t="shared" si="8"/>
        <v>0</v>
      </c>
      <c r="X80" s="92">
        <v>0</v>
      </c>
      <c r="Y80" s="99">
        <v>0</v>
      </c>
      <c r="Z80" s="27">
        <f>+AA80+AB80</f>
        <v>0</v>
      </c>
      <c r="AA80" s="29"/>
      <c r="AB80" s="64"/>
      <c r="AC80" s="49"/>
      <c r="AD80" s="29"/>
      <c r="AE80" s="57"/>
      <c r="AF80" s="49"/>
      <c r="AG80" s="29"/>
      <c r="AH80" s="57"/>
      <c r="AI80" s="49"/>
      <c r="AJ80" s="29"/>
      <c r="AK80" s="57"/>
      <c r="AL80" s="51"/>
      <c r="AM80" s="58"/>
      <c r="AN80" s="59"/>
      <c r="AO80" s="59"/>
      <c r="AP80" s="14"/>
      <c r="AW80" s="14"/>
      <c r="AX80" s="59"/>
    </row>
    <row r="81" spans="2:52" ht="16.5" thickBot="1">
      <c r="B81" s="66"/>
      <c r="C81" s="66"/>
      <c r="D81" s="53"/>
      <c r="E81" s="53"/>
      <c r="F81" s="52"/>
      <c r="G81" s="52"/>
      <c r="H81" s="53"/>
      <c r="I81" s="53"/>
      <c r="J81" s="53"/>
      <c r="K81" s="1"/>
      <c r="L81" s="1"/>
      <c r="M81" s="23"/>
      <c r="N81" s="24"/>
      <c r="O81" s="25">
        <f t="shared" si="17"/>
        <v>31441727.802320443</v>
      </c>
      <c r="P81" s="14"/>
      <c r="Q81" s="25">
        <f t="shared" ref="Q81:AL81" si="21">+SUM(Q4:Q80)</f>
        <v>548751.66745100927</v>
      </c>
      <c r="R81" s="124">
        <f t="shared" si="21"/>
        <v>10957094.48</v>
      </c>
      <c r="S81" s="125">
        <f t="shared" si="21"/>
        <v>0</v>
      </c>
      <c r="T81" s="125">
        <f t="shared" si="21"/>
        <v>0</v>
      </c>
      <c r="U81" s="125">
        <f t="shared" si="21"/>
        <v>9415783</v>
      </c>
      <c r="V81" s="126">
        <f t="shared" si="21"/>
        <v>1541311.48</v>
      </c>
      <c r="W81" s="102">
        <f t="shared" si="21"/>
        <v>3176430.7389871101</v>
      </c>
      <c r="X81" s="102">
        <f t="shared" si="21"/>
        <v>1404117.4017320636</v>
      </c>
      <c r="Y81" s="103">
        <f t="shared" si="21"/>
        <v>1772313.3372550462</v>
      </c>
      <c r="Z81" s="47">
        <f t="shared" si="21"/>
        <v>8762139.0633333344</v>
      </c>
      <c r="AA81" s="47">
        <f t="shared" si="21"/>
        <v>7742994.1899999995</v>
      </c>
      <c r="AB81" s="48">
        <f t="shared" si="21"/>
        <v>1019144.8733333332</v>
      </c>
      <c r="AC81" s="40">
        <f t="shared" si="21"/>
        <v>9745037</v>
      </c>
      <c r="AD81" s="39">
        <f t="shared" si="21"/>
        <v>9240104</v>
      </c>
      <c r="AE81" s="39">
        <f t="shared" si="21"/>
        <v>504933</v>
      </c>
      <c r="AF81" s="40">
        <f t="shared" si="21"/>
        <v>3964071</v>
      </c>
      <c r="AG81" s="39">
        <f t="shared" si="21"/>
        <v>3428938</v>
      </c>
      <c r="AH81" s="39">
        <f t="shared" si="21"/>
        <v>535133</v>
      </c>
      <c r="AI81" s="40">
        <f t="shared" si="21"/>
        <v>2201300</v>
      </c>
      <c r="AJ81" s="39">
        <f t="shared" si="21"/>
        <v>1991300</v>
      </c>
      <c r="AK81" s="39">
        <f t="shared" si="21"/>
        <v>210000</v>
      </c>
      <c r="AL81" s="40">
        <f t="shared" si="21"/>
        <v>3592750</v>
      </c>
      <c r="AM81" s="58"/>
      <c r="AN81" s="59"/>
      <c r="AO81" s="59"/>
      <c r="AP81" s="14"/>
      <c r="AW81" s="14"/>
      <c r="AX81" s="59"/>
    </row>
    <row r="82" spans="2:52">
      <c r="O82" s="41"/>
      <c r="P82" s="41"/>
      <c r="R82" s="41"/>
      <c r="S82" s="41"/>
      <c r="T82" s="41"/>
      <c r="U82" s="41"/>
      <c r="V82" s="41"/>
      <c r="W82" s="5"/>
      <c r="Y82" s="42" t="s">
        <v>381</v>
      </c>
      <c r="Z82" s="43"/>
      <c r="AA82" s="43"/>
      <c r="AB82" s="43"/>
      <c r="AC82" s="43"/>
      <c r="AD82" s="6"/>
      <c r="AF82" s="6"/>
      <c r="AG82" s="6"/>
      <c r="AI82" s="6"/>
      <c r="AJ82" s="6"/>
    </row>
    <row r="83" spans="2:52">
      <c r="O83" s="41"/>
      <c r="P83" s="41"/>
      <c r="Q83" s="44"/>
      <c r="R83" s="41"/>
      <c r="S83" s="41"/>
      <c r="T83" s="41"/>
      <c r="U83" s="41"/>
      <c r="V83" s="41"/>
      <c r="X83" s="6"/>
      <c r="Y83" s="36" t="s">
        <v>382</v>
      </c>
      <c r="Z83" s="43"/>
      <c r="AA83" s="43"/>
      <c r="AB83" s="43"/>
      <c r="AC83" s="43"/>
    </row>
    <row r="84" spans="2:52">
      <c r="Y84" s="43"/>
      <c r="Z84" s="43"/>
      <c r="AA84" s="43"/>
      <c r="AB84" s="43"/>
      <c r="AC84" s="43"/>
    </row>
    <row r="85" spans="2:52" ht="31.5">
      <c r="B85" s="16" t="s">
        <v>0</v>
      </c>
      <c r="C85" s="16" t="s">
        <v>1</v>
      </c>
      <c r="D85" s="16" t="s">
        <v>2</v>
      </c>
      <c r="E85" s="16"/>
      <c r="F85" s="16"/>
      <c r="G85" s="16"/>
      <c r="H85" s="16" t="s">
        <v>5</v>
      </c>
      <c r="I85" s="16" t="s">
        <v>6</v>
      </c>
      <c r="J85" s="16" t="s">
        <v>7</v>
      </c>
      <c r="K85" s="16" t="s">
        <v>8</v>
      </c>
      <c r="L85" s="16" t="s">
        <v>9</v>
      </c>
      <c r="M85" s="17" t="s">
        <v>10</v>
      </c>
      <c r="N85" s="16" t="s">
        <v>11</v>
      </c>
      <c r="O85" s="18" t="s">
        <v>12</v>
      </c>
      <c r="P85" s="18" t="s">
        <v>12</v>
      </c>
      <c r="Q85" s="18"/>
      <c r="R85" s="18"/>
      <c r="S85" s="18"/>
      <c r="T85" s="18"/>
      <c r="U85" s="18"/>
      <c r="V85" s="18"/>
      <c r="W85" s="20" t="s">
        <v>13</v>
      </c>
      <c r="X85" s="16" t="s">
        <v>14</v>
      </c>
      <c r="Y85" s="16" t="s">
        <v>15</v>
      </c>
      <c r="Z85" s="20" t="s">
        <v>13</v>
      </c>
      <c r="AA85" s="16" t="s">
        <v>14</v>
      </c>
      <c r="AB85" s="16" t="s">
        <v>15</v>
      </c>
      <c r="AC85" s="16" t="s">
        <v>13</v>
      </c>
      <c r="AD85" s="16" t="s">
        <v>14</v>
      </c>
      <c r="AE85" s="16" t="s">
        <v>15</v>
      </c>
      <c r="AF85" s="16" t="s">
        <v>13</v>
      </c>
      <c r="AG85" s="16" t="s">
        <v>14</v>
      </c>
      <c r="AH85" s="16" t="s">
        <v>15</v>
      </c>
      <c r="AI85" s="16" t="s">
        <v>13</v>
      </c>
      <c r="AJ85" s="16" t="s">
        <v>14</v>
      </c>
      <c r="AK85" s="16" t="s">
        <v>15</v>
      </c>
      <c r="AL85" s="18" t="s">
        <v>16</v>
      </c>
      <c r="AM85" s="18" t="s">
        <v>17</v>
      </c>
      <c r="AN85" s="18" t="s">
        <v>18</v>
      </c>
      <c r="AO85" s="18"/>
      <c r="AP85" s="18" t="s">
        <v>20</v>
      </c>
      <c r="AQ85" s="18" t="s">
        <v>21</v>
      </c>
      <c r="AR85" s="18" t="s">
        <v>22</v>
      </c>
      <c r="AS85" s="18" t="s">
        <v>23</v>
      </c>
      <c r="AT85" s="18" t="s">
        <v>24</v>
      </c>
      <c r="AU85" s="21" t="s">
        <v>25</v>
      </c>
      <c r="AV85" s="21" t="s">
        <v>26</v>
      </c>
      <c r="AW85" s="18" t="s">
        <v>27</v>
      </c>
      <c r="AX85" s="21" t="s">
        <v>28</v>
      </c>
    </row>
    <row r="86" spans="2:52">
      <c r="B86" s="53">
        <v>17</v>
      </c>
      <c r="C86" s="54" t="s">
        <v>270</v>
      </c>
      <c r="D86" s="53" t="s">
        <v>107</v>
      </c>
      <c r="E86" s="53"/>
      <c r="F86" s="53"/>
      <c r="G86" s="53"/>
      <c r="H86" s="53" t="s">
        <v>271</v>
      </c>
      <c r="I86" s="53" t="s">
        <v>111</v>
      </c>
      <c r="J86" s="53" t="s">
        <v>34</v>
      </c>
      <c r="K86" s="1" t="s">
        <v>103</v>
      </c>
      <c r="L86" s="1" t="s">
        <v>272</v>
      </c>
      <c r="M86" s="23">
        <v>100</v>
      </c>
      <c r="N86" s="24" t="s">
        <v>91</v>
      </c>
      <c r="O86" s="25">
        <f t="shared" ref="O86:O91" si="22">+Q86+AC86+AF86+AI86+AL86</f>
        <v>350000</v>
      </c>
      <c r="P86" s="14" t="e">
        <f>+O86*#REF!</f>
        <v>#REF!</v>
      </c>
      <c r="Q86" s="26"/>
      <c r="R86" s="26"/>
      <c r="S86" s="26"/>
      <c r="T86" s="26"/>
      <c r="U86" s="26"/>
      <c r="V86" s="26"/>
      <c r="W86" s="27">
        <f t="shared" ref="W86:W91" si="23">+X86+Y86</f>
        <v>0</v>
      </c>
      <c r="X86" s="29">
        <v>0</v>
      </c>
      <c r="Y86" s="57">
        <v>0</v>
      </c>
      <c r="Z86" s="27">
        <f t="shared" ref="Z86:Z91" si="24">+AA86+AB86</f>
        <v>0</v>
      </c>
      <c r="AA86" s="29">
        <v>0</v>
      </c>
      <c r="AB86" s="57">
        <v>0</v>
      </c>
      <c r="AC86" s="28">
        <f t="shared" ref="AC86:AC91" si="25">+AD86+AE86</f>
        <v>0</v>
      </c>
      <c r="AD86" s="29">
        <v>0</v>
      </c>
      <c r="AE86" s="57">
        <v>0</v>
      </c>
      <c r="AF86" s="28">
        <f t="shared" ref="AF86:AF91" si="26">+AG86+AH86</f>
        <v>0</v>
      </c>
      <c r="AG86" s="29">
        <v>0</v>
      </c>
      <c r="AH86" s="57">
        <v>0</v>
      </c>
      <c r="AI86" s="28">
        <f t="shared" ref="AI86:AI91" si="27">+AJ86+AK86</f>
        <v>350000</v>
      </c>
      <c r="AJ86" s="29">
        <v>350000</v>
      </c>
      <c r="AK86" s="57">
        <v>0</v>
      </c>
      <c r="AL86" s="2">
        <v>0</v>
      </c>
      <c r="AM86" s="59" t="s">
        <v>273</v>
      </c>
      <c r="AN86" s="59"/>
      <c r="AO86" s="59"/>
      <c r="AP86" s="14"/>
      <c r="AS86" s="1"/>
      <c r="AT86" s="1"/>
      <c r="AU86" s="2"/>
      <c r="AV86" s="2"/>
      <c r="AW86" s="14" t="e">
        <f>AU86-#REF!-#REF!-Q86+AV86</f>
        <v>#REF!</v>
      </c>
      <c r="AX86" s="59"/>
      <c r="AY86" s="1"/>
      <c r="AZ86" s="2"/>
    </row>
    <row r="87" spans="2:52">
      <c r="B87" s="53">
        <v>18</v>
      </c>
      <c r="C87" s="54" t="s">
        <v>274</v>
      </c>
      <c r="D87" s="53" t="s">
        <v>275</v>
      </c>
      <c r="E87" s="53"/>
      <c r="F87" s="53"/>
      <c r="G87" s="53"/>
      <c r="H87" s="53" t="s">
        <v>276</v>
      </c>
      <c r="I87" s="53" t="s">
        <v>64</v>
      </c>
      <c r="J87" s="53" t="s">
        <v>70</v>
      </c>
      <c r="K87" s="1" t="s">
        <v>76</v>
      </c>
      <c r="L87" s="1" t="s">
        <v>277</v>
      </c>
      <c r="M87" s="23">
        <v>5</v>
      </c>
      <c r="N87" s="24" t="s">
        <v>91</v>
      </c>
      <c r="O87" s="25">
        <f t="shared" si="22"/>
        <v>105000</v>
      </c>
      <c r="P87" s="14" t="e">
        <f>+O87*#REF!</f>
        <v>#REF!</v>
      </c>
      <c r="Q87" s="26"/>
      <c r="R87" s="26"/>
      <c r="S87" s="26"/>
      <c r="T87" s="26"/>
      <c r="U87" s="26"/>
      <c r="V87" s="26"/>
      <c r="W87" s="27">
        <f t="shared" si="23"/>
        <v>0</v>
      </c>
      <c r="X87" s="29">
        <v>0</v>
      </c>
      <c r="Y87" s="57">
        <v>0</v>
      </c>
      <c r="Z87" s="27">
        <f t="shared" si="24"/>
        <v>0</v>
      </c>
      <c r="AA87" s="29">
        <v>0</v>
      </c>
      <c r="AB87" s="57">
        <v>0</v>
      </c>
      <c r="AC87" s="28">
        <f t="shared" si="25"/>
        <v>0</v>
      </c>
      <c r="AD87" s="29">
        <v>0</v>
      </c>
      <c r="AE87" s="57">
        <v>0</v>
      </c>
      <c r="AF87" s="28">
        <f t="shared" si="26"/>
        <v>0</v>
      </c>
      <c r="AG87" s="29">
        <v>0</v>
      </c>
      <c r="AH87" s="57">
        <v>0</v>
      </c>
      <c r="AI87" s="28">
        <f t="shared" si="27"/>
        <v>105000</v>
      </c>
      <c r="AJ87" s="29">
        <v>105000</v>
      </c>
      <c r="AK87" s="57">
        <v>0</v>
      </c>
      <c r="AL87" s="2">
        <v>0</v>
      </c>
      <c r="AM87" s="6" t="s">
        <v>273</v>
      </c>
      <c r="AN87" s="6"/>
      <c r="AO87" s="6"/>
      <c r="AP87" s="14"/>
      <c r="AW87" s="14" t="e">
        <f>AU87-#REF!-#REF!-Q87+AV87</f>
        <v>#REF!</v>
      </c>
      <c r="AX87" s="59"/>
      <c r="AY87" s="1"/>
      <c r="AZ87" s="2"/>
    </row>
    <row r="88" spans="2:52">
      <c r="B88" s="53">
        <v>28</v>
      </c>
      <c r="C88" s="54" t="s">
        <v>278</v>
      </c>
      <c r="D88" s="53" t="s">
        <v>107</v>
      </c>
      <c r="E88" s="53"/>
      <c r="F88" s="53"/>
      <c r="G88" s="53"/>
      <c r="H88" s="53" t="s">
        <v>279</v>
      </c>
      <c r="I88" s="53" t="s">
        <v>111</v>
      </c>
      <c r="J88" s="53" t="s">
        <v>34</v>
      </c>
      <c r="K88" s="1" t="s">
        <v>76</v>
      </c>
      <c r="L88" s="1" t="s">
        <v>280</v>
      </c>
      <c r="M88" s="23">
        <v>110</v>
      </c>
      <c r="N88" s="24" t="s">
        <v>122</v>
      </c>
      <c r="O88" s="25">
        <f t="shared" si="22"/>
        <v>450000</v>
      </c>
      <c r="P88" s="14" t="e">
        <f>+O88*#REF!</f>
        <v>#REF!</v>
      </c>
      <c r="Q88" s="26"/>
      <c r="R88" s="26"/>
      <c r="S88" s="26"/>
      <c r="T88" s="26"/>
      <c r="U88" s="26"/>
      <c r="V88" s="26"/>
      <c r="W88" s="27">
        <f t="shared" si="23"/>
        <v>0</v>
      </c>
      <c r="X88" s="29">
        <v>0</v>
      </c>
      <c r="Y88" s="57">
        <v>0</v>
      </c>
      <c r="Z88" s="27">
        <f t="shared" si="24"/>
        <v>0</v>
      </c>
      <c r="AA88" s="29">
        <v>0</v>
      </c>
      <c r="AB88" s="57">
        <v>0</v>
      </c>
      <c r="AC88" s="28">
        <f t="shared" si="25"/>
        <v>0</v>
      </c>
      <c r="AD88" s="29">
        <v>0</v>
      </c>
      <c r="AE88" s="57">
        <v>0</v>
      </c>
      <c r="AF88" s="28">
        <f t="shared" si="26"/>
        <v>450000</v>
      </c>
      <c r="AG88" s="29">
        <v>450000</v>
      </c>
      <c r="AH88" s="57">
        <v>0</v>
      </c>
      <c r="AI88" s="28">
        <f t="shared" si="27"/>
        <v>0</v>
      </c>
      <c r="AJ88" s="29">
        <v>0</v>
      </c>
      <c r="AK88" s="57">
        <v>0</v>
      </c>
      <c r="AL88" s="2">
        <v>0</v>
      </c>
      <c r="AM88" s="58" t="s">
        <v>273</v>
      </c>
      <c r="AN88" s="59"/>
      <c r="AO88" s="59"/>
      <c r="AP88" s="14"/>
      <c r="AW88" s="14" t="e">
        <f>AU88-#REF!-#REF!-Q88+AV88</f>
        <v>#REF!</v>
      </c>
      <c r="AX88" s="59"/>
    </row>
    <row r="89" spans="2:52">
      <c r="B89" s="53">
        <v>5</v>
      </c>
      <c r="C89" s="54" t="s">
        <v>283</v>
      </c>
      <c r="D89" s="53" t="s">
        <v>41</v>
      </c>
      <c r="E89" s="53"/>
      <c r="F89" s="53"/>
      <c r="G89" s="53"/>
      <c r="H89" s="53" t="s">
        <v>284</v>
      </c>
      <c r="I89" s="53" t="s">
        <v>33</v>
      </c>
      <c r="J89" s="53" t="s">
        <v>34</v>
      </c>
      <c r="K89" s="53" t="s">
        <v>103</v>
      </c>
      <c r="L89" s="53" t="s">
        <v>285</v>
      </c>
      <c r="M89" s="67">
        <v>10</v>
      </c>
      <c r="N89" s="24" t="s">
        <v>53</v>
      </c>
      <c r="O89" s="25">
        <f t="shared" si="22"/>
        <v>186000</v>
      </c>
      <c r="P89" s="14" t="e">
        <f>+O89*#REF!</f>
        <v>#REF!</v>
      </c>
      <c r="Q89" s="26"/>
      <c r="R89" s="26"/>
      <c r="S89" s="26"/>
      <c r="T89" s="26"/>
      <c r="U89" s="26"/>
      <c r="V89" s="26"/>
      <c r="W89" s="27">
        <f t="shared" si="23"/>
        <v>0</v>
      </c>
      <c r="X89" s="29">
        <v>0</v>
      </c>
      <c r="Y89" s="57">
        <v>0</v>
      </c>
      <c r="Z89" s="27">
        <f t="shared" si="24"/>
        <v>0</v>
      </c>
      <c r="AA89" s="29">
        <v>0</v>
      </c>
      <c r="AB89" s="57">
        <v>0</v>
      </c>
      <c r="AC89" s="28">
        <f t="shared" si="25"/>
        <v>0</v>
      </c>
      <c r="AD89" s="29">
        <v>0</v>
      </c>
      <c r="AE89" s="57">
        <v>0</v>
      </c>
      <c r="AF89" s="28">
        <f t="shared" si="26"/>
        <v>0</v>
      </c>
      <c r="AG89" s="29">
        <v>0</v>
      </c>
      <c r="AH89" s="57">
        <v>0</v>
      </c>
      <c r="AI89" s="28">
        <f t="shared" si="27"/>
        <v>0</v>
      </c>
      <c r="AJ89" s="29">
        <v>0</v>
      </c>
      <c r="AK89" s="57">
        <v>0</v>
      </c>
      <c r="AL89" s="2">
        <v>186000</v>
      </c>
      <c r="AM89" s="59" t="s">
        <v>286</v>
      </c>
      <c r="AN89" s="59"/>
      <c r="AO89" s="59"/>
      <c r="AP89" s="14"/>
      <c r="AS89" s="4"/>
      <c r="AT89" s="1"/>
      <c r="AU89" s="2"/>
      <c r="AV89" s="2"/>
      <c r="AW89" s="14" t="e">
        <f>AU89-#REF!-#REF!-Q89+AV89</f>
        <v>#REF!</v>
      </c>
      <c r="AX89" s="59"/>
    </row>
    <row r="90" spans="2:52">
      <c r="B90" s="53">
        <v>7</v>
      </c>
      <c r="C90" s="54" t="s">
        <v>287</v>
      </c>
      <c r="D90" s="53" t="s">
        <v>107</v>
      </c>
      <c r="E90" s="53"/>
      <c r="F90" s="53"/>
      <c r="G90" s="53"/>
      <c r="H90" s="53" t="s">
        <v>287</v>
      </c>
      <c r="I90" s="53" t="s">
        <v>111</v>
      </c>
      <c r="J90" s="53" t="s">
        <v>70</v>
      </c>
      <c r="K90" s="1" t="s">
        <v>51</v>
      </c>
      <c r="L90" s="33" t="s">
        <v>287</v>
      </c>
      <c r="M90" s="34">
        <v>100</v>
      </c>
      <c r="N90" s="24" t="s">
        <v>65</v>
      </c>
      <c r="O90" s="25">
        <f t="shared" si="22"/>
        <v>400000</v>
      </c>
      <c r="P90" s="14" t="e">
        <f>+O90*#REF!</f>
        <v>#REF!</v>
      </c>
      <c r="Q90" s="26"/>
      <c r="R90" s="26"/>
      <c r="S90" s="26"/>
      <c r="T90" s="26"/>
      <c r="U90" s="26"/>
      <c r="V90" s="26"/>
      <c r="W90" s="27">
        <f t="shared" si="23"/>
        <v>0</v>
      </c>
      <c r="X90" s="29">
        <v>0</v>
      </c>
      <c r="Y90" s="57">
        <v>0</v>
      </c>
      <c r="Z90" s="27">
        <f t="shared" si="24"/>
        <v>0</v>
      </c>
      <c r="AA90" s="29">
        <v>0</v>
      </c>
      <c r="AB90" s="57">
        <v>0</v>
      </c>
      <c r="AC90" s="28">
        <f t="shared" si="25"/>
        <v>0</v>
      </c>
      <c r="AD90" s="29">
        <v>0</v>
      </c>
      <c r="AE90" s="57">
        <v>0</v>
      </c>
      <c r="AF90" s="28">
        <f t="shared" si="26"/>
        <v>0</v>
      </c>
      <c r="AG90" s="29">
        <v>0</v>
      </c>
      <c r="AH90" s="57">
        <v>0</v>
      </c>
      <c r="AI90" s="28">
        <f t="shared" si="27"/>
        <v>0</v>
      </c>
      <c r="AJ90" s="29">
        <v>0</v>
      </c>
      <c r="AK90" s="57">
        <v>0</v>
      </c>
      <c r="AL90" s="2">
        <v>400000</v>
      </c>
      <c r="AM90" s="61">
        <v>40513</v>
      </c>
      <c r="AN90" s="72"/>
      <c r="AO90" s="72"/>
      <c r="AP90" s="14"/>
      <c r="AS90" s="1"/>
      <c r="AT90" s="1"/>
      <c r="AU90" s="2"/>
      <c r="AV90" s="2"/>
      <c r="AW90" s="14" t="e">
        <f>AU90-#REF!-#REF!-Q90+AV90</f>
        <v>#REF!</v>
      </c>
      <c r="AX90" s="59"/>
      <c r="AY90" s="1"/>
      <c r="AZ90" s="2"/>
    </row>
    <row r="91" spans="2:52">
      <c r="B91" s="53">
        <v>12</v>
      </c>
      <c r="C91" s="54" t="s">
        <v>288</v>
      </c>
      <c r="D91" s="53" t="s">
        <v>289</v>
      </c>
      <c r="E91" s="53"/>
      <c r="F91" s="53"/>
      <c r="G91" s="53"/>
      <c r="H91" s="53" t="s">
        <v>288</v>
      </c>
      <c r="I91" s="53" t="s">
        <v>50</v>
      </c>
      <c r="J91" s="53" t="s">
        <v>34</v>
      </c>
      <c r="K91" s="1" t="s">
        <v>35</v>
      </c>
      <c r="L91" s="22" t="s">
        <v>36</v>
      </c>
      <c r="M91" s="23">
        <v>5</v>
      </c>
      <c r="N91" s="45" t="s">
        <v>91</v>
      </c>
      <c r="O91" s="25">
        <f t="shared" si="22"/>
        <v>245000</v>
      </c>
      <c r="P91" s="14" t="e">
        <f>+O91*#REF!</f>
        <v>#REF!</v>
      </c>
      <c r="Q91" s="26"/>
      <c r="R91" s="26"/>
      <c r="S91" s="26"/>
      <c r="T91" s="26"/>
      <c r="U91" s="26"/>
      <c r="V91" s="26"/>
      <c r="W91" s="27">
        <f t="shared" si="23"/>
        <v>0</v>
      </c>
      <c r="X91" s="29">
        <v>0</v>
      </c>
      <c r="Y91" s="57">
        <v>0</v>
      </c>
      <c r="Z91" s="27">
        <f t="shared" si="24"/>
        <v>0</v>
      </c>
      <c r="AA91" s="29">
        <v>0</v>
      </c>
      <c r="AB91" s="57">
        <v>0</v>
      </c>
      <c r="AC91" s="28">
        <f t="shared" si="25"/>
        <v>0</v>
      </c>
      <c r="AD91" s="29">
        <v>0</v>
      </c>
      <c r="AE91" s="57">
        <v>0</v>
      </c>
      <c r="AF91" s="28">
        <f t="shared" si="26"/>
        <v>0</v>
      </c>
      <c r="AG91" s="57">
        <v>0</v>
      </c>
      <c r="AH91" s="57">
        <v>0</v>
      </c>
      <c r="AI91" s="28">
        <f t="shared" si="27"/>
        <v>245000</v>
      </c>
      <c r="AJ91" s="57">
        <v>245000</v>
      </c>
      <c r="AK91" s="57">
        <v>0</v>
      </c>
      <c r="AL91" s="2"/>
      <c r="AM91" s="61">
        <v>40513</v>
      </c>
      <c r="AN91" s="6"/>
      <c r="AO91" s="6"/>
      <c r="AP91" s="14"/>
      <c r="AS91" s="1"/>
      <c r="AT91" s="1"/>
      <c r="AU91" s="2"/>
      <c r="AV91" s="2"/>
      <c r="AW91" s="14" t="e">
        <f>AU91-#REF!-#REF!-Q91+AV91</f>
        <v>#REF!</v>
      </c>
      <c r="AX91" s="59"/>
      <c r="AY91" s="1"/>
      <c r="AZ91" s="2"/>
    </row>
    <row r="92" spans="2:52" ht="19.899999999999999" customHeight="1">
      <c r="B92" s="53">
        <v>33</v>
      </c>
      <c r="C92" s="54" t="s">
        <v>67</v>
      </c>
      <c r="D92" s="53" t="s">
        <v>30</v>
      </c>
      <c r="E92" s="53" t="s">
        <v>290</v>
      </c>
      <c r="F92" s="52" t="s">
        <v>172</v>
      </c>
      <c r="G92" s="52" t="s">
        <v>173</v>
      </c>
      <c r="H92" s="53" t="s">
        <v>174</v>
      </c>
      <c r="I92" s="53" t="s">
        <v>33</v>
      </c>
      <c r="J92" s="53" t="s">
        <v>70</v>
      </c>
      <c r="K92" s="66" t="s">
        <v>35</v>
      </c>
      <c r="L92" s="53" t="s">
        <v>175</v>
      </c>
      <c r="M92" s="67">
        <v>10</v>
      </c>
      <c r="N92" s="24" t="s">
        <v>164</v>
      </c>
      <c r="O92" s="25">
        <f>+AL92+AI92+AF92+AC92+Z92+W92</f>
        <v>200000</v>
      </c>
      <c r="P92" s="14" t="e">
        <f>+O92*#REF!</f>
        <v>#REF!</v>
      </c>
      <c r="Q92" s="14"/>
      <c r="R92" s="110">
        <f>+SUM(S92:V92)</f>
        <v>0</v>
      </c>
      <c r="S92" s="111"/>
      <c r="T92" s="111"/>
      <c r="U92" s="111"/>
      <c r="V92" s="112"/>
      <c r="W92" s="104">
        <f>+X92+Y92</f>
        <v>0</v>
      </c>
      <c r="X92" s="93">
        <v>0</v>
      </c>
      <c r="Y92" s="94">
        <v>0</v>
      </c>
      <c r="Z92" s="27">
        <f>+AA92+AB92</f>
        <v>0</v>
      </c>
      <c r="AA92" s="29">
        <v>0</v>
      </c>
      <c r="AB92" s="64">
        <v>0</v>
      </c>
      <c r="AC92" s="49">
        <f>+AD92+AE92</f>
        <v>200000</v>
      </c>
      <c r="AD92" s="29">
        <v>200000</v>
      </c>
      <c r="AE92" s="57">
        <v>0</v>
      </c>
      <c r="AF92" s="49">
        <f>+AG92+AH92</f>
        <v>0</v>
      </c>
      <c r="AG92" s="29">
        <v>0</v>
      </c>
      <c r="AH92" s="57">
        <v>0</v>
      </c>
      <c r="AI92" s="49">
        <f>+AJ92+AK92</f>
        <v>0</v>
      </c>
      <c r="AJ92" s="29">
        <v>0</v>
      </c>
      <c r="AK92" s="57">
        <v>0</v>
      </c>
      <c r="AL92" s="51">
        <v>0</v>
      </c>
      <c r="AM92" s="59" t="s">
        <v>273</v>
      </c>
      <c r="AN92" s="59">
        <v>40000</v>
      </c>
      <c r="AO92" s="59" t="s">
        <v>176</v>
      </c>
      <c r="AP92" s="14"/>
      <c r="AS92" s="1"/>
      <c r="AT92" s="1"/>
      <c r="AU92" s="2"/>
      <c r="AV92" s="2"/>
      <c r="AW92" s="14" t="e">
        <f>AU92-#REF!-#REF!-Q92+AV92</f>
        <v>#REF!</v>
      </c>
      <c r="AX92" s="59"/>
      <c r="AY92" s="1"/>
      <c r="AZ92" s="2"/>
    </row>
    <row r="94" spans="2:52">
      <c r="Z94" s="25" t="e">
        <f>+#REF!+Z81</f>
        <v>#REF!</v>
      </c>
    </row>
    <row r="96" spans="2:52">
      <c r="Z96" s="2"/>
    </row>
    <row r="97" spans="26:26">
      <c r="Z97" s="14"/>
    </row>
  </sheetData>
  <autoFilter ref="A3:AZ83"/>
  <sortState ref="A4:AX75">
    <sortCondition ref="B4:B75"/>
  </sortState>
  <mergeCells count="2">
    <mergeCell ref="R2:V2"/>
    <mergeCell ref="W2:Y2"/>
  </mergeCells>
  <hyperlinks>
    <hyperlink ref="F44" r:id="rId1"/>
    <hyperlink ref="F26" r:id="rId2"/>
    <hyperlink ref="G26" r:id="rId3"/>
    <hyperlink ref="F40" r:id="rId4"/>
    <hyperlink ref="F13" r:id="rId5"/>
    <hyperlink ref="G13" r:id="rId6"/>
    <hyperlink ref="F5" r:id="rId7"/>
    <hyperlink ref="F8" r:id="rId8"/>
    <hyperlink ref="G8" r:id="rId9"/>
    <hyperlink ref="F43" r:id="rId10"/>
    <hyperlink ref="G43" r:id="rId11"/>
    <hyperlink ref="F19" r:id="rId12"/>
    <hyperlink ref="G6" r:id="rId13"/>
    <hyperlink ref="F6" r:id="rId14"/>
    <hyperlink ref="F46" r:id="rId15"/>
    <hyperlink ref="F45" r:id="rId16"/>
    <hyperlink ref="F7" r:id="rId17"/>
    <hyperlink ref="F15" r:id="rId18"/>
    <hyperlink ref="F9" r:id="rId19"/>
    <hyperlink ref="G92" r:id="rId20"/>
    <hyperlink ref="F92" r:id="rId21"/>
    <hyperlink ref="F30" r:id="rId22"/>
    <hyperlink ref="G30" r:id="rId23"/>
    <hyperlink ref="F16" r:id="rId24"/>
    <hyperlink ref="G16" r:id="rId25"/>
    <hyperlink ref="F10" r:id="rId26"/>
    <hyperlink ref="G10" r:id="rId27"/>
    <hyperlink ref="F32" r:id="rId28"/>
    <hyperlink ref="F24" r:id="rId29"/>
    <hyperlink ref="G24" r:id="rId30"/>
    <hyperlink ref="F20" r:id="rId31"/>
    <hyperlink ref="F11" r:id="rId32"/>
    <hyperlink ref="F42" r:id="rId33"/>
    <hyperlink ref="F4" r:id="rId34"/>
    <hyperlink ref="F21" r:id="rId35"/>
    <hyperlink ref="G21" r:id="rId36"/>
    <hyperlink ref="F34" r:id="rId37"/>
    <hyperlink ref="G34" r:id="rId38"/>
    <hyperlink ref="F36" r:id="rId39"/>
    <hyperlink ref="F12" r:id="rId40"/>
    <hyperlink ref="F29" r:id="rId41"/>
    <hyperlink ref="F37" r:id="rId42"/>
    <hyperlink ref="F22" r:id="rId43"/>
    <hyperlink ref="F23" r:id="rId44"/>
    <hyperlink ref="F17" r:id="rId45"/>
  </hyperlinks>
  <pageMargins left="0.7" right="0.7" top="0.75" bottom="0.75" header="0.3" footer="0.3"/>
  <pageSetup paperSize="9" scale="17" orientation="landscape" r:id="rId46"/>
  <ignoredErrors>
    <ignoredError sqref="N4:N29 N30:N56" numberStoredAsText="1"/>
  </ignoredErrors>
  <legacyDrawing r:id="rId4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D121"/>
  <sheetViews>
    <sheetView tabSelected="1" zoomScale="75" zoomScaleNormal="75" workbookViewId="0">
      <pane xSplit="4" ySplit="3" topLeftCell="Q4" activePane="bottomRight" state="frozen"/>
      <selection pane="topRight" activeCell="E1" sqref="E1"/>
      <selection pane="bottomLeft" activeCell="A4" sqref="A4"/>
      <selection pane="bottomRight" activeCell="T107" sqref="T107"/>
    </sheetView>
  </sheetViews>
  <sheetFormatPr defaultColWidth="8.7109375" defaultRowHeight="15.75" outlineLevelCol="1"/>
  <cols>
    <col min="1" max="1" width="10" style="15" customWidth="1"/>
    <col min="2" max="2" width="6.85546875" style="5" bestFit="1" customWidth="1"/>
    <col min="3" max="3" width="29.140625" style="5" customWidth="1"/>
    <col min="4" max="4" width="17.42578125" style="5" bestFit="1" customWidth="1"/>
    <col min="5" max="5" width="17.42578125" style="5" customWidth="1"/>
    <col min="6" max="6" width="45.140625" style="5" customWidth="1"/>
    <col min="7" max="7" width="37.140625" style="5" customWidth="1"/>
    <col min="8" max="8" width="28.42578125" style="5" customWidth="1"/>
    <col min="9" max="9" width="15.140625" style="5" bestFit="1" customWidth="1"/>
    <col min="10" max="10" width="12.28515625" style="5" customWidth="1"/>
    <col min="11" max="11" width="21.7109375" style="5" customWidth="1"/>
    <col min="12" max="12" width="26.7109375" style="5" customWidth="1"/>
    <col min="13" max="13" width="21.42578125" style="5" customWidth="1"/>
    <col min="14" max="14" width="19.42578125" style="8" customWidth="1"/>
    <col min="15" max="16" width="20.42578125" style="5" customWidth="1"/>
    <col min="17" max="17" width="15.7109375" style="5" bestFit="1" customWidth="1"/>
    <col min="18" max="18" width="22" style="5" bestFit="1" customWidth="1"/>
    <col min="19" max="19" width="14.42578125" style="5" bestFit="1" customWidth="1"/>
    <col min="20" max="20" width="16.7109375" style="5" bestFit="1" customWidth="1"/>
    <col min="21" max="21" width="18.42578125" style="5" bestFit="1" customWidth="1"/>
    <col min="22" max="22" width="16.7109375" style="5" bestFit="1" customWidth="1"/>
    <col min="23" max="23" width="20.28515625" style="1" bestFit="1" customWidth="1"/>
    <col min="24" max="24" width="30.42578125" style="5" bestFit="1" customWidth="1"/>
    <col min="25" max="25" width="24" style="5" bestFit="1" customWidth="1"/>
    <col min="26" max="26" width="17.28515625" style="1" bestFit="1" customWidth="1"/>
    <col min="27" max="27" width="29.140625" style="5" bestFit="1" customWidth="1"/>
    <col min="28" max="28" width="16.140625" style="5" bestFit="1" customWidth="1"/>
    <col min="29" max="29" width="13.7109375" style="5" customWidth="1"/>
    <col min="30" max="30" width="23.140625" style="5" customWidth="1" outlineLevel="1"/>
    <col min="31" max="31" width="16.140625" style="5" customWidth="1" outlineLevel="1"/>
    <col min="32" max="32" width="12.7109375" style="5" customWidth="1"/>
    <col min="33" max="33" width="23.140625" style="5" customWidth="1" outlineLevel="1"/>
    <col min="34" max="34" width="16.140625" style="5" customWidth="1" outlineLevel="1"/>
    <col min="35" max="35" width="12.7109375" style="5" customWidth="1"/>
    <col min="36" max="36" width="23.140625" style="5" customWidth="1" outlineLevel="1"/>
    <col min="37" max="37" width="16.140625" style="5" customWidth="1" outlineLevel="1"/>
    <col min="38" max="38" width="12.7109375" style="5" customWidth="1"/>
    <col min="39" max="39" width="27" style="5" bestFit="1" customWidth="1" collapsed="1"/>
    <col min="40" max="40" width="28.140625" style="5" customWidth="1"/>
    <col min="41" max="41" width="14.7109375" style="5" customWidth="1"/>
    <col min="42" max="42" width="6.42578125" style="5" customWidth="1" outlineLevel="1" collapsed="1"/>
    <col min="43" max="43" width="19" style="5" customWidth="1" outlineLevel="1"/>
    <col min="44" max="44" width="16" style="5" customWidth="1" outlineLevel="1"/>
    <col min="45" max="45" width="34.140625" style="5" customWidth="1" outlineLevel="1"/>
    <col min="46" max="46" width="22.7109375" style="5" customWidth="1" outlineLevel="1"/>
    <col min="47" max="47" width="19.140625" style="6" customWidth="1" outlineLevel="1"/>
    <col min="48" max="48" width="21" style="6" customWidth="1" outlineLevel="1"/>
    <col min="49" max="49" width="13.42578125" style="5" customWidth="1" outlineLevel="1"/>
    <col min="50" max="50" width="8.140625" style="6" customWidth="1" outlineLevel="1"/>
    <col min="51" max="51" width="8.7109375" style="5" customWidth="1"/>
    <col min="52" max="52" width="25" style="5" bestFit="1" customWidth="1"/>
    <col min="53" max="53" width="24.28515625" style="5" customWidth="1"/>
    <col min="54" max="16384" width="8.7109375" style="5"/>
  </cols>
  <sheetData>
    <row r="1" spans="1:55" ht="16.5" thickBot="1"/>
    <row r="2" spans="1:55" ht="32.25" thickBot="1">
      <c r="C2" s="7"/>
      <c r="R2" s="148" t="s">
        <v>350</v>
      </c>
      <c r="S2" s="149"/>
      <c r="T2" s="149"/>
      <c r="U2" s="149"/>
      <c r="V2" s="150"/>
      <c r="W2" s="151" t="s">
        <v>383</v>
      </c>
      <c r="X2" s="152"/>
      <c r="Y2" s="153"/>
      <c r="Z2" s="5"/>
      <c r="AA2" s="7" t="s">
        <v>306</v>
      </c>
      <c r="AB2" s="9" t="s">
        <v>315</v>
      </c>
    </row>
    <row r="3" spans="1:55" ht="31.5">
      <c r="B3" s="16" t="s">
        <v>0</v>
      </c>
      <c r="C3" s="16" t="s">
        <v>1</v>
      </c>
      <c r="D3" s="16" t="s">
        <v>2</v>
      </c>
      <c r="E3" s="16" t="s">
        <v>336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7" t="s">
        <v>10</v>
      </c>
      <c r="N3" s="16" t="s">
        <v>11</v>
      </c>
      <c r="O3" s="18" t="s">
        <v>12</v>
      </c>
      <c r="P3" s="18" t="s">
        <v>314</v>
      </c>
      <c r="Q3" s="19">
        <v>2015</v>
      </c>
      <c r="R3" s="107" t="s">
        <v>330</v>
      </c>
      <c r="S3" s="108" t="s">
        <v>344</v>
      </c>
      <c r="T3" s="108" t="s">
        <v>345</v>
      </c>
      <c r="U3" s="108" t="s">
        <v>346</v>
      </c>
      <c r="V3" s="109" t="s">
        <v>347</v>
      </c>
      <c r="W3" s="89" t="s">
        <v>316</v>
      </c>
      <c r="X3" s="90" t="s">
        <v>317</v>
      </c>
      <c r="Y3" s="91" t="s">
        <v>318</v>
      </c>
      <c r="Z3" s="46" t="s">
        <v>331</v>
      </c>
      <c r="AA3" s="37" t="s">
        <v>319</v>
      </c>
      <c r="AB3" s="38" t="s">
        <v>320</v>
      </c>
      <c r="AC3" s="38" t="s">
        <v>321</v>
      </c>
      <c r="AD3" s="37" t="s">
        <v>322</v>
      </c>
      <c r="AE3" s="37" t="s">
        <v>323</v>
      </c>
      <c r="AF3" s="38" t="s">
        <v>324</v>
      </c>
      <c r="AG3" s="37" t="s">
        <v>325</v>
      </c>
      <c r="AH3" s="37" t="s">
        <v>326</v>
      </c>
      <c r="AI3" s="38" t="s">
        <v>327</v>
      </c>
      <c r="AJ3" s="37" t="s">
        <v>328</v>
      </c>
      <c r="AK3" s="37" t="s">
        <v>329</v>
      </c>
      <c r="AL3" s="50" t="s">
        <v>16</v>
      </c>
      <c r="AM3" s="18" t="s">
        <v>17</v>
      </c>
      <c r="AN3" s="18" t="s">
        <v>18</v>
      </c>
      <c r="AO3" s="18" t="s">
        <v>19</v>
      </c>
      <c r="AP3" s="18" t="s">
        <v>20</v>
      </c>
      <c r="AQ3" s="18" t="s">
        <v>21</v>
      </c>
      <c r="AR3" s="18" t="s">
        <v>22</v>
      </c>
      <c r="AS3" s="18" t="s">
        <v>23</v>
      </c>
      <c r="AT3" s="18" t="s">
        <v>24</v>
      </c>
      <c r="AU3" s="21" t="s">
        <v>25</v>
      </c>
      <c r="AV3" s="21" t="s">
        <v>26</v>
      </c>
      <c r="AW3" s="18" t="s">
        <v>27</v>
      </c>
      <c r="AX3" s="21" t="s">
        <v>28</v>
      </c>
      <c r="BC3" s="5" t="s">
        <v>393</v>
      </c>
    </row>
    <row r="4" spans="1:55">
      <c r="A4" s="132"/>
      <c r="B4" s="53">
        <v>1</v>
      </c>
      <c r="C4" s="138" t="s">
        <v>29</v>
      </c>
      <c r="D4" s="53" t="s">
        <v>30</v>
      </c>
      <c r="E4" s="53" t="s">
        <v>290</v>
      </c>
      <c r="F4" s="52" t="s">
        <v>31</v>
      </c>
      <c r="G4" s="52"/>
      <c r="H4" s="53" t="s">
        <v>32</v>
      </c>
      <c r="I4" s="53" t="s">
        <v>33</v>
      </c>
      <c r="J4" s="53" t="s">
        <v>34</v>
      </c>
      <c r="K4" s="53" t="s">
        <v>35</v>
      </c>
      <c r="L4" s="22" t="s">
        <v>36</v>
      </c>
      <c r="M4" s="23" t="s">
        <v>37</v>
      </c>
      <c r="N4" s="24" t="s">
        <v>38</v>
      </c>
      <c r="O4" s="25">
        <f t="shared" ref="O4:O68" si="0">+AL4+AI4+AF4+AC4+Z4+W4</f>
        <v>800166.2</v>
      </c>
      <c r="P4" s="14" t="e">
        <f>+O4*#REF!</f>
        <v>#REF!</v>
      </c>
      <c r="Q4" s="32">
        <f>43333/5*1</f>
        <v>8666.6</v>
      </c>
      <c r="R4" s="110">
        <f t="shared" ref="R4:R42" si="1">+SUM(S4:V4)</f>
        <v>0</v>
      </c>
      <c r="S4" s="111"/>
      <c r="T4" s="111"/>
      <c r="U4" s="111"/>
      <c r="V4" s="112"/>
      <c r="W4" s="104">
        <f t="shared" ref="W4:W68" si="2">+X4+Y4</f>
        <v>17333.2</v>
      </c>
      <c r="X4" s="93">
        <v>0</v>
      </c>
      <c r="Y4" s="94">
        <f>43333/5*2</f>
        <v>17333.2</v>
      </c>
      <c r="Z4" s="27">
        <f t="shared" ref="Z4:Z67" si="3">+AA4+AB4</f>
        <v>17333</v>
      </c>
      <c r="AA4" s="28"/>
      <c r="AB4" s="56">
        <v>17333</v>
      </c>
      <c r="AC4" s="49">
        <f t="shared" ref="AC4:AC52" si="4">+AD4+AE4</f>
        <v>229000</v>
      </c>
      <c r="AD4" s="29">
        <v>133667</v>
      </c>
      <c r="AE4" s="57">
        <v>95333</v>
      </c>
      <c r="AF4" s="49">
        <f t="shared" ref="AF4:AF52" si="5">+AG4+AH4</f>
        <v>0</v>
      </c>
      <c r="AG4" s="29">
        <v>0</v>
      </c>
      <c r="AH4" s="57">
        <v>0</v>
      </c>
      <c r="AI4" s="49">
        <f t="shared" ref="AI4:AI52" si="6">+AJ4+AK4</f>
        <v>0</v>
      </c>
      <c r="AJ4" s="29">
        <v>0</v>
      </c>
      <c r="AK4" s="57">
        <v>0</v>
      </c>
      <c r="AL4" s="51">
        <v>536500</v>
      </c>
      <c r="AM4" s="58">
        <v>42185</v>
      </c>
      <c r="AN4" s="2">
        <v>100000</v>
      </c>
      <c r="AO4" s="2" t="s">
        <v>176</v>
      </c>
      <c r="AP4" s="14"/>
      <c r="AS4" s="4"/>
      <c r="AT4" s="30" t="s">
        <v>39</v>
      </c>
      <c r="AU4" s="2"/>
      <c r="AV4" s="2">
        <v>43333</v>
      </c>
      <c r="AW4" s="14" t="e">
        <f>AU4-#REF!-#REF!-Q4+AV4</f>
        <v>#REF!</v>
      </c>
      <c r="AX4" s="59"/>
    </row>
    <row r="5" spans="1:55">
      <c r="A5" s="133"/>
      <c r="B5" s="53">
        <v>2</v>
      </c>
      <c r="C5" s="138" t="s">
        <v>40</v>
      </c>
      <c r="D5" s="53" t="s">
        <v>41</v>
      </c>
      <c r="E5" s="53" t="s">
        <v>290</v>
      </c>
      <c r="F5" s="52" t="s">
        <v>42</v>
      </c>
      <c r="G5" s="52"/>
      <c r="H5" s="53" t="s">
        <v>311</v>
      </c>
      <c r="I5" s="53" t="s">
        <v>33</v>
      </c>
      <c r="J5" s="53" t="s">
        <v>43</v>
      </c>
      <c r="K5" s="1" t="s">
        <v>35</v>
      </c>
      <c r="L5" s="22" t="s">
        <v>36</v>
      </c>
      <c r="M5" s="23" t="s">
        <v>37</v>
      </c>
      <c r="N5" s="24" t="s">
        <v>44</v>
      </c>
      <c r="O5" s="25">
        <f t="shared" si="0"/>
        <v>538000</v>
      </c>
      <c r="P5" s="14" t="e">
        <f>+O5*#REF!</f>
        <v>#REF!</v>
      </c>
      <c r="Q5" s="14"/>
      <c r="R5" s="110">
        <f t="shared" si="1"/>
        <v>0</v>
      </c>
      <c r="S5" s="111"/>
      <c r="T5" s="111"/>
      <c r="U5" s="111"/>
      <c r="V5" s="112"/>
      <c r="W5" s="104">
        <f t="shared" si="2"/>
        <v>0</v>
      </c>
      <c r="X5" s="93">
        <v>0</v>
      </c>
      <c r="Y5" s="94">
        <v>0</v>
      </c>
      <c r="Z5" s="27">
        <f t="shared" si="3"/>
        <v>0</v>
      </c>
      <c r="AA5" s="28"/>
      <c r="AB5" s="60"/>
      <c r="AC5" s="49">
        <f t="shared" si="4"/>
        <v>0</v>
      </c>
      <c r="AD5" s="29">
        <v>0</v>
      </c>
      <c r="AE5" s="57">
        <v>0</v>
      </c>
      <c r="AF5" s="49">
        <f t="shared" si="5"/>
        <v>67500</v>
      </c>
      <c r="AG5" s="57">
        <v>27500</v>
      </c>
      <c r="AH5" s="57">
        <v>40000</v>
      </c>
      <c r="AI5" s="49">
        <f t="shared" si="6"/>
        <v>164500</v>
      </c>
      <c r="AJ5" s="29">
        <f>72000+34500</f>
        <v>106500</v>
      </c>
      <c r="AK5" s="57">
        <f>23000+17500+17500</f>
        <v>58000</v>
      </c>
      <c r="AL5" s="51">
        <f>198000+108000</f>
        <v>306000</v>
      </c>
      <c r="AM5" s="61">
        <v>41974</v>
      </c>
      <c r="AN5" s="2">
        <v>52000</v>
      </c>
      <c r="AO5" s="2" t="s">
        <v>176</v>
      </c>
      <c r="AP5" s="14"/>
      <c r="AS5" s="1"/>
      <c r="AT5" s="1"/>
      <c r="AU5" s="2"/>
      <c r="AV5" s="2"/>
      <c r="AW5" s="14" t="e">
        <f>AU5-#REF!-#REF!-Q5+AV5</f>
        <v>#REF!</v>
      </c>
      <c r="AX5" s="59"/>
    </row>
    <row r="6" spans="1:55">
      <c r="A6" s="134"/>
      <c r="B6" s="53">
        <v>3</v>
      </c>
      <c r="C6" s="138" t="s">
        <v>45</v>
      </c>
      <c r="D6" s="53" t="s">
        <v>46</v>
      </c>
      <c r="E6" s="53" t="s">
        <v>293</v>
      </c>
      <c r="F6" s="52" t="s">
        <v>47</v>
      </c>
      <c r="G6" s="52" t="s">
        <v>48</v>
      </c>
      <c r="H6" s="53" t="s">
        <v>49</v>
      </c>
      <c r="I6" s="53" t="s">
        <v>50</v>
      </c>
      <c r="J6" s="53" t="s">
        <v>43</v>
      </c>
      <c r="K6" s="53" t="s">
        <v>51</v>
      </c>
      <c r="L6" s="62" t="s">
        <v>52</v>
      </c>
      <c r="M6" s="63" t="s">
        <v>37</v>
      </c>
      <c r="N6" s="24" t="s">
        <v>53</v>
      </c>
      <c r="O6" s="25">
        <f>+AL6+AI6+AF6+AC6+Z6+W6</f>
        <v>1107800.3333333333</v>
      </c>
      <c r="P6" s="14" t="e">
        <f>+O6*#REF!</f>
        <v>#REF!</v>
      </c>
      <c r="Q6" s="32">
        <f>(45000/12*2) + (28000/12*2)</f>
        <v>12166.666666666668</v>
      </c>
      <c r="R6" s="110">
        <f t="shared" si="1"/>
        <v>11333</v>
      </c>
      <c r="S6" s="111"/>
      <c r="T6" s="111"/>
      <c r="U6" s="111"/>
      <c r="V6" s="111">
        <v>11333</v>
      </c>
      <c r="W6" s="104">
        <f t="shared" si="2"/>
        <v>89000.333333333343</v>
      </c>
      <c r="X6" s="93">
        <v>0</v>
      </c>
      <c r="Y6" s="94">
        <f>(21000+750*2) + (45000/12*10) + (28000/12*10) + 5667</f>
        <v>89000.333333333343</v>
      </c>
      <c r="Z6" s="27">
        <f t="shared" si="3"/>
        <v>126500</v>
      </c>
      <c r="AA6" s="29"/>
      <c r="AB6" s="64">
        <f>119000+9000/12*10</f>
        <v>126500</v>
      </c>
      <c r="AC6" s="49">
        <f t="shared" si="4"/>
        <v>99600</v>
      </c>
      <c r="AD6" s="29">
        <v>0</v>
      </c>
      <c r="AE6" s="57">
        <v>99600</v>
      </c>
      <c r="AF6" s="49">
        <f t="shared" si="5"/>
        <v>180700</v>
      </c>
      <c r="AG6" s="29">
        <v>49500</v>
      </c>
      <c r="AH6" s="57">
        <v>131200</v>
      </c>
      <c r="AI6" s="49">
        <f t="shared" si="6"/>
        <v>216000</v>
      </c>
      <c r="AJ6" s="29">
        <v>216000</v>
      </c>
      <c r="AK6" s="57">
        <v>0</v>
      </c>
      <c r="AL6" s="51">
        <v>396000</v>
      </c>
      <c r="AM6" s="61">
        <v>41729</v>
      </c>
      <c r="AN6" s="2">
        <v>89000</v>
      </c>
      <c r="AO6" s="2" t="s">
        <v>54</v>
      </c>
      <c r="AP6" s="14"/>
      <c r="AS6" s="1"/>
      <c r="AT6" s="1"/>
      <c r="AU6" s="2"/>
      <c r="AV6" s="2"/>
      <c r="AW6" s="14" t="e">
        <f>AU6-#REF!-#REF!-Q6+AV6</f>
        <v>#REF!</v>
      </c>
      <c r="AX6" s="59"/>
    </row>
    <row r="7" spans="1:55">
      <c r="A7" s="132"/>
      <c r="B7" s="53">
        <v>4</v>
      </c>
      <c r="C7" s="138" t="s">
        <v>56</v>
      </c>
      <c r="D7" s="53" t="s">
        <v>57</v>
      </c>
      <c r="E7" s="53" t="s">
        <v>294</v>
      </c>
      <c r="F7" s="52" t="s">
        <v>58</v>
      </c>
      <c r="G7" s="52"/>
      <c r="H7" s="53" t="s">
        <v>59</v>
      </c>
      <c r="I7" s="53" t="s">
        <v>33</v>
      </c>
      <c r="J7" s="53" t="s">
        <v>43</v>
      </c>
      <c r="K7" s="1" t="s">
        <v>35</v>
      </c>
      <c r="L7" s="22" t="s">
        <v>36</v>
      </c>
      <c r="M7" s="23">
        <v>50</v>
      </c>
      <c r="N7" s="24" t="s">
        <v>53</v>
      </c>
      <c r="O7" s="25">
        <f t="shared" si="0"/>
        <v>794000</v>
      </c>
      <c r="P7" s="14" t="e">
        <f>+O7*#REF!</f>
        <v>#REF!</v>
      </c>
      <c r="Q7" s="14"/>
      <c r="R7" s="110">
        <f t="shared" si="1"/>
        <v>0</v>
      </c>
      <c r="S7" s="111"/>
      <c r="T7" s="111"/>
      <c r="U7" s="111"/>
      <c r="V7" s="112"/>
      <c r="W7" s="104">
        <f t="shared" si="2"/>
        <v>63000</v>
      </c>
      <c r="X7" s="92">
        <v>22000</v>
      </c>
      <c r="Y7" s="94">
        <v>41000</v>
      </c>
      <c r="Z7" s="27">
        <f t="shared" si="3"/>
        <v>156000</v>
      </c>
      <c r="AA7" s="29">
        <v>115000</v>
      </c>
      <c r="AB7" s="56">
        <v>41000</v>
      </c>
      <c r="AC7" s="49">
        <f t="shared" si="4"/>
        <v>0</v>
      </c>
      <c r="AD7" s="29">
        <v>0</v>
      </c>
      <c r="AE7" s="57">
        <v>0</v>
      </c>
      <c r="AF7" s="49">
        <f t="shared" si="5"/>
        <v>41000</v>
      </c>
      <c r="AG7" s="29">
        <v>0</v>
      </c>
      <c r="AH7" s="57">
        <v>41000</v>
      </c>
      <c r="AI7" s="49">
        <f t="shared" si="6"/>
        <v>83000</v>
      </c>
      <c r="AJ7" s="29">
        <v>41000</v>
      </c>
      <c r="AK7" s="57">
        <v>42000</v>
      </c>
      <c r="AL7" s="51">
        <f>410000+41000</f>
        <v>451000</v>
      </c>
      <c r="AM7" s="58">
        <v>42003</v>
      </c>
      <c r="AN7" s="59">
        <v>41000</v>
      </c>
      <c r="AO7" s="59" t="s">
        <v>54</v>
      </c>
      <c r="AP7" s="14"/>
      <c r="AS7" s="1"/>
      <c r="AT7" s="1" t="s">
        <v>105</v>
      </c>
      <c r="AU7" s="2">
        <v>20714</v>
      </c>
      <c r="AV7" s="2"/>
      <c r="AW7" s="14" t="e">
        <f>AU7-#REF!-#REF!-Q7+AV7</f>
        <v>#REF!</v>
      </c>
      <c r="AX7" s="59"/>
      <c r="AY7" s="1"/>
      <c r="AZ7" s="2"/>
    </row>
    <row r="8" spans="1:55">
      <c r="A8" s="133"/>
      <c r="B8" s="53">
        <v>6</v>
      </c>
      <c r="C8" s="138" t="s">
        <v>60</v>
      </c>
      <c r="D8" s="53" t="s">
        <v>61</v>
      </c>
      <c r="E8" s="53" t="s">
        <v>292</v>
      </c>
      <c r="F8" s="52" t="s">
        <v>62</v>
      </c>
      <c r="G8" s="52" t="s">
        <v>63</v>
      </c>
      <c r="H8" s="53" t="s">
        <v>60</v>
      </c>
      <c r="I8" s="53" t="s">
        <v>64</v>
      </c>
      <c r="J8" s="53" t="s">
        <v>43</v>
      </c>
      <c r="K8" s="1" t="s">
        <v>35</v>
      </c>
      <c r="L8" s="4" t="s">
        <v>188</v>
      </c>
      <c r="M8" s="23">
        <v>300</v>
      </c>
      <c r="N8" s="24" t="s">
        <v>65</v>
      </c>
      <c r="O8" s="25">
        <f t="shared" si="0"/>
        <v>1796050</v>
      </c>
      <c r="P8" s="14" t="e">
        <f>+O8*#REF!</f>
        <v>#REF!</v>
      </c>
      <c r="Q8" s="36">
        <v>140000</v>
      </c>
      <c r="R8" s="110">
        <f t="shared" si="1"/>
        <v>0</v>
      </c>
      <c r="S8" s="111"/>
      <c r="T8" s="111"/>
      <c r="U8" s="111"/>
      <c r="V8" s="112"/>
      <c r="W8" s="104">
        <f t="shared" si="2"/>
        <v>74800</v>
      </c>
      <c r="X8" s="96">
        <v>74800</v>
      </c>
      <c r="Y8" s="94"/>
      <c r="Z8" s="27">
        <f t="shared" si="3"/>
        <v>961250</v>
      </c>
      <c r="AA8" s="29">
        <f>861250+25000</f>
        <v>886250</v>
      </c>
      <c r="AB8" s="64">
        <v>75000</v>
      </c>
      <c r="AC8" s="49">
        <f t="shared" si="4"/>
        <v>0</v>
      </c>
      <c r="AD8" s="29">
        <v>0</v>
      </c>
      <c r="AE8" s="57">
        <v>0</v>
      </c>
      <c r="AF8" s="49">
        <f t="shared" si="5"/>
        <v>100000</v>
      </c>
      <c r="AG8" s="57">
        <v>65000</v>
      </c>
      <c r="AH8" s="57">
        <v>35000</v>
      </c>
      <c r="AI8" s="49">
        <f t="shared" si="6"/>
        <v>260000</v>
      </c>
      <c r="AJ8" s="29">
        <v>208000</v>
      </c>
      <c r="AK8" s="57">
        <v>52000</v>
      </c>
      <c r="AL8" s="51">
        <f>250000+150000</f>
        <v>400000</v>
      </c>
      <c r="AM8" s="61">
        <v>41974</v>
      </c>
      <c r="AN8" s="2">
        <v>140000</v>
      </c>
      <c r="AO8" s="2" t="s">
        <v>54</v>
      </c>
      <c r="AP8" s="14"/>
      <c r="AW8" s="14" t="e">
        <f>AU8-#REF!-#REF!-Q8+AV8</f>
        <v>#REF!</v>
      </c>
      <c r="AX8" s="59"/>
      <c r="AY8" s="1"/>
      <c r="AZ8" s="2"/>
    </row>
    <row r="9" spans="1:55" ht="31.5">
      <c r="A9" s="134"/>
      <c r="B9" s="53">
        <v>8</v>
      </c>
      <c r="C9" s="138" t="s">
        <v>67</v>
      </c>
      <c r="D9" s="53" t="s">
        <v>30</v>
      </c>
      <c r="E9" s="53" t="s">
        <v>290</v>
      </c>
      <c r="F9" s="52" t="s">
        <v>68</v>
      </c>
      <c r="G9" s="52"/>
      <c r="H9" s="53" t="s">
        <v>69</v>
      </c>
      <c r="I9" s="53" t="s">
        <v>33</v>
      </c>
      <c r="J9" s="53" t="s">
        <v>70</v>
      </c>
      <c r="K9" s="66" t="s">
        <v>35</v>
      </c>
      <c r="L9" s="53" t="s">
        <v>71</v>
      </c>
      <c r="M9" s="67">
        <v>80</v>
      </c>
      <c r="N9" s="24" t="s">
        <v>65</v>
      </c>
      <c r="O9" s="25">
        <f t="shared" si="0"/>
        <v>543250</v>
      </c>
      <c r="P9" s="14" t="e">
        <f>+O9*#REF!</f>
        <v>#REF!</v>
      </c>
      <c r="Q9" s="14"/>
      <c r="R9" s="110">
        <f t="shared" si="1"/>
        <v>0</v>
      </c>
      <c r="S9" s="111"/>
      <c r="T9" s="111"/>
      <c r="U9" s="111"/>
      <c r="V9" s="112"/>
      <c r="W9" s="104">
        <f t="shared" si="2"/>
        <v>45000</v>
      </c>
      <c r="X9" s="93">
        <v>0</v>
      </c>
      <c r="Y9" s="97">
        <v>45000</v>
      </c>
      <c r="Z9" s="27">
        <f t="shared" si="3"/>
        <v>45000</v>
      </c>
      <c r="AA9" s="31"/>
      <c r="AB9" s="64">
        <v>45000</v>
      </c>
      <c r="AC9" s="49">
        <f t="shared" si="4"/>
        <v>0</v>
      </c>
      <c r="AD9" s="29">
        <v>0</v>
      </c>
      <c r="AE9" s="57">
        <v>0</v>
      </c>
      <c r="AF9" s="49">
        <f t="shared" si="5"/>
        <v>50000</v>
      </c>
      <c r="AG9" s="29">
        <v>0</v>
      </c>
      <c r="AH9" s="57">
        <v>50000</v>
      </c>
      <c r="AI9" s="49">
        <f t="shared" si="6"/>
        <v>85000</v>
      </c>
      <c r="AJ9" s="29">
        <v>69000</v>
      </c>
      <c r="AK9" s="57">
        <v>16000</v>
      </c>
      <c r="AL9" s="51">
        <f>305000+13250</f>
        <v>318250</v>
      </c>
      <c r="AM9" s="61">
        <v>41638</v>
      </c>
      <c r="AN9" s="2">
        <v>50000</v>
      </c>
      <c r="AO9" s="2" t="s">
        <v>54</v>
      </c>
      <c r="AP9" s="14"/>
      <c r="AS9" s="1"/>
      <c r="AT9" s="1" t="s">
        <v>55</v>
      </c>
      <c r="AU9" s="2">
        <f>140000+9000</f>
        <v>149000</v>
      </c>
      <c r="AV9" s="2"/>
      <c r="AW9" s="14" t="e">
        <f>AU9-#REF!-#REF!-Q9+AV9</f>
        <v>#REF!</v>
      </c>
      <c r="AX9" s="59"/>
      <c r="AY9" s="1"/>
      <c r="AZ9" s="2"/>
    </row>
    <row r="10" spans="1:55">
      <c r="A10" s="132"/>
      <c r="B10" s="53">
        <v>9</v>
      </c>
      <c r="C10" s="135" t="s">
        <v>72</v>
      </c>
      <c r="D10" s="53" t="s">
        <v>73</v>
      </c>
      <c r="E10" s="53" t="s">
        <v>293</v>
      </c>
      <c r="F10" s="52" t="s">
        <v>74</v>
      </c>
      <c r="G10" s="52" t="s">
        <v>75</v>
      </c>
      <c r="H10" s="53" t="s">
        <v>72</v>
      </c>
      <c r="I10" s="53" t="s">
        <v>50</v>
      </c>
      <c r="J10" s="53" t="s">
        <v>43</v>
      </c>
      <c r="K10" s="1" t="s">
        <v>76</v>
      </c>
      <c r="L10" s="1" t="s">
        <v>77</v>
      </c>
      <c r="M10" s="23">
        <v>30</v>
      </c>
      <c r="N10" s="24" t="s">
        <v>65</v>
      </c>
      <c r="O10" s="25">
        <f t="shared" si="0"/>
        <v>579123</v>
      </c>
      <c r="P10" s="14" t="e">
        <f>+O10*#REF!</f>
        <v>#REF!</v>
      </c>
      <c r="Q10" s="14"/>
      <c r="R10" s="110">
        <f t="shared" si="1"/>
        <v>77000</v>
      </c>
      <c r="S10" s="111"/>
      <c r="T10" s="111"/>
      <c r="U10" s="111"/>
      <c r="V10" s="112">
        <v>77000</v>
      </c>
      <c r="W10" s="104">
        <f t="shared" si="2"/>
        <v>0</v>
      </c>
      <c r="X10" s="93">
        <v>0</v>
      </c>
      <c r="Y10" s="95"/>
      <c r="Z10" s="27">
        <f t="shared" si="3"/>
        <v>77000</v>
      </c>
      <c r="AA10" s="29"/>
      <c r="AB10" s="64">
        <f>38500*2</f>
        <v>77000</v>
      </c>
      <c r="AC10" s="49">
        <f t="shared" si="4"/>
        <v>0</v>
      </c>
      <c r="AD10" s="29">
        <v>0</v>
      </c>
      <c r="AE10" s="57">
        <v>0</v>
      </c>
      <c r="AF10" s="49">
        <f t="shared" si="5"/>
        <v>102123</v>
      </c>
      <c r="AG10" s="29">
        <f>52123</f>
        <v>52123</v>
      </c>
      <c r="AH10" s="57">
        <v>50000</v>
      </c>
      <c r="AI10" s="49">
        <f t="shared" si="6"/>
        <v>10000</v>
      </c>
      <c r="AJ10" s="29">
        <f>10000</f>
        <v>10000</v>
      </c>
      <c r="AK10" s="57">
        <v>0</v>
      </c>
      <c r="AL10" s="51">
        <v>390000</v>
      </c>
      <c r="AM10" s="61">
        <v>41638</v>
      </c>
      <c r="AN10" s="2">
        <v>77000</v>
      </c>
      <c r="AO10" s="2" t="s">
        <v>54</v>
      </c>
      <c r="AP10" s="14"/>
      <c r="AS10" s="1"/>
      <c r="AT10" s="1" t="s">
        <v>210</v>
      </c>
      <c r="AU10" s="2">
        <v>29425</v>
      </c>
      <c r="AV10" s="2"/>
      <c r="AW10" s="14" t="e">
        <f>AU10-#REF!-#REF!-Q10+AV10</f>
        <v>#REF!</v>
      </c>
      <c r="AX10" s="59"/>
      <c r="AY10" s="1"/>
      <c r="AZ10" s="2"/>
    </row>
    <row r="11" spans="1:55">
      <c r="A11" s="133"/>
      <c r="B11" s="53">
        <v>10</v>
      </c>
      <c r="C11" s="138" t="s">
        <v>79</v>
      </c>
      <c r="D11" s="53" t="s">
        <v>30</v>
      </c>
      <c r="E11" s="53" t="s">
        <v>290</v>
      </c>
      <c r="F11" s="52" t="s">
        <v>80</v>
      </c>
      <c r="G11" s="52"/>
      <c r="H11" s="53" t="s">
        <v>81</v>
      </c>
      <c r="I11" s="53" t="s">
        <v>33</v>
      </c>
      <c r="J11" s="53" t="s">
        <v>43</v>
      </c>
      <c r="K11" s="1" t="s">
        <v>51</v>
      </c>
      <c r="L11" s="22" t="s">
        <v>36</v>
      </c>
      <c r="M11" s="23" t="s">
        <v>82</v>
      </c>
      <c r="N11" s="24" t="s">
        <v>65</v>
      </c>
      <c r="O11" s="25">
        <f t="shared" si="0"/>
        <v>716297.96</v>
      </c>
      <c r="P11" s="14" t="e">
        <f>+O11*#REF!</f>
        <v>#REF!</v>
      </c>
      <c r="Q11" s="14"/>
      <c r="R11" s="110">
        <f t="shared" si="1"/>
        <v>97561.48</v>
      </c>
      <c r="S11" s="111"/>
      <c r="T11" s="111"/>
      <c r="U11" s="111"/>
      <c r="V11" s="112">
        <f>27561.48+70000</f>
        <v>97561.48</v>
      </c>
      <c r="W11" s="104">
        <f t="shared" si="2"/>
        <v>82683.48</v>
      </c>
      <c r="X11" s="93">
        <v>0</v>
      </c>
      <c r="Y11" s="97">
        <f>27561+27561+27561.48</f>
        <v>82683.48</v>
      </c>
      <c r="Z11" s="27">
        <f t="shared" si="3"/>
        <v>27561.48</v>
      </c>
      <c r="AA11" s="29"/>
      <c r="AB11" s="127">
        <v>27561.48</v>
      </c>
      <c r="AC11" s="49">
        <f t="shared" si="4"/>
        <v>197720</v>
      </c>
      <c r="AD11" s="29">
        <v>197720</v>
      </c>
      <c r="AE11" s="57">
        <v>0</v>
      </c>
      <c r="AF11" s="49">
        <f t="shared" si="5"/>
        <v>33333</v>
      </c>
      <c r="AG11" s="29">
        <v>0</v>
      </c>
      <c r="AH11" s="57">
        <v>33333</v>
      </c>
      <c r="AI11" s="49">
        <f t="shared" si="6"/>
        <v>0</v>
      </c>
      <c r="AJ11" s="29">
        <v>0</v>
      </c>
      <c r="AK11" s="57">
        <v>0</v>
      </c>
      <c r="AL11" s="51">
        <v>375000</v>
      </c>
      <c r="AM11" s="61">
        <v>42003</v>
      </c>
      <c r="AN11" s="2">
        <v>90000</v>
      </c>
      <c r="AO11" s="2" t="s">
        <v>54</v>
      </c>
      <c r="AP11" s="14"/>
      <c r="AS11" s="1"/>
      <c r="AT11" s="30" t="s">
        <v>39</v>
      </c>
      <c r="AU11" s="2"/>
      <c r="AV11" s="2">
        <v>41000</v>
      </c>
      <c r="AW11" s="14" t="e">
        <f>AU11-#REF!-#REF!-Q11+AV11</f>
        <v>#REF!</v>
      </c>
      <c r="AX11" s="59"/>
      <c r="AY11" s="1"/>
      <c r="AZ11" s="2"/>
    </row>
    <row r="12" spans="1:55">
      <c r="A12" s="134"/>
      <c r="B12" s="53">
        <v>11</v>
      </c>
      <c r="C12" s="138" t="s">
        <v>83</v>
      </c>
      <c r="D12" s="53" t="s">
        <v>57</v>
      </c>
      <c r="E12" s="53" t="s">
        <v>294</v>
      </c>
      <c r="F12" s="52" t="s">
        <v>84</v>
      </c>
      <c r="G12" s="52"/>
      <c r="H12" s="53" t="s">
        <v>85</v>
      </c>
      <c r="I12" s="53" t="s">
        <v>33</v>
      </c>
      <c r="J12" s="53" t="s">
        <v>43</v>
      </c>
      <c r="K12" s="1" t="s">
        <v>51</v>
      </c>
      <c r="L12" s="22" t="s">
        <v>36</v>
      </c>
      <c r="M12" s="23">
        <v>50</v>
      </c>
      <c r="N12" s="24" t="s">
        <v>65</v>
      </c>
      <c r="O12" s="25">
        <f t="shared" si="0"/>
        <v>947000</v>
      </c>
      <c r="P12" s="14" t="e">
        <f>+O12*#REF!</f>
        <v>#REF!</v>
      </c>
      <c r="Q12" s="14"/>
      <c r="R12" s="110">
        <f t="shared" si="1"/>
        <v>0</v>
      </c>
      <c r="S12" s="111"/>
      <c r="T12" s="111"/>
      <c r="U12" s="111"/>
      <c r="V12" s="112"/>
      <c r="W12" s="104">
        <f t="shared" si="2"/>
        <v>64000</v>
      </c>
      <c r="X12" s="93">
        <v>0</v>
      </c>
      <c r="Y12" s="94">
        <v>64000</v>
      </c>
      <c r="Z12" s="27">
        <f t="shared" si="3"/>
        <v>64000</v>
      </c>
      <c r="AA12" s="29"/>
      <c r="AB12" s="64">
        <v>64000</v>
      </c>
      <c r="AC12" s="49">
        <f t="shared" si="4"/>
        <v>116000</v>
      </c>
      <c r="AD12" s="29">
        <v>116000</v>
      </c>
      <c r="AE12" s="57">
        <v>0</v>
      </c>
      <c r="AF12" s="49">
        <f t="shared" si="5"/>
        <v>91000</v>
      </c>
      <c r="AG12" s="29">
        <v>32000</v>
      </c>
      <c r="AH12" s="57">
        <v>59000</v>
      </c>
      <c r="AI12" s="49">
        <f t="shared" si="6"/>
        <v>192000</v>
      </c>
      <c r="AJ12" s="29">
        <v>150000</v>
      </c>
      <c r="AK12" s="57">
        <v>42000</v>
      </c>
      <c r="AL12" s="51">
        <v>420000</v>
      </c>
      <c r="AM12" s="58">
        <v>42003</v>
      </c>
      <c r="AN12" s="59">
        <v>64000</v>
      </c>
      <c r="AO12" s="59" t="s">
        <v>176</v>
      </c>
      <c r="AP12" s="14"/>
      <c r="AS12" s="1"/>
      <c r="AT12" s="1"/>
      <c r="AU12" s="2"/>
      <c r="AV12" s="2"/>
      <c r="AW12" s="14" t="e">
        <f>AU12-#REF!-#REF!-Q12+AV12</f>
        <v>#REF!</v>
      </c>
      <c r="AX12" s="59"/>
    </row>
    <row r="13" spans="1:55">
      <c r="A13" s="132"/>
      <c r="B13" s="53">
        <v>13</v>
      </c>
      <c r="C13" s="138" t="s">
        <v>87</v>
      </c>
      <c r="D13" s="53" t="s">
        <v>30</v>
      </c>
      <c r="E13" s="53" t="s">
        <v>290</v>
      </c>
      <c r="F13" s="52" t="s">
        <v>88</v>
      </c>
      <c r="G13" s="52" t="s">
        <v>89</v>
      </c>
      <c r="H13" s="53" t="s">
        <v>90</v>
      </c>
      <c r="I13" s="53" t="s">
        <v>33</v>
      </c>
      <c r="J13" s="53" t="s">
        <v>34</v>
      </c>
      <c r="K13" s="1" t="s">
        <v>35</v>
      </c>
      <c r="L13" s="22" t="s">
        <v>36</v>
      </c>
      <c r="M13" s="23">
        <v>20</v>
      </c>
      <c r="N13" s="24" t="s">
        <v>91</v>
      </c>
      <c r="O13" s="25">
        <f>+AL13+AI13+AF13+AC13+Z13+W13</f>
        <v>437271.68</v>
      </c>
      <c r="P13" s="14" t="e">
        <f>+O13*#REF!</f>
        <v>#REF!</v>
      </c>
      <c r="Q13" s="32">
        <v>45057.17</v>
      </c>
      <c r="R13" s="110">
        <f t="shared" si="1"/>
        <v>0</v>
      </c>
      <c r="S13" s="111"/>
      <c r="T13" s="111"/>
      <c r="U13" s="111"/>
      <c r="V13" s="112"/>
      <c r="W13" s="104">
        <f t="shared" si="2"/>
        <v>45057.17</v>
      </c>
      <c r="X13" s="93">
        <v>0</v>
      </c>
      <c r="Y13" s="97">
        <v>45057.17</v>
      </c>
      <c r="Z13" s="27">
        <f t="shared" si="3"/>
        <v>133709.51</v>
      </c>
      <c r="AA13" s="31">
        <v>103671.4</v>
      </c>
      <c r="AB13" s="56">
        <v>30038.11</v>
      </c>
      <c r="AC13" s="49">
        <f t="shared" si="4"/>
        <v>25000</v>
      </c>
      <c r="AD13" s="29">
        <v>0</v>
      </c>
      <c r="AE13" s="57">
        <v>25000</v>
      </c>
      <c r="AF13" s="49">
        <f t="shared" si="5"/>
        <v>65505</v>
      </c>
      <c r="AG13" s="57">
        <v>65505</v>
      </c>
      <c r="AH13" s="57">
        <v>0</v>
      </c>
      <c r="AI13" s="49">
        <f t="shared" si="6"/>
        <v>168000</v>
      </c>
      <c r="AJ13" s="57">
        <f>218000-50000</f>
        <v>168000</v>
      </c>
      <c r="AK13" s="57">
        <v>0</v>
      </c>
      <c r="AL13" s="51">
        <v>0</v>
      </c>
      <c r="AM13" s="58">
        <v>42461</v>
      </c>
      <c r="AN13" s="59">
        <v>50000</v>
      </c>
      <c r="AO13" s="59" t="s">
        <v>54</v>
      </c>
      <c r="AP13" s="14"/>
      <c r="AS13" s="1"/>
      <c r="AT13" s="1" t="s">
        <v>66</v>
      </c>
      <c r="AU13" s="2">
        <v>100000</v>
      </c>
      <c r="AV13" s="2"/>
      <c r="AW13" s="14" t="e">
        <f>AU13-#REF!-#REF!-Q13+AV13</f>
        <v>#REF!</v>
      </c>
      <c r="AX13" s="59"/>
    </row>
    <row r="14" spans="1:55">
      <c r="A14" s="133"/>
      <c r="B14" s="53">
        <v>14</v>
      </c>
      <c r="C14" s="135" t="s">
        <v>93</v>
      </c>
      <c r="D14" s="53" t="s">
        <v>94</v>
      </c>
      <c r="E14" s="53" t="s">
        <v>292</v>
      </c>
      <c r="F14" s="52" t="s">
        <v>95</v>
      </c>
      <c r="G14" s="52"/>
      <c r="H14" s="53" t="s">
        <v>96</v>
      </c>
      <c r="I14" s="53" t="s">
        <v>64</v>
      </c>
      <c r="J14" s="53" t="s">
        <v>43</v>
      </c>
      <c r="K14" s="1" t="s">
        <v>51</v>
      </c>
      <c r="L14" s="33" t="s">
        <v>97</v>
      </c>
      <c r="M14" s="34">
        <v>50</v>
      </c>
      <c r="N14" s="24" t="s">
        <v>91</v>
      </c>
      <c r="O14" s="25">
        <f t="shared" si="0"/>
        <v>570000</v>
      </c>
      <c r="P14" s="14" t="e">
        <f>+O14*#REF!</f>
        <v>#REF!</v>
      </c>
      <c r="Q14" s="32">
        <v>30000</v>
      </c>
      <c r="R14" s="110">
        <f t="shared" si="1"/>
        <v>0</v>
      </c>
      <c r="S14" s="111"/>
      <c r="T14" s="111"/>
      <c r="U14" s="111"/>
      <c r="V14" s="112"/>
      <c r="W14" s="104">
        <f t="shared" si="2"/>
        <v>30000</v>
      </c>
      <c r="X14" s="93"/>
      <c r="Y14" s="94">
        <v>30000</v>
      </c>
      <c r="Z14" s="27">
        <f t="shared" si="3"/>
        <v>115000</v>
      </c>
      <c r="AA14" s="29">
        <v>115000</v>
      </c>
      <c r="AB14" s="64"/>
      <c r="AC14" s="49">
        <f t="shared" si="4"/>
        <v>0</v>
      </c>
      <c r="AD14" s="29">
        <v>0</v>
      </c>
      <c r="AE14" s="57">
        <v>0</v>
      </c>
      <c r="AF14" s="49">
        <f t="shared" si="5"/>
        <v>0</v>
      </c>
      <c r="AG14" s="29">
        <v>0</v>
      </c>
      <c r="AH14" s="57">
        <v>0</v>
      </c>
      <c r="AI14" s="49">
        <f t="shared" si="6"/>
        <v>425000</v>
      </c>
      <c r="AJ14" s="29">
        <v>425000</v>
      </c>
      <c r="AK14" s="57">
        <v>0</v>
      </c>
      <c r="AL14" s="51">
        <v>0</v>
      </c>
      <c r="AM14" s="58">
        <v>42369</v>
      </c>
      <c r="AN14" s="59">
        <v>45000</v>
      </c>
      <c r="AO14" s="59" t="s">
        <v>54</v>
      </c>
      <c r="AP14" s="14"/>
      <c r="AW14" s="14" t="e">
        <f>AU14-#REF!-#REF!-Q14+AV14</f>
        <v>#REF!</v>
      </c>
      <c r="AX14" s="59"/>
    </row>
    <row r="15" spans="1:55">
      <c r="A15" s="134"/>
      <c r="B15" s="53">
        <v>15</v>
      </c>
      <c r="C15" s="138" t="s">
        <v>99</v>
      </c>
      <c r="D15" s="53" t="s">
        <v>100</v>
      </c>
      <c r="E15" s="53" t="s">
        <v>290</v>
      </c>
      <c r="F15" s="52" t="s">
        <v>101</v>
      </c>
      <c r="G15" s="52"/>
      <c r="H15" s="53" t="s">
        <v>102</v>
      </c>
      <c r="I15" s="53" t="s">
        <v>33</v>
      </c>
      <c r="J15" s="53" t="s">
        <v>70</v>
      </c>
      <c r="K15" s="1" t="s">
        <v>103</v>
      </c>
      <c r="L15" s="1" t="s">
        <v>104</v>
      </c>
      <c r="M15" s="23">
        <v>20</v>
      </c>
      <c r="N15" s="24" t="s">
        <v>91</v>
      </c>
      <c r="O15" s="25">
        <f t="shared" si="0"/>
        <v>430167</v>
      </c>
      <c r="P15" s="14" t="e">
        <f>+O15*#REF!</f>
        <v>#REF!</v>
      </c>
      <c r="Q15" s="32">
        <v>15833</v>
      </c>
      <c r="R15" s="110">
        <f t="shared" si="1"/>
        <v>0</v>
      </c>
      <c r="S15" s="111"/>
      <c r="T15" s="111"/>
      <c r="U15" s="111"/>
      <c r="V15" s="112"/>
      <c r="W15" s="104">
        <f t="shared" si="2"/>
        <v>51453</v>
      </c>
      <c r="X15" s="93">
        <v>0</v>
      </c>
      <c r="Y15" s="94">
        <f>29286+22167</f>
        <v>51453</v>
      </c>
      <c r="Z15" s="27">
        <f t="shared" si="3"/>
        <v>20714</v>
      </c>
      <c r="AA15" s="29"/>
      <c r="AB15" s="64">
        <v>20714</v>
      </c>
      <c r="AC15" s="49">
        <f t="shared" si="4"/>
        <v>168000</v>
      </c>
      <c r="AD15" s="29">
        <f>75000+55000</f>
        <v>130000</v>
      </c>
      <c r="AE15" s="57">
        <v>38000</v>
      </c>
      <c r="AF15" s="49">
        <f t="shared" si="5"/>
        <v>0</v>
      </c>
      <c r="AG15" s="29">
        <v>0</v>
      </c>
      <c r="AH15" s="57">
        <v>0</v>
      </c>
      <c r="AI15" s="49">
        <f t="shared" si="6"/>
        <v>190000</v>
      </c>
      <c r="AJ15" s="29">
        <v>190000</v>
      </c>
      <c r="AK15" s="57">
        <v>0</v>
      </c>
      <c r="AL15" s="51">
        <v>0</v>
      </c>
      <c r="AM15" s="58">
        <v>41820</v>
      </c>
      <c r="AN15" s="59">
        <v>45000</v>
      </c>
      <c r="AO15" s="59" t="s">
        <v>54</v>
      </c>
      <c r="AP15" s="14"/>
      <c r="AS15" s="1"/>
      <c r="AT15" s="1"/>
      <c r="AU15" s="2"/>
      <c r="AV15" s="2"/>
      <c r="AW15" s="14" t="e">
        <f>AU15-#REF!-#REF!-Q15+AV15</f>
        <v>#REF!</v>
      </c>
      <c r="AX15" s="59"/>
    </row>
    <row r="16" spans="1:55" ht="31.5">
      <c r="A16" s="132"/>
      <c r="B16" s="53">
        <v>16</v>
      </c>
      <c r="C16" s="135" t="s">
        <v>106</v>
      </c>
      <c r="D16" s="53" t="s">
        <v>107</v>
      </c>
      <c r="E16" s="53" t="s">
        <v>291</v>
      </c>
      <c r="F16" s="52" t="s">
        <v>108</v>
      </c>
      <c r="G16" s="52" t="s">
        <v>109</v>
      </c>
      <c r="H16" s="53" t="s">
        <v>110</v>
      </c>
      <c r="I16" s="53" t="s">
        <v>111</v>
      </c>
      <c r="J16" s="53" t="s">
        <v>43</v>
      </c>
      <c r="K16" s="1" t="s">
        <v>51</v>
      </c>
      <c r="L16" s="22" t="s">
        <v>36</v>
      </c>
      <c r="M16" s="23">
        <v>140</v>
      </c>
      <c r="N16" s="24" t="s">
        <v>91</v>
      </c>
      <c r="O16" s="25">
        <f t="shared" si="0"/>
        <v>1185000</v>
      </c>
      <c r="P16" s="14" t="e">
        <f>+O16*#REF!</f>
        <v>#REF!</v>
      </c>
      <c r="Q16" s="14"/>
      <c r="R16" s="110">
        <f t="shared" si="1"/>
        <v>0</v>
      </c>
      <c r="S16" s="111"/>
      <c r="T16" s="111"/>
      <c r="U16" s="111"/>
      <c r="V16" s="112"/>
      <c r="W16" s="104">
        <f t="shared" si="2"/>
        <v>205000</v>
      </c>
      <c r="X16" s="92">
        <v>65000</v>
      </c>
      <c r="Y16" s="97">
        <v>140000</v>
      </c>
      <c r="Z16" s="27">
        <f t="shared" si="3"/>
        <v>0</v>
      </c>
      <c r="AA16" s="31"/>
      <c r="AB16" s="64"/>
      <c r="AC16" s="49">
        <f t="shared" si="4"/>
        <v>325000</v>
      </c>
      <c r="AD16" s="29">
        <v>195000</v>
      </c>
      <c r="AE16" s="57">
        <v>130000</v>
      </c>
      <c r="AF16" s="49">
        <f t="shared" si="5"/>
        <v>415000</v>
      </c>
      <c r="AG16" s="29">
        <v>375000</v>
      </c>
      <c r="AH16" s="57">
        <v>40000</v>
      </c>
      <c r="AI16" s="49">
        <f t="shared" si="6"/>
        <v>240000</v>
      </c>
      <c r="AJ16" s="29">
        <v>240000</v>
      </c>
      <c r="AK16" s="57">
        <v>0</v>
      </c>
      <c r="AL16" s="51">
        <v>0</v>
      </c>
      <c r="AM16" s="58">
        <v>41638</v>
      </c>
      <c r="AN16" s="59">
        <v>130000</v>
      </c>
      <c r="AO16" s="59" t="s">
        <v>54</v>
      </c>
      <c r="AP16" s="14"/>
      <c r="AT16" s="5" t="s">
        <v>241</v>
      </c>
      <c r="AU16" s="6">
        <f>130000+190000</f>
        <v>320000</v>
      </c>
      <c r="AW16" s="6" t="e">
        <f>AU16-#REF!-#REF!-Q16+AV16</f>
        <v>#REF!</v>
      </c>
    </row>
    <row r="17" spans="1:52">
      <c r="A17" s="133"/>
      <c r="B17" s="53">
        <v>19</v>
      </c>
      <c r="C17" s="138" t="s">
        <v>112</v>
      </c>
      <c r="D17" s="53" t="s">
        <v>113</v>
      </c>
      <c r="E17" s="53" t="s">
        <v>294</v>
      </c>
      <c r="F17" s="52" t="s">
        <v>114</v>
      </c>
      <c r="G17" s="52"/>
      <c r="H17" s="53" t="s">
        <v>115</v>
      </c>
      <c r="I17" s="53" t="s">
        <v>33</v>
      </c>
      <c r="J17" s="53" t="s">
        <v>34</v>
      </c>
      <c r="K17" s="1" t="s">
        <v>76</v>
      </c>
      <c r="L17" s="1" t="s">
        <v>116</v>
      </c>
      <c r="M17" s="23">
        <v>25</v>
      </c>
      <c r="N17" s="24" t="s">
        <v>91</v>
      </c>
      <c r="O17" s="25">
        <f t="shared" si="0"/>
        <v>569879</v>
      </c>
      <c r="P17" s="14" t="e">
        <f>+O17*#REF!</f>
        <v>#REF!</v>
      </c>
      <c r="Q17" s="14"/>
      <c r="R17" s="110">
        <f t="shared" si="1"/>
        <v>183000</v>
      </c>
      <c r="S17" s="111"/>
      <c r="T17" s="111"/>
      <c r="U17" s="111"/>
      <c r="V17" s="112">
        <f>130000+53000</f>
        <v>183000</v>
      </c>
      <c r="W17" s="104">
        <f t="shared" si="2"/>
        <v>47252</v>
      </c>
      <c r="X17" s="93"/>
      <c r="Y17" s="94">
        <v>47252</v>
      </c>
      <c r="Z17" s="27">
        <f t="shared" si="3"/>
        <v>65000</v>
      </c>
      <c r="AA17" s="29">
        <f>25000+40000</f>
        <v>65000</v>
      </c>
      <c r="AB17" s="56"/>
      <c r="AC17" s="49">
        <f t="shared" si="4"/>
        <v>131717</v>
      </c>
      <c r="AD17" s="29">
        <f>61749.5+69967.5</f>
        <v>131717</v>
      </c>
      <c r="AE17" s="57">
        <v>0</v>
      </c>
      <c r="AF17" s="49">
        <f t="shared" si="5"/>
        <v>158110</v>
      </c>
      <c r="AG17" s="29">
        <v>102510</v>
      </c>
      <c r="AH17" s="57">
        <v>55600</v>
      </c>
      <c r="AI17" s="49">
        <f t="shared" si="6"/>
        <v>167800</v>
      </c>
      <c r="AJ17" s="29">
        <v>167800</v>
      </c>
      <c r="AK17" s="57">
        <v>0</v>
      </c>
      <c r="AL17" s="51">
        <v>0</v>
      </c>
      <c r="AM17" s="58">
        <v>42003</v>
      </c>
      <c r="AN17" s="59">
        <v>55000</v>
      </c>
      <c r="AO17" s="59" t="s">
        <v>54</v>
      </c>
      <c r="AP17" s="14"/>
      <c r="AW17" s="14" t="e">
        <f>AU17-#REF!-#REF!-Q17+AV17</f>
        <v>#REF!</v>
      </c>
      <c r="AX17" s="59"/>
    </row>
    <row r="18" spans="1:52">
      <c r="A18" s="134"/>
      <c r="B18" s="53">
        <v>20</v>
      </c>
      <c r="C18" s="138" t="s">
        <v>117</v>
      </c>
      <c r="D18" s="53" t="s">
        <v>118</v>
      </c>
      <c r="E18" s="53" t="s">
        <v>292</v>
      </c>
      <c r="F18" s="52" t="s">
        <v>119</v>
      </c>
      <c r="G18" s="52"/>
      <c r="H18" s="53" t="s">
        <v>120</v>
      </c>
      <c r="I18" s="53" t="s">
        <v>64</v>
      </c>
      <c r="J18" s="53" t="s">
        <v>70</v>
      </c>
      <c r="K18" s="1" t="s">
        <v>76</v>
      </c>
      <c r="L18" s="1" t="s">
        <v>121</v>
      </c>
      <c r="M18" s="23">
        <v>20</v>
      </c>
      <c r="N18" s="24" t="s">
        <v>122</v>
      </c>
      <c r="O18" s="25">
        <f t="shared" si="0"/>
        <v>468000</v>
      </c>
      <c r="P18" s="14" t="e">
        <f>+O18*#REF!</f>
        <v>#REF!</v>
      </c>
      <c r="Q18" s="14"/>
      <c r="R18" s="110">
        <f t="shared" si="1"/>
        <v>0</v>
      </c>
      <c r="S18" s="111"/>
      <c r="T18" s="111"/>
      <c r="U18" s="111"/>
      <c r="V18" s="112"/>
      <c r="W18" s="104">
        <f t="shared" si="2"/>
        <v>38334</v>
      </c>
      <c r="X18" s="93">
        <v>0</v>
      </c>
      <c r="Y18" s="94">
        <v>38334</v>
      </c>
      <c r="Z18" s="27">
        <f t="shared" si="3"/>
        <v>76666</v>
      </c>
      <c r="AA18" s="29">
        <v>76666</v>
      </c>
      <c r="AB18" s="64"/>
      <c r="AC18" s="49">
        <f t="shared" si="4"/>
        <v>58000</v>
      </c>
      <c r="AD18" s="29">
        <v>58000</v>
      </c>
      <c r="AE18" s="57">
        <v>0</v>
      </c>
      <c r="AF18" s="49">
        <f t="shared" si="5"/>
        <v>295000</v>
      </c>
      <c r="AG18" s="29">
        <v>295000</v>
      </c>
      <c r="AH18" s="57">
        <v>0</v>
      </c>
      <c r="AI18" s="49">
        <f t="shared" si="6"/>
        <v>0</v>
      </c>
      <c r="AJ18" s="29">
        <v>0</v>
      </c>
      <c r="AK18" s="57">
        <v>0</v>
      </c>
      <c r="AL18" s="51">
        <v>0</v>
      </c>
      <c r="AM18" s="61">
        <v>41974</v>
      </c>
      <c r="AN18" s="59">
        <v>70000</v>
      </c>
      <c r="AO18" s="59" t="s">
        <v>54</v>
      </c>
      <c r="AP18" s="14"/>
      <c r="AT18" s="30" t="s">
        <v>39</v>
      </c>
      <c r="AV18" s="6">
        <v>160000</v>
      </c>
      <c r="AW18" s="14" t="e">
        <f>AU18-#REF!-#REF!-Q18+AV18</f>
        <v>#REF!</v>
      </c>
      <c r="AX18" s="59"/>
      <c r="AY18" s="1"/>
      <c r="AZ18" s="2" t="s">
        <v>351</v>
      </c>
    </row>
    <row r="19" spans="1:52" ht="31.5">
      <c r="A19" s="132"/>
      <c r="B19" s="53">
        <v>21</v>
      </c>
      <c r="C19" s="138" t="s">
        <v>123</v>
      </c>
      <c r="D19" s="53" t="s">
        <v>124</v>
      </c>
      <c r="E19" s="53" t="s">
        <v>291</v>
      </c>
      <c r="F19" s="52" t="s">
        <v>125</v>
      </c>
      <c r="G19" s="52"/>
      <c r="H19" s="53" t="s">
        <v>126</v>
      </c>
      <c r="I19" s="53" t="s">
        <v>127</v>
      </c>
      <c r="J19" s="53" t="s">
        <v>34</v>
      </c>
      <c r="K19" s="1" t="s">
        <v>76</v>
      </c>
      <c r="L19" s="1" t="s">
        <v>128</v>
      </c>
      <c r="M19" s="23">
        <v>35</v>
      </c>
      <c r="N19" s="24" t="s">
        <v>122</v>
      </c>
      <c r="O19" s="25">
        <f t="shared" si="0"/>
        <v>637854.80000000005</v>
      </c>
      <c r="P19" s="14" t="e">
        <f>+O19*#REF!</f>
        <v>#REF!</v>
      </c>
      <c r="Q19" s="55">
        <v>59854.8</v>
      </c>
      <c r="R19" s="110">
        <f t="shared" si="1"/>
        <v>0</v>
      </c>
      <c r="S19" s="111"/>
      <c r="T19" s="111"/>
      <c r="U19" s="111"/>
      <c r="V19" s="112"/>
      <c r="W19" s="104">
        <f t="shared" si="2"/>
        <v>59854.8</v>
      </c>
      <c r="X19" s="92">
        <v>59854.8</v>
      </c>
      <c r="Y19" s="94">
        <v>0</v>
      </c>
      <c r="Z19" s="27">
        <f t="shared" si="3"/>
        <v>0</v>
      </c>
      <c r="AA19" s="29"/>
      <c r="AB19" s="64"/>
      <c r="AC19" s="49">
        <f t="shared" si="4"/>
        <v>310000</v>
      </c>
      <c r="AD19" s="29">
        <v>310000</v>
      </c>
      <c r="AE19" s="57">
        <v>0</v>
      </c>
      <c r="AF19" s="49">
        <f t="shared" si="5"/>
        <v>268000</v>
      </c>
      <c r="AG19" s="29">
        <v>268000</v>
      </c>
      <c r="AH19" s="57">
        <v>0</v>
      </c>
      <c r="AI19" s="49">
        <f t="shared" si="6"/>
        <v>0</v>
      </c>
      <c r="AJ19" s="29">
        <v>0</v>
      </c>
      <c r="AK19" s="57">
        <v>0</v>
      </c>
      <c r="AL19" s="51">
        <v>0</v>
      </c>
      <c r="AM19" s="61">
        <v>41548</v>
      </c>
      <c r="AN19" s="2">
        <v>100000</v>
      </c>
      <c r="AO19" s="2" t="s">
        <v>54</v>
      </c>
      <c r="AP19" s="14"/>
      <c r="AT19" s="5" t="s">
        <v>246</v>
      </c>
      <c r="AU19" s="6">
        <f>95700+223300</f>
        <v>319000</v>
      </c>
      <c r="AW19" s="6" t="e">
        <f>AU19-#REF!-#REF!-Q19+AV19</f>
        <v>#REF!</v>
      </c>
    </row>
    <row r="20" spans="1:52">
      <c r="A20" s="133"/>
      <c r="B20" s="53">
        <v>22</v>
      </c>
      <c r="C20" s="135" t="s">
        <v>129</v>
      </c>
      <c r="D20" s="53" t="s">
        <v>130</v>
      </c>
      <c r="E20" s="53" t="s">
        <v>292</v>
      </c>
      <c r="F20" s="52" t="s">
        <v>131</v>
      </c>
      <c r="G20" s="52"/>
      <c r="H20" s="53" t="s">
        <v>132</v>
      </c>
      <c r="I20" s="53" t="s">
        <v>64</v>
      </c>
      <c r="J20" s="53" t="s">
        <v>43</v>
      </c>
      <c r="K20" s="1" t="s">
        <v>51</v>
      </c>
      <c r="L20" s="33" t="s">
        <v>133</v>
      </c>
      <c r="M20" s="34">
        <v>20</v>
      </c>
      <c r="N20" s="24" t="s">
        <v>122</v>
      </c>
      <c r="O20" s="25">
        <f t="shared" si="0"/>
        <v>400000</v>
      </c>
      <c r="P20" s="14" t="e">
        <f>+O20*#REF!</f>
        <v>#REF!</v>
      </c>
      <c r="Q20" s="14"/>
      <c r="R20" s="110">
        <f t="shared" si="1"/>
        <v>0</v>
      </c>
      <c r="S20" s="111"/>
      <c r="T20" s="111"/>
      <c r="U20" s="111"/>
      <c r="V20" s="112"/>
      <c r="W20" s="104">
        <f t="shared" si="2"/>
        <v>0</v>
      </c>
      <c r="X20" s="93">
        <v>0</v>
      </c>
      <c r="Y20" s="94">
        <v>0</v>
      </c>
      <c r="Z20" s="27">
        <f t="shared" si="3"/>
        <v>40000</v>
      </c>
      <c r="AA20" s="29">
        <v>0</v>
      </c>
      <c r="AB20" s="64">
        <v>40000</v>
      </c>
      <c r="AC20" s="49">
        <f t="shared" si="4"/>
        <v>90000</v>
      </c>
      <c r="AD20" s="29">
        <v>30000</v>
      </c>
      <c r="AE20" s="57">
        <v>60000</v>
      </c>
      <c r="AF20" s="49">
        <f t="shared" si="5"/>
        <v>270000</v>
      </c>
      <c r="AG20" s="29">
        <v>270000</v>
      </c>
      <c r="AH20" s="57">
        <v>0</v>
      </c>
      <c r="AI20" s="49">
        <f t="shared" si="6"/>
        <v>0</v>
      </c>
      <c r="AJ20" s="29">
        <v>0</v>
      </c>
      <c r="AK20" s="57">
        <v>0</v>
      </c>
      <c r="AL20" s="51">
        <v>0</v>
      </c>
      <c r="AM20" s="61">
        <v>41974</v>
      </c>
      <c r="AN20" s="2">
        <v>30000</v>
      </c>
      <c r="AO20" s="2" t="s">
        <v>176</v>
      </c>
      <c r="AP20" s="14"/>
      <c r="AT20" s="5" t="s">
        <v>171</v>
      </c>
      <c r="AU20" s="6">
        <v>38000</v>
      </c>
      <c r="AW20" s="14" t="e">
        <f>AU20-#REF!-#REF!-Q20+AV20</f>
        <v>#REF!</v>
      </c>
      <c r="AX20" s="59"/>
    </row>
    <row r="21" spans="1:52" ht="31.5">
      <c r="A21" s="134"/>
      <c r="B21" s="53">
        <v>23</v>
      </c>
      <c r="C21" s="135" t="s">
        <v>134</v>
      </c>
      <c r="D21" s="53" t="s">
        <v>135</v>
      </c>
      <c r="E21" s="53" t="s">
        <v>291</v>
      </c>
      <c r="F21" s="52" t="s">
        <v>136</v>
      </c>
      <c r="G21" s="52" t="s">
        <v>137</v>
      </c>
      <c r="H21" s="53" t="s">
        <v>138</v>
      </c>
      <c r="I21" s="53" t="s">
        <v>111</v>
      </c>
      <c r="J21" s="53" t="s">
        <v>43</v>
      </c>
      <c r="K21" s="1" t="s">
        <v>76</v>
      </c>
      <c r="L21" s="1" t="s">
        <v>139</v>
      </c>
      <c r="M21" s="23">
        <v>40</v>
      </c>
      <c r="N21" s="24" t="s">
        <v>122</v>
      </c>
      <c r="O21" s="25">
        <f t="shared" si="0"/>
        <v>750000</v>
      </c>
      <c r="P21" s="14" t="e">
        <f>+O21*#REF!</f>
        <v>#REF!</v>
      </c>
      <c r="Q21" s="14"/>
      <c r="R21" s="142">
        <f>+SUM(S21:V21)</f>
        <v>140000</v>
      </c>
      <c r="S21" s="111"/>
      <c r="T21" s="111"/>
      <c r="U21" s="111"/>
      <c r="V21" s="112">
        <v>140000</v>
      </c>
      <c r="W21" s="104">
        <f t="shared" si="2"/>
        <v>0</v>
      </c>
      <c r="X21" s="93">
        <v>0</v>
      </c>
      <c r="Y21" s="94">
        <v>0</v>
      </c>
      <c r="Z21" s="27">
        <f t="shared" si="3"/>
        <v>20000</v>
      </c>
      <c r="AA21" s="29">
        <v>20000</v>
      </c>
      <c r="AB21" s="64">
        <v>0</v>
      </c>
      <c r="AC21" s="49">
        <f t="shared" si="4"/>
        <v>50000</v>
      </c>
      <c r="AD21" s="29">
        <v>50000</v>
      </c>
      <c r="AE21" s="57">
        <v>0</v>
      </c>
      <c r="AF21" s="49">
        <f t="shared" si="5"/>
        <v>680000</v>
      </c>
      <c r="AG21" s="29">
        <v>680000</v>
      </c>
      <c r="AH21" s="57">
        <v>0</v>
      </c>
      <c r="AI21" s="49">
        <f t="shared" si="6"/>
        <v>0</v>
      </c>
      <c r="AJ21" s="29">
        <v>0</v>
      </c>
      <c r="AK21" s="57">
        <v>0</v>
      </c>
      <c r="AL21" s="51">
        <v>0</v>
      </c>
      <c r="AM21" s="61">
        <v>41760</v>
      </c>
      <c r="AN21" s="2">
        <v>110000</v>
      </c>
      <c r="AO21" s="2" t="s">
        <v>176</v>
      </c>
      <c r="AP21" s="14"/>
      <c r="AT21" s="5" t="s">
        <v>250</v>
      </c>
      <c r="AU21" s="6">
        <f>117000+273000</f>
        <v>390000</v>
      </c>
      <c r="AW21" s="6" t="e">
        <f>AU21-#REF!-#REF!-Q21+AV21</f>
        <v>#REF!</v>
      </c>
    </row>
    <row r="22" spans="1:52">
      <c r="A22" s="132"/>
      <c r="B22" s="53">
        <v>24</v>
      </c>
      <c r="C22" s="138" t="s">
        <v>141</v>
      </c>
      <c r="D22" s="53" t="s">
        <v>142</v>
      </c>
      <c r="E22" s="53" t="s">
        <v>292</v>
      </c>
      <c r="F22" s="52" t="s">
        <v>143</v>
      </c>
      <c r="G22" s="52"/>
      <c r="H22" s="53" t="s">
        <v>144</v>
      </c>
      <c r="I22" s="53" t="s">
        <v>33</v>
      </c>
      <c r="J22" s="53" t="s">
        <v>34</v>
      </c>
      <c r="K22" s="1" t="s">
        <v>51</v>
      </c>
      <c r="L22" s="22" t="s">
        <v>36</v>
      </c>
      <c r="M22" s="23">
        <v>50</v>
      </c>
      <c r="N22" s="24" t="s">
        <v>122</v>
      </c>
      <c r="O22" s="25">
        <f t="shared" si="0"/>
        <v>440000</v>
      </c>
      <c r="P22" s="14" t="e">
        <f>+O22*#REF!</f>
        <v>#REF!</v>
      </c>
      <c r="Q22" s="14"/>
      <c r="R22" s="110">
        <f t="shared" si="1"/>
        <v>150000</v>
      </c>
      <c r="S22" s="111"/>
      <c r="T22" s="111"/>
      <c r="U22" s="111"/>
      <c r="V22" s="112">
        <v>150000</v>
      </c>
      <c r="W22" s="104">
        <f t="shared" si="2"/>
        <v>0</v>
      </c>
      <c r="X22" s="93"/>
      <c r="Y22" s="94">
        <v>0</v>
      </c>
      <c r="Z22" s="27">
        <f t="shared" si="3"/>
        <v>150000</v>
      </c>
      <c r="AA22" s="29">
        <v>150000</v>
      </c>
      <c r="AB22" s="64">
        <v>0</v>
      </c>
      <c r="AC22" s="49">
        <f t="shared" si="4"/>
        <v>140000</v>
      </c>
      <c r="AD22" s="29">
        <v>140000</v>
      </c>
      <c r="AE22" s="57">
        <v>0</v>
      </c>
      <c r="AF22" s="49">
        <f t="shared" si="5"/>
        <v>150000</v>
      </c>
      <c r="AG22" s="29">
        <v>150000</v>
      </c>
      <c r="AH22" s="57">
        <v>0</v>
      </c>
      <c r="AI22" s="49">
        <f t="shared" si="6"/>
        <v>0</v>
      </c>
      <c r="AJ22" s="29">
        <v>0</v>
      </c>
      <c r="AK22" s="57">
        <v>0</v>
      </c>
      <c r="AL22" s="51">
        <v>0</v>
      </c>
      <c r="AM22" s="61">
        <v>41944</v>
      </c>
      <c r="AN22" s="59">
        <v>45000</v>
      </c>
      <c r="AO22" s="59" t="s">
        <v>54</v>
      </c>
      <c r="AP22" s="14"/>
      <c r="AW22" s="14" t="e">
        <f>AU22-#REF!-#REF!-Q22+AV22</f>
        <v>#REF!</v>
      </c>
      <c r="AX22" s="59"/>
      <c r="AY22" s="1"/>
      <c r="AZ22" s="2" t="s">
        <v>352</v>
      </c>
    </row>
    <row r="23" spans="1:52">
      <c r="A23" s="133"/>
      <c r="B23" s="53">
        <v>25</v>
      </c>
      <c r="C23" s="135" t="s">
        <v>145</v>
      </c>
      <c r="D23" s="53" t="s">
        <v>146</v>
      </c>
      <c r="E23" s="53" t="s">
        <v>294</v>
      </c>
      <c r="F23" s="52" t="s">
        <v>147</v>
      </c>
      <c r="G23" s="52"/>
      <c r="H23" s="53" t="s">
        <v>148</v>
      </c>
      <c r="I23" s="53" t="s">
        <v>64</v>
      </c>
      <c r="J23" s="53" t="s">
        <v>34</v>
      </c>
      <c r="K23" s="1" t="s">
        <v>103</v>
      </c>
      <c r="L23" s="54" t="s">
        <v>149</v>
      </c>
      <c r="M23" s="68">
        <v>15</v>
      </c>
      <c r="N23" s="24" t="s">
        <v>122</v>
      </c>
      <c r="O23" s="25">
        <f t="shared" si="0"/>
        <v>634500</v>
      </c>
      <c r="P23" s="14" t="e">
        <f>+O23*#REF!</f>
        <v>#REF!</v>
      </c>
      <c r="Q23" s="14"/>
      <c r="R23" s="110">
        <f t="shared" si="1"/>
        <v>0</v>
      </c>
      <c r="S23" s="111"/>
      <c r="T23" s="111"/>
      <c r="U23" s="111"/>
      <c r="V23" s="112"/>
      <c r="W23" s="104">
        <f t="shared" si="2"/>
        <v>130000</v>
      </c>
      <c r="X23" s="92">
        <v>40000</v>
      </c>
      <c r="Y23" s="97">
        <v>90000</v>
      </c>
      <c r="Z23" s="27">
        <f t="shared" si="3"/>
        <v>0</v>
      </c>
      <c r="AA23" s="29">
        <v>0</v>
      </c>
      <c r="AB23" s="64">
        <v>0</v>
      </c>
      <c r="AC23" s="49">
        <f t="shared" si="4"/>
        <v>124500</v>
      </c>
      <c r="AD23" s="29">
        <v>67500</v>
      </c>
      <c r="AE23" s="57">
        <v>57000</v>
      </c>
      <c r="AF23" s="49">
        <f t="shared" si="5"/>
        <v>380000</v>
      </c>
      <c r="AG23" s="29">
        <v>380000</v>
      </c>
      <c r="AH23" s="57">
        <v>0</v>
      </c>
      <c r="AI23" s="49">
        <f t="shared" si="6"/>
        <v>0</v>
      </c>
      <c r="AJ23" s="29">
        <v>0</v>
      </c>
      <c r="AK23" s="57">
        <v>0</v>
      </c>
      <c r="AL23" s="51">
        <v>0</v>
      </c>
      <c r="AM23" s="58">
        <v>42035</v>
      </c>
      <c r="AN23" s="59">
        <v>90000</v>
      </c>
      <c r="AO23" s="59" t="s">
        <v>54</v>
      </c>
      <c r="AP23" s="14"/>
      <c r="AW23" s="14" t="e">
        <f>AU23-#REF!-#REF!-Q23+AV23</f>
        <v>#REF!</v>
      </c>
      <c r="AX23" s="59"/>
    </row>
    <row r="24" spans="1:52">
      <c r="A24" s="134"/>
      <c r="B24" s="53">
        <v>26</v>
      </c>
      <c r="C24" s="138" t="s">
        <v>150</v>
      </c>
      <c r="D24" s="53" t="s">
        <v>151</v>
      </c>
      <c r="E24" s="53" t="s">
        <v>294</v>
      </c>
      <c r="F24" s="52" t="s">
        <v>152</v>
      </c>
      <c r="G24" s="52" t="s">
        <v>153</v>
      </c>
      <c r="H24" s="53" t="s">
        <v>150</v>
      </c>
      <c r="I24" s="53" t="s">
        <v>50</v>
      </c>
      <c r="J24" s="53" t="s">
        <v>43</v>
      </c>
      <c r="K24" s="1" t="s">
        <v>154</v>
      </c>
      <c r="L24" s="1" t="s">
        <v>155</v>
      </c>
      <c r="M24" s="23">
        <v>25</v>
      </c>
      <c r="N24" s="24" t="s">
        <v>122</v>
      </c>
      <c r="O24" s="25">
        <f t="shared" si="0"/>
        <v>637800</v>
      </c>
      <c r="P24" s="14" t="e">
        <f>+O24*#REF!</f>
        <v>#REF!</v>
      </c>
      <c r="Q24" s="14"/>
      <c r="R24" s="110">
        <f>+SUM(S24:V24)</f>
        <v>259000</v>
      </c>
      <c r="S24" s="111"/>
      <c r="T24" s="111"/>
      <c r="U24" s="111"/>
      <c r="V24" s="112">
        <v>259000</v>
      </c>
      <c r="W24" s="104">
        <f t="shared" si="2"/>
        <v>211000</v>
      </c>
      <c r="X24" s="92">
        <f>60000+105000</f>
        <v>165000</v>
      </c>
      <c r="Y24" s="97">
        <v>46000</v>
      </c>
      <c r="Z24" s="27">
        <f t="shared" si="3"/>
        <v>0</v>
      </c>
      <c r="AA24" s="29">
        <v>0</v>
      </c>
      <c r="AB24" s="64">
        <v>0</v>
      </c>
      <c r="AC24" s="49">
        <f t="shared" si="4"/>
        <v>0</v>
      </c>
      <c r="AD24" s="29">
        <v>0</v>
      </c>
      <c r="AE24" s="57">
        <v>0</v>
      </c>
      <c r="AF24" s="49">
        <f t="shared" si="5"/>
        <v>426800</v>
      </c>
      <c r="AG24" s="29">
        <v>426800</v>
      </c>
      <c r="AH24" s="57">
        <v>0</v>
      </c>
      <c r="AI24" s="49">
        <f t="shared" si="6"/>
        <v>0</v>
      </c>
      <c r="AJ24" s="29">
        <v>0</v>
      </c>
      <c r="AK24" s="57">
        <v>0</v>
      </c>
      <c r="AL24" s="51">
        <v>0</v>
      </c>
      <c r="AM24" s="58">
        <v>41728</v>
      </c>
      <c r="AN24" s="59">
        <v>50000</v>
      </c>
      <c r="AO24" s="59" t="s">
        <v>54</v>
      </c>
      <c r="AP24" s="14"/>
      <c r="AW24" s="14" t="e">
        <f>AU24-#REF!-#REF!-Q24+AV24</f>
        <v>#REF!</v>
      </c>
      <c r="AX24" s="59"/>
      <c r="AY24" s="1"/>
      <c r="AZ24" s="2"/>
    </row>
    <row r="25" spans="1:52" ht="31.5">
      <c r="A25" s="132"/>
      <c r="B25" s="53">
        <v>27</v>
      </c>
      <c r="C25" s="135" t="s">
        <v>156</v>
      </c>
      <c r="D25" s="53" t="s">
        <v>124</v>
      </c>
      <c r="E25" s="53" t="s">
        <v>291</v>
      </c>
      <c r="F25" s="52"/>
      <c r="G25" s="52"/>
      <c r="H25" s="53" t="s">
        <v>156</v>
      </c>
      <c r="I25" s="53" t="s">
        <v>127</v>
      </c>
      <c r="J25" s="53" t="s">
        <v>34</v>
      </c>
      <c r="K25" s="1" t="s">
        <v>76</v>
      </c>
      <c r="L25" s="1" t="s">
        <v>128</v>
      </c>
      <c r="M25" s="23">
        <v>10</v>
      </c>
      <c r="N25" s="24" t="s">
        <v>122</v>
      </c>
      <c r="O25" s="25">
        <f t="shared" si="0"/>
        <v>190000</v>
      </c>
      <c r="P25" s="14" t="e">
        <f>+O25*#REF!</f>
        <v>#REF!</v>
      </c>
      <c r="Q25" s="14"/>
      <c r="R25" s="110">
        <f t="shared" si="1"/>
        <v>0</v>
      </c>
      <c r="S25" s="111"/>
      <c r="T25" s="111"/>
      <c r="U25" s="111"/>
      <c r="V25" s="112"/>
      <c r="W25" s="104">
        <f t="shared" si="2"/>
        <v>0</v>
      </c>
      <c r="X25" s="93">
        <v>0</v>
      </c>
      <c r="Y25" s="94">
        <v>0</v>
      </c>
      <c r="Z25" s="27">
        <f t="shared" si="3"/>
        <v>0</v>
      </c>
      <c r="AA25" s="29">
        <v>0</v>
      </c>
      <c r="AB25" s="64">
        <v>0</v>
      </c>
      <c r="AC25" s="49">
        <f t="shared" si="4"/>
        <v>0</v>
      </c>
      <c r="AD25" s="29">
        <v>0</v>
      </c>
      <c r="AE25" s="57">
        <v>0</v>
      </c>
      <c r="AF25" s="49">
        <f t="shared" si="5"/>
        <v>190000</v>
      </c>
      <c r="AG25" s="29">
        <v>190000</v>
      </c>
      <c r="AH25" s="57">
        <v>0</v>
      </c>
      <c r="AI25" s="49">
        <f t="shared" si="6"/>
        <v>0</v>
      </c>
      <c r="AJ25" s="29">
        <v>0</v>
      </c>
      <c r="AK25" s="57">
        <v>0</v>
      </c>
      <c r="AL25" s="51">
        <v>0</v>
      </c>
      <c r="AM25" s="58" t="s">
        <v>157</v>
      </c>
      <c r="AN25" s="59"/>
      <c r="AO25" s="59" t="s">
        <v>176</v>
      </c>
      <c r="AP25" s="53"/>
      <c r="AQ25" s="53" t="s">
        <v>256</v>
      </c>
      <c r="AR25" s="53" t="s">
        <v>257</v>
      </c>
      <c r="AS25" s="53" t="s">
        <v>256</v>
      </c>
      <c r="AT25" s="53" t="s">
        <v>258</v>
      </c>
      <c r="AU25" s="59">
        <f>325000+325000</f>
        <v>650000</v>
      </c>
      <c r="AV25" s="59"/>
      <c r="AW25" s="59" t="e">
        <f>AU25-#REF!-#REF!-Q25+AV25</f>
        <v>#REF!</v>
      </c>
      <c r="AY25" s="1"/>
      <c r="AZ25" s="2"/>
    </row>
    <row r="26" spans="1:52">
      <c r="A26" s="133"/>
      <c r="B26" s="53">
        <v>29</v>
      </c>
      <c r="C26" s="135" t="s">
        <v>158</v>
      </c>
      <c r="D26" s="53" t="s">
        <v>159</v>
      </c>
      <c r="E26" s="53" t="s">
        <v>294</v>
      </c>
      <c r="F26" s="52" t="s">
        <v>160</v>
      </c>
      <c r="G26" s="52" t="s">
        <v>161</v>
      </c>
      <c r="H26" s="53" t="s">
        <v>162</v>
      </c>
      <c r="I26" s="53" t="s">
        <v>64</v>
      </c>
      <c r="J26" s="53" t="s">
        <v>43</v>
      </c>
      <c r="K26" s="1" t="s">
        <v>154</v>
      </c>
      <c r="L26" s="1" t="s">
        <v>163</v>
      </c>
      <c r="M26" s="23">
        <v>10</v>
      </c>
      <c r="N26" s="24" t="s">
        <v>164</v>
      </c>
      <c r="O26" s="25">
        <f t="shared" si="0"/>
        <v>450000</v>
      </c>
      <c r="P26" s="14" t="e">
        <f>+O26*#REF!</f>
        <v>#REF!</v>
      </c>
      <c r="Q26" s="14"/>
      <c r="R26" s="110">
        <f t="shared" si="1"/>
        <v>0</v>
      </c>
      <c r="S26" s="111"/>
      <c r="T26" s="111"/>
      <c r="U26" s="111"/>
      <c r="V26" s="112"/>
      <c r="W26" s="104">
        <f>+X26+Y26</f>
        <v>0</v>
      </c>
      <c r="X26" s="93">
        <v>0</v>
      </c>
      <c r="Y26" s="94">
        <v>0</v>
      </c>
      <c r="Z26" s="27">
        <f t="shared" si="3"/>
        <v>0</v>
      </c>
      <c r="AA26" s="29">
        <v>0</v>
      </c>
      <c r="AB26" s="64">
        <v>0</v>
      </c>
      <c r="AC26" s="49">
        <f t="shared" si="4"/>
        <v>450000</v>
      </c>
      <c r="AD26" s="29">
        <v>450000</v>
      </c>
      <c r="AE26" s="57">
        <v>0</v>
      </c>
      <c r="AF26" s="49">
        <f t="shared" si="5"/>
        <v>0</v>
      </c>
      <c r="AG26" s="57">
        <v>0</v>
      </c>
      <c r="AH26" s="57">
        <v>0</v>
      </c>
      <c r="AI26" s="49">
        <f t="shared" si="6"/>
        <v>0</v>
      </c>
      <c r="AJ26" s="57">
        <v>0</v>
      </c>
      <c r="AK26" s="57">
        <v>0</v>
      </c>
      <c r="AL26" s="51">
        <v>0</v>
      </c>
      <c r="AM26" s="58">
        <v>41579</v>
      </c>
      <c r="AN26" s="59">
        <v>75000</v>
      </c>
      <c r="AO26" s="59" t="s">
        <v>176</v>
      </c>
      <c r="AP26" s="14"/>
      <c r="AW26" s="14" t="e">
        <f>AU26-#REF!-#REF!-Q26+AV26</f>
        <v>#REF!</v>
      </c>
      <c r="AX26" s="59"/>
      <c r="AY26" s="1"/>
      <c r="AZ26" s="2"/>
    </row>
    <row r="27" spans="1:52">
      <c r="A27" s="134"/>
      <c r="B27" s="53">
        <v>30</v>
      </c>
      <c r="C27" s="138" t="s">
        <v>281</v>
      </c>
      <c r="D27" s="53" t="s">
        <v>107</v>
      </c>
      <c r="E27" s="53" t="s">
        <v>291</v>
      </c>
      <c r="F27" s="53"/>
      <c r="G27" s="53"/>
      <c r="H27" s="53" t="s">
        <v>282</v>
      </c>
      <c r="I27" s="53" t="s">
        <v>111</v>
      </c>
      <c r="J27" s="53" t="s">
        <v>34</v>
      </c>
      <c r="K27" s="1" t="s">
        <v>76</v>
      </c>
      <c r="L27" s="1" t="s">
        <v>272</v>
      </c>
      <c r="M27" s="23">
        <v>100</v>
      </c>
      <c r="N27" s="24" t="s">
        <v>164</v>
      </c>
      <c r="O27" s="25">
        <f t="shared" si="0"/>
        <v>783000</v>
      </c>
      <c r="P27" s="14" t="e">
        <f>+O27*#REF!</f>
        <v>#REF!</v>
      </c>
      <c r="Q27" s="14"/>
      <c r="R27" s="110">
        <f t="shared" si="1"/>
        <v>0</v>
      </c>
      <c r="S27" s="111"/>
      <c r="T27" s="111"/>
      <c r="U27" s="111"/>
      <c r="V27" s="112"/>
      <c r="W27" s="104">
        <f t="shared" si="2"/>
        <v>0</v>
      </c>
      <c r="X27" s="93">
        <v>0</v>
      </c>
      <c r="Y27" s="94">
        <v>0</v>
      </c>
      <c r="Z27" s="27">
        <f t="shared" si="3"/>
        <v>273000</v>
      </c>
      <c r="AA27" s="29">
        <v>273000</v>
      </c>
      <c r="AB27" s="64">
        <v>0</v>
      </c>
      <c r="AC27" s="49">
        <f t="shared" si="4"/>
        <v>510000</v>
      </c>
      <c r="AD27" s="29">
        <v>510000</v>
      </c>
      <c r="AE27" s="57">
        <v>0</v>
      </c>
      <c r="AF27" s="49">
        <f t="shared" si="5"/>
        <v>0</v>
      </c>
      <c r="AG27" s="29">
        <v>0</v>
      </c>
      <c r="AH27" s="57">
        <v>0</v>
      </c>
      <c r="AI27" s="49">
        <f t="shared" si="6"/>
        <v>0</v>
      </c>
      <c r="AJ27" s="29">
        <v>0</v>
      </c>
      <c r="AK27" s="57">
        <v>0</v>
      </c>
      <c r="AL27" s="51">
        <v>0</v>
      </c>
      <c r="AM27" s="58">
        <v>42003</v>
      </c>
      <c r="AN27" s="59">
        <v>120000</v>
      </c>
      <c r="AO27" s="59" t="s">
        <v>54</v>
      </c>
      <c r="AP27" s="14"/>
      <c r="AT27" s="5" t="s">
        <v>263</v>
      </c>
      <c r="AU27" s="6">
        <v>87000</v>
      </c>
      <c r="AW27" s="6" t="e">
        <f>AU27-#REF!-#REF!-Q27+AV27</f>
        <v>#REF!</v>
      </c>
    </row>
    <row r="28" spans="1:52" ht="31.5">
      <c r="A28" s="132"/>
      <c r="B28" s="53">
        <v>31</v>
      </c>
      <c r="C28" s="138" t="s">
        <v>165</v>
      </c>
      <c r="D28" s="53" t="s">
        <v>166</v>
      </c>
      <c r="E28" s="53" t="s">
        <v>294</v>
      </c>
      <c r="F28" s="52" t="s">
        <v>167</v>
      </c>
      <c r="G28" s="52"/>
      <c r="H28" s="53" t="s">
        <v>168</v>
      </c>
      <c r="I28" s="53" t="s">
        <v>64</v>
      </c>
      <c r="J28" s="53" t="s">
        <v>43</v>
      </c>
      <c r="K28" s="1" t="s">
        <v>154</v>
      </c>
      <c r="L28" s="1" t="s">
        <v>155</v>
      </c>
      <c r="M28" s="23">
        <v>150</v>
      </c>
      <c r="N28" s="24" t="s">
        <v>164</v>
      </c>
      <c r="O28" s="25">
        <f t="shared" si="0"/>
        <v>710000</v>
      </c>
      <c r="P28" s="25" t="e">
        <f>+O28*#REF!</f>
        <v>#REF!</v>
      </c>
      <c r="Q28" s="55">
        <v>40000</v>
      </c>
      <c r="R28" s="110">
        <f t="shared" si="1"/>
        <v>0</v>
      </c>
      <c r="S28" s="111"/>
      <c r="T28" s="111"/>
      <c r="U28" s="111"/>
      <c r="V28" s="112"/>
      <c r="W28" s="104">
        <f t="shared" si="2"/>
        <v>80000</v>
      </c>
      <c r="X28" s="93">
        <v>0</v>
      </c>
      <c r="Y28" s="94">
        <v>80000</v>
      </c>
      <c r="Z28" s="27">
        <f t="shared" si="3"/>
        <v>40000</v>
      </c>
      <c r="AA28" s="29"/>
      <c r="AB28" s="64">
        <v>40000</v>
      </c>
      <c r="AC28" s="49">
        <f t="shared" si="4"/>
        <v>590000</v>
      </c>
      <c r="AD28" s="29">
        <f>750000-160000</f>
        <v>590000</v>
      </c>
      <c r="AE28" s="57">
        <v>0</v>
      </c>
      <c r="AF28" s="49">
        <f t="shared" si="5"/>
        <v>0</v>
      </c>
      <c r="AG28" s="29">
        <v>0</v>
      </c>
      <c r="AH28" s="57">
        <v>0</v>
      </c>
      <c r="AI28" s="49">
        <f t="shared" si="6"/>
        <v>0</v>
      </c>
      <c r="AJ28" s="29">
        <v>0</v>
      </c>
      <c r="AK28" s="57">
        <v>0</v>
      </c>
      <c r="AL28" s="51">
        <v>0</v>
      </c>
      <c r="AM28" s="58">
        <v>42308</v>
      </c>
      <c r="AN28" s="59">
        <v>80000</v>
      </c>
      <c r="AO28" s="59" t="s">
        <v>54</v>
      </c>
      <c r="AP28" s="14"/>
      <c r="AT28" s="5" t="s">
        <v>140</v>
      </c>
      <c r="AU28" s="6">
        <v>20000</v>
      </c>
      <c r="AW28" s="14" t="e">
        <f>AU28-#REF!-#REF!-Q28+AV28</f>
        <v>#REF!</v>
      </c>
      <c r="AX28" s="59"/>
    </row>
    <row r="29" spans="1:52">
      <c r="A29" s="133"/>
      <c r="B29" s="53">
        <v>32</v>
      </c>
      <c r="C29" s="139" t="s">
        <v>169</v>
      </c>
      <c r="D29" s="62" t="s">
        <v>100</v>
      </c>
      <c r="E29" s="62" t="s">
        <v>290</v>
      </c>
      <c r="F29" s="52" t="s">
        <v>101</v>
      </c>
      <c r="G29" s="52"/>
      <c r="H29" s="53" t="s">
        <v>170</v>
      </c>
      <c r="I29" s="53" t="s">
        <v>33</v>
      </c>
      <c r="J29" s="53" t="s">
        <v>70</v>
      </c>
      <c r="K29" s="1" t="s">
        <v>103</v>
      </c>
      <c r="L29" s="1" t="s">
        <v>104</v>
      </c>
      <c r="M29" s="23">
        <v>5</v>
      </c>
      <c r="N29" s="24" t="s">
        <v>164</v>
      </c>
      <c r="O29" s="25">
        <f t="shared" si="0"/>
        <v>252999.66666666666</v>
      </c>
      <c r="P29" s="14" t="e">
        <f>+O29*#REF!</f>
        <v>#REF!</v>
      </c>
      <c r="Q29" s="32">
        <v>25000</v>
      </c>
      <c r="R29" s="110">
        <f t="shared" si="1"/>
        <v>0</v>
      </c>
      <c r="S29" s="111"/>
      <c r="T29" s="111"/>
      <c r="U29" s="111"/>
      <c r="V29" s="112"/>
      <c r="W29" s="104">
        <f t="shared" si="2"/>
        <v>40833</v>
      </c>
      <c r="X29" s="93">
        <v>0</v>
      </c>
      <c r="Y29" s="94">
        <f>15833+25000</f>
        <v>40833</v>
      </c>
      <c r="Z29" s="27">
        <f t="shared" si="3"/>
        <v>22166.666666666664</v>
      </c>
      <c r="AA29" s="29"/>
      <c r="AB29" s="64">
        <f>38000/12*7</f>
        <v>22166.666666666664</v>
      </c>
      <c r="AC29" s="49">
        <f t="shared" si="4"/>
        <v>190000</v>
      </c>
      <c r="AD29" s="29">
        <f>190000</f>
        <v>190000</v>
      </c>
      <c r="AE29" s="57">
        <v>0</v>
      </c>
      <c r="AF29" s="49">
        <f t="shared" si="5"/>
        <v>0</v>
      </c>
      <c r="AG29" s="29">
        <v>0</v>
      </c>
      <c r="AH29" s="57">
        <v>0</v>
      </c>
      <c r="AI29" s="49">
        <f t="shared" si="6"/>
        <v>0</v>
      </c>
      <c r="AJ29" s="29">
        <v>0</v>
      </c>
      <c r="AK29" s="57">
        <v>0</v>
      </c>
      <c r="AL29" s="51">
        <v>0</v>
      </c>
      <c r="AM29" s="58">
        <v>41790</v>
      </c>
      <c r="AN29" s="59">
        <v>38000</v>
      </c>
      <c r="AO29" s="59" t="s">
        <v>176</v>
      </c>
      <c r="AP29" s="14"/>
      <c r="AS29" s="1"/>
      <c r="AT29" s="1" t="s">
        <v>78</v>
      </c>
      <c r="AU29" s="2">
        <v>38500</v>
      </c>
      <c r="AV29" s="2"/>
      <c r="AW29" s="14" t="e">
        <f>AU29-#REF!-#REF!-Q29+AV29</f>
        <v>#REF!</v>
      </c>
      <c r="AX29" s="59"/>
    </row>
    <row r="30" spans="1:52">
      <c r="A30" s="134"/>
      <c r="B30" s="53">
        <v>34</v>
      </c>
      <c r="C30" s="138" t="s">
        <v>67</v>
      </c>
      <c r="D30" s="53" t="s">
        <v>30</v>
      </c>
      <c r="E30" s="53" t="s">
        <v>290</v>
      </c>
      <c r="F30" s="52" t="s">
        <v>177</v>
      </c>
      <c r="G30" s="52" t="s">
        <v>178</v>
      </c>
      <c r="H30" s="53" t="s">
        <v>179</v>
      </c>
      <c r="I30" s="53" t="s">
        <v>33</v>
      </c>
      <c r="J30" s="53" t="s">
        <v>70</v>
      </c>
      <c r="K30" s="66" t="s">
        <v>35</v>
      </c>
      <c r="L30" s="53" t="s">
        <v>180</v>
      </c>
      <c r="M30" s="67">
        <v>30</v>
      </c>
      <c r="N30" s="24" t="s">
        <v>164</v>
      </c>
      <c r="O30" s="25">
        <f t="shared" si="0"/>
        <v>443000</v>
      </c>
      <c r="P30" s="14" t="e">
        <f>+O30*#REF!</f>
        <v>#REF!</v>
      </c>
      <c r="Q30" s="14"/>
      <c r="R30" s="110">
        <f t="shared" si="1"/>
        <v>0</v>
      </c>
      <c r="S30" s="111"/>
      <c r="T30" s="111"/>
      <c r="U30" s="111"/>
      <c r="V30" s="112"/>
      <c r="W30" s="104">
        <f t="shared" si="2"/>
        <v>59000</v>
      </c>
      <c r="X30" s="93">
        <v>0</v>
      </c>
      <c r="Y30" s="94">
        <v>59000</v>
      </c>
      <c r="Z30" s="27">
        <f t="shared" si="3"/>
        <v>79000</v>
      </c>
      <c r="AA30" s="29">
        <v>65000</v>
      </c>
      <c r="AB30" s="64">
        <v>14000</v>
      </c>
      <c r="AC30" s="49">
        <f t="shared" si="4"/>
        <v>305000</v>
      </c>
      <c r="AD30" s="29">
        <v>305000</v>
      </c>
      <c r="AE30" s="57">
        <v>0</v>
      </c>
      <c r="AF30" s="49">
        <f t="shared" si="5"/>
        <v>0</v>
      </c>
      <c r="AG30" s="29">
        <v>0</v>
      </c>
      <c r="AH30" s="57">
        <v>0</v>
      </c>
      <c r="AI30" s="49">
        <f t="shared" si="6"/>
        <v>0</v>
      </c>
      <c r="AJ30" s="29">
        <v>0</v>
      </c>
      <c r="AK30" s="57">
        <v>0</v>
      </c>
      <c r="AL30" s="51">
        <v>0</v>
      </c>
      <c r="AM30" s="58">
        <v>42003</v>
      </c>
      <c r="AN30" s="59">
        <v>60000</v>
      </c>
      <c r="AO30" s="59" t="s">
        <v>54</v>
      </c>
      <c r="AP30" s="14"/>
      <c r="AS30" s="1"/>
      <c r="AT30" s="1" t="s">
        <v>86</v>
      </c>
      <c r="AU30" s="2">
        <v>64000</v>
      </c>
      <c r="AV30" s="2"/>
      <c r="AW30" s="14" t="e">
        <f>AU30-#REF!-#REF!-Q30+AV30</f>
        <v>#REF!</v>
      </c>
      <c r="AX30" s="59"/>
      <c r="AY30" s="1"/>
      <c r="AZ30" s="2" t="s">
        <v>354</v>
      </c>
    </row>
    <row r="31" spans="1:52">
      <c r="A31" s="132"/>
      <c r="B31" s="53">
        <v>35</v>
      </c>
      <c r="C31" s="135" t="s">
        <v>182</v>
      </c>
      <c r="D31" s="53" t="s">
        <v>73</v>
      </c>
      <c r="E31" s="53" t="s">
        <v>293</v>
      </c>
      <c r="F31" s="52"/>
      <c r="G31" s="52"/>
      <c r="H31" s="53" t="s">
        <v>183</v>
      </c>
      <c r="I31" s="53" t="s">
        <v>50</v>
      </c>
      <c r="J31" s="53" t="s">
        <v>43</v>
      </c>
      <c r="K31" s="1" t="s">
        <v>76</v>
      </c>
      <c r="L31" s="1" t="s">
        <v>184</v>
      </c>
      <c r="M31" s="23">
        <v>25</v>
      </c>
      <c r="N31" s="24" t="s">
        <v>164</v>
      </c>
      <c r="O31" s="25">
        <f t="shared" si="0"/>
        <v>460000</v>
      </c>
      <c r="P31" s="14" t="e">
        <f>+O31*#REF!</f>
        <v>#REF!</v>
      </c>
      <c r="Q31" s="14"/>
      <c r="R31" s="110">
        <f t="shared" si="1"/>
        <v>0</v>
      </c>
      <c r="S31" s="111"/>
      <c r="T31" s="111"/>
      <c r="U31" s="111"/>
      <c r="V31" s="112"/>
      <c r="W31" s="104">
        <f t="shared" si="2"/>
        <v>77000</v>
      </c>
      <c r="X31" s="93">
        <v>0</v>
      </c>
      <c r="Y31" s="94">
        <v>77000</v>
      </c>
      <c r="Z31" s="27">
        <f t="shared" si="3"/>
        <v>0</v>
      </c>
      <c r="AA31" s="29">
        <v>0</v>
      </c>
      <c r="AB31" s="64">
        <v>0</v>
      </c>
      <c r="AC31" s="49">
        <f t="shared" si="4"/>
        <v>383000</v>
      </c>
      <c r="AD31" s="29">
        <f>383000</f>
        <v>383000</v>
      </c>
      <c r="AE31" s="57">
        <v>0</v>
      </c>
      <c r="AF31" s="49">
        <f t="shared" si="5"/>
        <v>0</v>
      </c>
      <c r="AG31" s="29">
        <v>0</v>
      </c>
      <c r="AH31" s="57">
        <v>0</v>
      </c>
      <c r="AI31" s="49">
        <f t="shared" si="6"/>
        <v>0</v>
      </c>
      <c r="AJ31" s="29">
        <v>0</v>
      </c>
      <c r="AK31" s="57">
        <v>0</v>
      </c>
      <c r="AL31" s="51">
        <v>0</v>
      </c>
      <c r="AM31" s="58">
        <v>42003</v>
      </c>
      <c r="AN31" s="59">
        <v>77000</v>
      </c>
      <c r="AO31" s="59" t="s">
        <v>54</v>
      </c>
      <c r="AP31" s="14"/>
      <c r="AT31" s="30" t="s">
        <v>39</v>
      </c>
      <c r="AV31" s="6">
        <v>300000</v>
      </c>
      <c r="AW31" s="14" t="e">
        <f>AU31-#REF!-#REF!-Q31+AV31</f>
        <v>#REF!</v>
      </c>
      <c r="AX31" s="59"/>
    </row>
    <row r="32" spans="1:52" ht="31.5">
      <c r="A32" s="133"/>
      <c r="B32" s="53">
        <v>36</v>
      </c>
      <c r="C32" s="138" t="s">
        <v>185</v>
      </c>
      <c r="D32" s="53" t="s">
        <v>61</v>
      </c>
      <c r="E32" s="53" t="s">
        <v>292</v>
      </c>
      <c r="F32" s="52" t="s">
        <v>186</v>
      </c>
      <c r="G32" s="52"/>
      <c r="H32" s="53" t="s">
        <v>187</v>
      </c>
      <c r="I32" s="53" t="s">
        <v>64</v>
      </c>
      <c r="J32" s="53" t="s">
        <v>43</v>
      </c>
      <c r="K32" s="1" t="s">
        <v>76</v>
      </c>
      <c r="L32" s="33" t="s">
        <v>188</v>
      </c>
      <c r="M32" s="34">
        <v>2000</v>
      </c>
      <c r="N32" s="24" t="s">
        <v>164</v>
      </c>
      <c r="O32" s="25">
        <f t="shared" si="0"/>
        <v>1117500</v>
      </c>
      <c r="P32" s="14" t="e">
        <f>+O32*#REF!</f>
        <v>#REF!</v>
      </c>
      <c r="Q32" s="14"/>
      <c r="R32" s="110">
        <f t="shared" si="1"/>
        <v>40000</v>
      </c>
      <c r="S32" s="111"/>
      <c r="T32" s="111"/>
      <c r="U32" s="111"/>
      <c r="V32" s="112">
        <v>40000</v>
      </c>
      <c r="W32" s="104">
        <f t="shared" si="2"/>
        <v>120000</v>
      </c>
      <c r="X32" s="93">
        <v>0</v>
      </c>
      <c r="Y32" s="97">
        <v>120000</v>
      </c>
      <c r="Z32" s="27">
        <f t="shared" si="3"/>
        <v>160000</v>
      </c>
      <c r="AA32" s="29"/>
      <c r="AB32" s="64">
        <f>120000+40000</f>
        <v>160000</v>
      </c>
      <c r="AC32" s="49">
        <f t="shared" si="4"/>
        <v>837500</v>
      </c>
      <c r="AD32" s="29">
        <v>837500</v>
      </c>
      <c r="AE32" s="57">
        <v>0</v>
      </c>
      <c r="AF32" s="49">
        <f t="shared" si="5"/>
        <v>0</v>
      </c>
      <c r="AG32" s="29">
        <v>0</v>
      </c>
      <c r="AH32" s="57">
        <v>0</v>
      </c>
      <c r="AI32" s="49">
        <f t="shared" si="6"/>
        <v>0</v>
      </c>
      <c r="AJ32" s="29">
        <v>0</v>
      </c>
      <c r="AK32" s="57">
        <v>0</v>
      </c>
      <c r="AL32" s="51">
        <v>0</v>
      </c>
      <c r="AM32" s="58">
        <v>41698</v>
      </c>
      <c r="AN32" s="59">
        <v>160000</v>
      </c>
      <c r="AO32" s="59" t="s">
        <v>176</v>
      </c>
      <c r="AP32" s="14"/>
      <c r="AS32" s="3"/>
      <c r="AT32" s="3" t="s">
        <v>181</v>
      </c>
      <c r="AU32" s="2">
        <f>20000+59000</f>
        <v>79000</v>
      </c>
      <c r="AV32" s="2">
        <v>0</v>
      </c>
      <c r="AW32" s="14" t="e">
        <f>AU32-#REF!-#REF!-Q32+AV32</f>
        <v>#REF!</v>
      </c>
      <c r="AX32" s="59"/>
    </row>
    <row r="33" spans="1:52" ht="31.5">
      <c r="A33" s="134"/>
      <c r="B33" s="53">
        <v>37</v>
      </c>
      <c r="C33" s="135" t="s">
        <v>189</v>
      </c>
      <c r="D33" s="53" t="s">
        <v>190</v>
      </c>
      <c r="E33" s="53" t="s">
        <v>292</v>
      </c>
      <c r="F33" s="52"/>
      <c r="G33" s="52"/>
      <c r="H33" s="53" t="s">
        <v>191</v>
      </c>
      <c r="I33" s="53" t="s">
        <v>64</v>
      </c>
      <c r="J33" s="53" t="s">
        <v>43</v>
      </c>
      <c r="K33" s="1" t="s">
        <v>51</v>
      </c>
      <c r="L33" s="22" t="s">
        <v>36</v>
      </c>
      <c r="M33" s="23">
        <v>240</v>
      </c>
      <c r="N33" s="24" t="s">
        <v>164</v>
      </c>
      <c r="O33" s="25">
        <f t="shared" si="0"/>
        <v>960000</v>
      </c>
      <c r="P33" s="14" t="e">
        <f>+O33*#REF!</f>
        <v>#REF!</v>
      </c>
      <c r="Q33" s="14"/>
      <c r="R33" s="110">
        <f t="shared" si="1"/>
        <v>0</v>
      </c>
      <c r="S33" s="111"/>
      <c r="T33" s="111"/>
      <c r="U33" s="111"/>
      <c r="V33" s="112"/>
      <c r="W33" s="104">
        <f t="shared" si="2"/>
        <v>76000</v>
      </c>
      <c r="X33" s="93">
        <v>0</v>
      </c>
      <c r="Y33" s="94">
        <v>76000</v>
      </c>
      <c r="Z33" s="27">
        <f t="shared" si="3"/>
        <v>15000</v>
      </c>
      <c r="AA33" s="29"/>
      <c r="AB33" s="56">
        <v>15000</v>
      </c>
      <c r="AC33" s="49">
        <f t="shared" si="4"/>
        <v>869000</v>
      </c>
      <c r="AD33" s="29">
        <f>960000-91000</f>
        <v>869000</v>
      </c>
      <c r="AE33" s="57">
        <v>0</v>
      </c>
      <c r="AF33" s="49">
        <f t="shared" si="5"/>
        <v>0</v>
      </c>
      <c r="AG33" s="29">
        <v>0</v>
      </c>
      <c r="AH33" s="57">
        <v>0</v>
      </c>
      <c r="AI33" s="49">
        <f t="shared" si="6"/>
        <v>0</v>
      </c>
      <c r="AJ33" s="29">
        <v>0</v>
      </c>
      <c r="AK33" s="57">
        <v>0</v>
      </c>
      <c r="AL33" s="51">
        <v>0</v>
      </c>
      <c r="AM33" s="58">
        <v>41910</v>
      </c>
      <c r="AN33" s="59">
        <v>76000</v>
      </c>
      <c r="AO33" s="59" t="s">
        <v>54</v>
      </c>
      <c r="AP33" s="14"/>
      <c r="AS33" s="3"/>
      <c r="AT33" s="30" t="s">
        <v>39</v>
      </c>
      <c r="AU33" s="2"/>
      <c r="AV33" s="2">
        <v>77000</v>
      </c>
      <c r="AW33" s="14" t="e">
        <f>AU33-#REF!-#REF!-Q33+AV33</f>
        <v>#REF!</v>
      </c>
      <c r="AX33" s="59"/>
    </row>
    <row r="34" spans="1:52">
      <c r="A34" s="132"/>
      <c r="B34" s="53">
        <v>38</v>
      </c>
      <c r="C34" s="138" t="s">
        <v>192</v>
      </c>
      <c r="D34" s="53" t="s">
        <v>193</v>
      </c>
      <c r="E34" s="53" t="s">
        <v>290</v>
      </c>
      <c r="F34" s="52" t="s">
        <v>194</v>
      </c>
      <c r="G34" s="52" t="s">
        <v>195</v>
      </c>
      <c r="H34" s="53" t="s">
        <v>196</v>
      </c>
      <c r="I34" s="53" t="s">
        <v>33</v>
      </c>
      <c r="J34" s="53" t="s">
        <v>43</v>
      </c>
      <c r="K34" s="1" t="s">
        <v>76</v>
      </c>
      <c r="L34" s="1" t="s">
        <v>197</v>
      </c>
      <c r="M34" s="23">
        <v>25</v>
      </c>
      <c r="N34" s="24" t="s">
        <v>164</v>
      </c>
      <c r="O34" s="25">
        <f t="shared" si="0"/>
        <v>451017</v>
      </c>
      <c r="P34" s="14" t="e">
        <f>+O34*#REF!</f>
        <v>#REF!</v>
      </c>
      <c r="Q34" s="14"/>
      <c r="R34" s="110">
        <f t="shared" si="1"/>
        <v>0</v>
      </c>
      <c r="S34" s="111"/>
      <c r="T34" s="111"/>
      <c r="U34" s="111"/>
      <c r="V34" s="112"/>
      <c r="W34" s="104">
        <f t="shared" si="2"/>
        <v>55932</v>
      </c>
      <c r="X34" s="93">
        <v>0</v>
      </c>
      <c r="Y34" s="94">
        <v>55932</v>
      </c>
      <c r="Z34" s="27">
        <f t="shared" si="3"/>
        <v>5085</v>
      </c>
      <c r="AA34" s="31"/>
      <c r="AB34" s="64">
        <v>5085</v>
      </c>
      <c r="AC34" s="49">
        <f t="shared" si="4"/>
        <v>390000</v>
      </c>
      <c r="AD34" s="29">
        <v>390000</v>
      </c>
      <c r="AE34" s="57">
        <v>0</v>
      </c>
      <c r="AF34" s="49">
        <f t="shared" si="5"/>
        <v>0</v>
      </c>
      <c r="AG34" s="29">
        <v>0</v>
      </c>
      <c r="AH34" s="57">
        <v>0</v>
      </c>
      <c r="AI34" s="49">
        <f t="shared" si="6"/>
        <v>0</v>
      </c>
      <c r="AJ34" s="29">
        <v>0</v>
      </c>
      <c r="AK34" s="57">
        <v>0</v>
      </c>
      <c r="AL34" s="51">
        <v>0</v>
      </c>
      <c r="AM34" s="58">
        <v>41971</v>
      </c>
      <c r="AN34" s="59">
        <v>72000</v>
      </c>
      <c r="AO34" s="59" t="s">
        <v>176</v>
      </c>
      <c r="AP34" s="14"/>
      <c r="AS34" s="1"/>
      <c r="AT34" s="1" t="s">
        <v>92</v>
      </c>
      <c r="AU34" s="2">
        <v>25000</v>
      </c>
      <c r="AV34" s="2"/>
      <c r="AW34" s="14" t="e">
        <f>AU34-#REF!-#REF!-Q34+AV34</f>
        <v>#REF!</v>
      </c>
      <c r="AX34" s="59"/>
      <c r="AY34" s="3"/>
      <c r="AZ34" s="2"/>
    </row>
    <row r="35" spans="1:52">
      <c r="A35" s="133"/>
      <c r="B35" s="53">
        <v>39</v>
      </c>
      <c r="C35" s="138" t="s">
        <v>198</v>
      </c>
      <c r="D35" s="53" t="s">
        <v>94</v>
      </c>
      <c r="E35" s="53" t="s">
        <v>292</v>
      </c>
      <c r="F35" s="52"/>
      <c r="G35" s="52"/>
      <c r="H35" s="53" t="s">
        <v>199</v>
      </c>
      <c r="I35" s="53" t="s">
        <v>64</v>
      </c>
      <c r="J35" s="53" t="s">
        <v>34</v>
      </c>
      <c r="K35" s="1" t="s">
        <v>35</v>
      </c>
      <c r="L35" s="33" t="s">
        <v>200</v>
      </c>
      <c r="M35" s="34">
        <v>200</v>
      </c>
      <c r="N35" s="24" t="s">
        <v>164</v>
      </c>
      <c r="O35" s="25">
        <f t="shared" si="0"/>
        <v>773000</v>
      </c>
      <c r="P35" s="14" t="e">
        <f>+O35*#REF!</f>
        <v>#REF!</v>
      </c>
      <c r="Q35" s="55"/>
      <c r="R35" s="110">
        <f t="shared" si="1"/>
        <v>0</v>
      </c>
      <c r="S35" s="111"/>
      <c r="T35" s="111"/>
      <c r="U35" s="111"/>
      <c r="V35" s="112"/>
      <c r="W35" s="104">
        <f t="shared" si="2"/>
        <v>164000</v>
      </c>
      <c r="X35" s="92">
        <v>50000</v>
      </c>
      <c r="Y35" s="92">
        <v>114000</v>
      </c>
      <c r="Z35" s="27">
        <f t="shared" si="3"/>
        <v>39000</v>
      </c>
      <c r="AA35" s="29">
        <v>39000</v>
      </c>
      <c r="AB35" s="64">
        <v>0</v>
      </c>
      <c r="AC35" s="49">
        <f t="shared" si="4"/>
        <v>570000</v>
      </c>
      <c r="AD35" s="29">
        <v>570000</v>
      </c>
      <c r="AE35" s="57">
        <v>0</v>
      </c>
      <c r="AF35" s="49">
        <f t="shared" si="5"/>
        <v>0</v>
      </c>
      <c r="AG35" s="29">
        <v>0</v>
      </c>
      <c r="AH35" s="57">
        <v>0</v>
      </c>
      <c r="AI35" s="49">
        <f t="shared" si="6"/>
        <v>0</v>
      </c>
      <c r="AJ35" s="29">
        <v>0</v>
      </c>
      <c r="AK35" s="57">
        <v>0</v>
      </c>
      <c r="AL35" s="51">
        <v>0</v>
      </c>
      <c r="AM35" s="58">
        <v>41790</v>
      </c>
      <c r="AN35" s="59">
        <v>114000</v>
      </c>
      <c r="AO35" s="59" t="s">
        <v>54</v>
      </c>
      <c r="AP35" s="14"/>
      <c r="AS35" s="3"/>
      <c r="AT35" s="3"/>
      <c r="AU35" s="2"/>
      <c r="AV35" s="2"/>
      <c r="AW35" s="14" t="e">
        <f>AU35-#REF!-#REF!-Q35+AV35</f>
        <v>#REF!</v>
      </c>
      <c r="AX35" s="59"/>
    </row>
    <row r="36" spans="1:52">
      <c r="A36" s="134"/>
      <c r="B36" s="53">
        <v>40</v>
      </c>
      <c r="C36" s="138" t="s">
        <v>201</v>
      </c>
      <c r="D36" s="53" t="s">
        <v>202</v>
      </c>
      <c r="E36" s="53" t="s">
        <v>294</v>
      </c>
      <c r="F36" s="52" t="s">
        <v>203</v>
      </c>
      <c r="G36" s="52"/>
      <c r="H36" s="53" t="s">
        <v>204</v>
      </c>
      <c r="I36" s="53" t="s">
        <v>50</v>
      </c>
      <c r="J36" s="53" t="s">
        <v>43</v>
      </c>
      <c r="K36" s="1" t="s">
        <v>51</v>
      </c>
      <c r="L36" s="22" t="s">
        <v>36</v>
      </c>
      <c r="M36" s="23">
        <v>110</v>
      </c>
      <c r="N36" s="24" t="s">
        <v>164</v>
      </c>
      <c r="O36" s="25">
        <f t="shared" si="0"/>
        <v>866250</v>
      </c>
      <c r="P36" s="14" t="e">
        <f>+O36*#REF!</f>
        <v>#REF!</v>
      </c>
      <c r="Q36" s="14"/>
      <c r="R36" s="110">
        <f t="shared" si="1"/>
        <v>33750</v>
      </c>
      <c r="S36" s="111"/>
      <c r="T36" s="111"/>
      <c r="U36" s="111"/>
      <c r="V36" s="112">
        <v>33750</v>
      </c>
      <c r="W36" s="104">
        <f t="shared" si="2"/>
        <v>156250</v>
      </c>
      <c r="X36" s="92">
        <f>5000+50000</f>
        <v>55000</v>
      </c>
      <c r="Y36" s="92">
        <f>33750+33750+33750</f>
        <v>101250</v>
      </c>
      <c r="Z36" s="27">
        <f t="shared" si="3"/>
        <v>0</v>
      </c>
      <c r="AA36" s="29">
        <v>0</v>
      </c>
      <c r="AB36" s="64">
        <v>0</v>
      </c>
      <c r="AC36" s="49">
        <f t="shared" si="4"/>
        <v>710000</v>
      </c>
      <c r="AD36" s="29">
        <v>710000</v>
      </c>
      <c r="AE36" s="57">
        <v>0</v>
      </c>
      <c r="AF36" s="49">
        <f t="shared" si="5"/>
        <v>0</v>
      </c>
      <c r="AG36" s="29">
        <v>0</v>
      </c>
      <c r="AH36" s="57">
        <v>0</v>
      </c>
      <c r="AI36" s="49">
        <f t="shared" si="6"/>
        <v>0</v>
      </c>
      <c r="AJ36" s="29">
        <v>0</v>
      </c>
      <c r="AK36" s="57">
        <v>0</v>
      </c>
      <c r="AL36" s="51">
        <v>0</v>
      </c>
      <c r="AM36" s="58">
        <v>41670</v>
      </c>
      <c r="AN36" s="59">
        <v>140000</v>
      </c>
      <c r="AO36" s="59" t="s">
        <v>54</v>
      </c>
      <c r="AP36" s="14"/>
      <c r="AW36" s="14" t="e">
        <f>AU36-#REF!-#REF!-Q36+AV36</f>
        <v>#REF!</v>
      </c>
      <c r="AX36" s="59"/>
    </row>
    <row r="37" spans="1:52">
      <c r="A37" s="132"/>
      <c r="B37" s="53">
        <v>41</v>
      </c>
      <c r="C37" s="138" t="s">
        <v>205</v>
      </c>
      <c r="D37" s="53" t="s">
        <v>206</v>
      </c>
      <c r="E37" s="53" t="s">
        <v>293</v>
      </c>
      <c r="F37" s="52" t="s">
        <v>207</v>
      </c>
      <c r="G37" s="52"/>
      <c r="H37" s="53" t="s">
        <v>208</v>
      </c>
      <c r="I37" s="53" t="s">
        <v>50</v>
      </c>
      <c r="J37" s="53" t="s">
        <v>70</v>
      </c>
      <c r="K37" s="1" t="s">
        <v>76</v>
      </c>
      <c r="L37" s="1" t="s">
        <v>209</v>
      </c>
      <c r="M37" s="23">
        <v>20</v>
      </c>
      <c r="N37" s="24" t="s">
        <v>164</v>
      </c>
      <c r="O37" s="25">
        <f t="shared" si="0"/>
        <v>574550</v>
      </c>
      <c r="P37" s="14" t="e">
        <f>+O37*#REF!</f>
        <v>#REF!</v>
      </c>
      <c r="Q37" s="14"/>
      <c r="R37" s="110">
        <f t="shared" si="1"/>
        <v>0</v>
      </c>
      <c r="S37" s="111"/>
      <c r="T37" s="111"/>
      <c r="U37" s="111"/>
      <c r="V37" s="112"/>
      <c r="W37" s="104">
        <f t="shared" si="2"/>
        <v>67700</v>
      </c>
      <c r="X37" s="92">
        <v>0</v>
      </c>
      <c r="Y37" s="97">
        <f>33850+33850</f>
        <v>67700</v>
      </c>
      <c r="Z37" s="27">
        <f t="shared" si="3"/>
        <v>58850</v>
      </c>
      <c r="AA37" s="31"/>
      <c r="AB37" s="64">
        <f>29425*2</f>
        <v>58850</v>
      </c>
      <c r="AC37" s="49">
        <f t="shared" si="4"/>
        <v>448000</v>
      </c>
      <c r="AD37" s="29">
        <v>448000</v>
      </c>
      <c r="AE37" s="57">
        <v>0</v>
      </c>
      <c r="AF37" s="49">
        <f t="shared" si="5"/>
        <v>0</v>
      </c>
      <c r="AG37" s="29">
        <v>0</v>
      </c>
      <c r="AH37" s="57">
        <v>0</v>
      </c>
      <c r="AI37" s="49">
        <f t="shared" si="6"/>
        <v>0</v>
      </c>
      <c r="AJ37" s="29">
        <v>0</v>
      </c>
      <c r="AK37" s="57">
        <v>0</v>
      </c>
      <c r="AL37" s="51">
        <v>0</v>
      </c>
      <c r="AM37" s="58">
        <v>41638</v>
      </c>
      <c r="AN37" s="59">
        <v>67000</v>
      </c>
      <c r="AO37" s="59" t="s">
        <v>176</v>
      </c>
      <c r="AP37" s="14"/>
      <c r="AW37" s="14" t="e">
        <f>AU37-#REF!-#REF!-Q37+AV37</f>
        <v>#REF!</v>
      </c>
      <c r="AX37" s="59"/>
      <c r="AY37" s="1"/>
      <c r="AZ37" s="2"/>
    </row>
    <row r="38" spans="1:52">
      <c r="A38" s="133"/>
      <c r="B38" s="53">
        <v>42</v>
      </c>
      <c r="C38" s="138" t="s">
        <v>211</v>
      </c>
      <c r="D38" s="53" t="s">
        <v>146</v>
      </c>
      <c r="E38" s="53" t="s">
        <v>292</v>
      </c>
      <c r="F38" s="52"/>
      <c r="G38" s="52"/>
      <c r="H38" s="53" t="s">
        <v>212</v>
      </c>
      <c r="I38" s="53" t="s">
        <v>64</v>
      </c>
      <c r="J38" s="53" t="s">
        <v>70</v>
      </c>
      <c r="K38" s="1" t="s">
        <v>35</v>
      </c>
      <c r="L38" s="54" t="s">
        <v>213</v>
      </c>
      <c r="M38" s="68">
        <v>1100</v>
      </c>
      <c r="N38" s="24" t="s">
        <v>164</v>
      </c>
      <c r="O38" s="25">
        <f t="shared" si="0"/>
        <v>1112500</v>
      </c>
      <c r="P38" s="35" t="e">
        <f>+O38*#REF!</f>
        <v>#REF!</v>
      </c>
      <c r="Q38" s="32">
        <v>87500</v>
      </c>
      <c r="R38" s="110">
        <f t="shared" si="1"/>
        <v>0</v>
      </c>
      <c r="S38" s="111"/>
      <c r="T38" s="111"/>
      <c r="U38" s="111"/>
      <c r="V38" s="112"/>
      <c r="W38" s="104">
        <f t="shared" si="2"/>
        <v>150000</v>
      </c>
      <c r="X38" s="93">
        <v>0</v>
      </c>
      <c r="Y38" s="94">
        <v>150000</v>
      </c>
      <c r="Z38" s="27">
        <f t="shared" si="3"/>
        <v>62500</v>
      </c>
      <c r="AA38" s="29"/>
      <c r="AB38" s="56">
        <v>62500</v>
      </c>
      <c r="AC38" s="49">
        <f t="shared" si="4"/>
        <v>900000</v>
      </c>
      <c r="AD38" s="29">
        <f>1200000-300000</f>
        <v>900000</v>
      </c>
      <c r="AE38" s="57">
        <v>0</v>
      </c>
      <c r="AF38" s="49">
        <f t="shared" si="5"/>
        <v>0</v>
      </c>
      <c r="AG38" s="29">
        <v>0</v>
      </c>
      <c r="AH38" s="57">
        <v>0</v>
      </c>
      <c r="AI38" s="49">
        <f t="shared" si="6"/>
        <v>0</v>
      </c>
      <c r="AJ38" s="29">
        <v>0</v>
      </c>
      <c r="AK38" s="57">
        <v>0</v>
      </c>
      <c r="AL38" s="51">
        <v>0</v>
      </c>
      <c r="AM38" s="58">
        <v>42154</v>
      </c>
      <c r="AN38" s="59">
        <v>150000</v>
      </c>
      <c r="AO38" s="59" t="s">
        <v>54</v>
      </c>
      <c r="AP38" s="14"/>
      <c r="AS38" s="3"/>
      <c r="AT38" s="30" t="s">
        <v>39</v>
      </c>
      <c r="AU38" s="2"/>
      <c r="AV38" s="2">
        <v>91000</v>
      </c>
      <c r="AW38" s="14" t="e">
        <f>AU38-#REF!-#REF!-Q38+AV38</f>
        <v>#REF!</v>
      </c>
      <c r="AX38" s="59"/>
    </row>
    <row r="39" spans="1:52">
      <c r="A39" s="134"/>
      <c r="B39" s="53">
        <v>43</v>
      </c>
      <c r="C39" s="138" t="s">
        <v>214</v>
      </c>
      <c r="D39" s="53" t="s">
        <v>124</v>
      </c>
      <c r="E39" s="53" t="s">
        <v>291</v>
      </c>
      <c r="F39" s="52"/>
      <c r="G39" s="52"/>
      <c r="H39" s="53" t="s">
        <v>215</v>
      </c>
      <c r="I39" s="53" t="s">
        <v>127</v>
      </c>
      <c r="J39" s="53" t="s">
        <v>70</v>
      </c>
      <c r="K39" s="1" t="s">
        <v>76</v>
      </c>
      <c r="L39" s="1" t="s">
        <v>128</v>
      </c>
      <c r="M39" s="23">
        <v>10</v>
      </c>
      <c r="N39" s="24" t="s">
        <v>164</v>
      </c>
      <c r="O39" s="25">
        <f t="shared" si="0"/>
        <v>473411.62492201535</v>
      </c>
      <c r="P39" s="14" t="e">
        <f>+O39*#REF!</f>
        <v>#REF!</v>
      </c>
      <c r="Q39" s="14"/>
      <c r="R39" s="110">
        <f t="shared" si="1"/>
        <v>0</v>
      </c>
      <c r="S39" s="111"/>
      <c r="T39" s="111"/>
      <c r="U39" s="111"/>
      <c r="V39" s="112"/>
      <c r="W39" s="104">
        <f t="shared" si="2"/>
        <v>14375.044922015382</v>
      </c>
      <c r="X39" s="98">
        <f>20000/1.3913</f>
        <v>14375.044922015382</v>
      </c>
      <c r="Y39" s="94">
        <v>0</v>
      </c>
      <c r="Z39" s="27">
        <f t="shared" si="3"/>
        <v>109036.57999999999</v>
      </c>
      <c r="AA39" s="29">
        <v>43506.63</v>
      </c>
      <c r="AB39" s="64">
        <v>65529.95</v>
      </c>
      <c r="AC39" s="49">
        <f t="shared" si="4"/>
        <v>350000</v>
      </c>
      <c r="AD39" s="29">
        <v>350000</v>
      </c>
      <c r="AE39" s="57">
        <v>0</v>
      </c>
      <c r="AF39" s="49">
        <f t="shared" si="5"/>
        <v>0</v>
      </c>
      <c r="AG39" s="29">
        <v>0</v>
      </c>
      <c r="AH39" s="57">
        <v>0</v>
      </c>
      <c r="AI39" s="49">
        <f t="shared" si="6"/>
        <v>0</v>
      </c>
      <c r="AJ39" s="29">
        <v>0</v>
      </c>
      <c r="AK39" s="57">
        <v>0</v>
      </c>
      <c r="AL39" s="51">
        <v>0</v>
      </c>
      <c r="AM39" s="58">
        <v>42003</v>
      </c>
      <c r="AN39" s="59">
        <v>70000</v>
      </c>
      <c r="AO39" s="59" t="s">
        <v>54</v>
      </c>
      <c r="AP39" s="14"/>
      <c r="AW39" s="14" t="e">
        <f>AU39-#REF!-#REF!-Q39+AV39</f>
        <v>#REF!</v>
      </c>
    </row>
    <row r="40" spans="1:52">
      <c r="A40" s="132"/>
      <c r="B40" s="53">
        <v>44</v>
      </c>
      <c r="C40" s="138" t="s">
        <v>216</v>
      </c>
      <c r="D40" s="53" t="s">
        <v>217</v>
      </c>
      <c r="E40" s="53" t="s">
        <v>294</v>
      </c>
      <c r="F40" s="52" t="s">
        <v>218</v>
      </c>
      <c r="G40" s="52"/>
      <c r="H40" s="53" t="s">
        <v>219</v>
      </c>
      <c r="I40" s="53" t="s">
        <v>33</v>
      </c>
      <c r="J40" s="53" t="s">
        <v>34</v>
      </c>
      <c r="K40" s="1" t="s">
        <v>35</v>
      </c>
      <c r="L40" s="22" t="s">
        <v>36</v>
      </c>
      <c r="M40" s="23">
        <v>10</v>
      </c>
      <c r="N40" s="24" t="s">
        <v>164</v>
      </c>
      <c r="O40" s="25">
        <f t="shared" si="0"/>
        <v>204700</v>
      </c>
      <c r="P40" s="14" t="e">
        <f>+O40*#REF!</f>
        <v>#REF!</v>
      </c>
      <c r="Q40" s="32">
        <f>35600*7/12</f>
        <v>20766.666666666668</v>
      </c>
      <c r="R40" s="110">
        <f t="shared" si="1"/>
        <v>0</v>
      </c>
      <c r="S40" s="111"/>
      <c r="T40" s="111"/>
      <c r="U40" s="111"/>
      <c r="V40" s="112"/>
      <c r="W40" s="104">
        <f t="shared" si="2"/>
        <v>14833.333333333334</v>
      </c>
      <c r="X40" s="93">
        <v>0</v>
      </c>
      <c r="Y40" s="94">
        <f>35600*5/12</f>
        <v>14833.333333333334</v>
      </c>
      <c r="Z40" s="27">
        <f t="shared" si="3"/>
        <v>11866.666666666666</v>
      </c>
      <c r="AA40" s="29"/>
      <c r="AB40" s="64">
        <f>35600/12*4</f>
        <v>11866.666666666666</v>
      </c>
      <c r="AC40" s="49">
        <f t="shared" si="4"/>
        <v>178000</v>
      </c>
      <c r="AD40" s="29">
        <v>178000</v>
      </c>
      <c r="AE40" s="57">
        <v>0</v>
      </c>
      <c r="AF40" s="49">
        <f t="shared" si="5"/>
        <v>0</v>
      </c>
      <c r="AG40" s="29">
        <v>0</v>
      </c>
      <c r="AH40" s="57">
        <v>0</v>
      </c>
      <c r="AI40" s="49">
        <f t="shared" si="6"/>
        <v>0</v>
      </c>
      <c r="AJ40" s="29">
        <v>0</v>
      </c>
      <c r="AK40" s="57">
        <v>0</v>
      </c>
      <c r="AL40" s="51">
        <v>0</v>
      </c>
      <c r="AM40" s="58">
        <v>41881</v>
      </c>
      <c r="AN40" s="59">
        <v>35000</v>
      </c>
      <c r="AO40" s="59" t="s">
        <v>54</v>
      </c>
      <c r="AP40" s="14"/>
      <c r="AW40" s="14" t="e">
        <f>AU40-#REF!-#REF!-Q40+AV40</f>
        <v>#REF!</v>
      </c>
      <c r="AX40" s="59"/>
    </row>
    <row r="41" spans="1:52" ht="31.5">
      <c r="A41" s="133"/>
      <c r="B41" s="53">
        <v>45</v>
      </c>
      <c r="C41" s="138" t="s">
        <v>221</v>
      </c>
      <c r="D41" s="53" t="s">
        <v>94</v>
      </c>
      <c r="E41" s="53" t="s">
        <v>292</v>
      </c>
      <c r="F41" s="52"/>
      <c r="G41" s="52"/>
      <c r="H41" s="53" t="s">
        <v>362</v>
      </c>
      <c r="I41" s="53" t="s">
        <v>64</v>
      </c>
      <c r="J41" s="66" t="s">
        <v>70</v>
      </c>
      <c r="K41" s="1" t="s">
        <v>35</v>
      </c>
      <c r="L41" s="69" t="s">
        <v>222</v>
      </c>
      <c r="M41" s="70">
        <v>1000</v>
      </c>
      <c r="N41" s="24" t="s">
        <v>223</v>
      </c>
      <c r="O41" s="25">
        <f t="shared" si="0"/>
        <v>1108687</v>
      </c>
      <c r="P41" s="14" t="e">
        <f>+O41*#REF!</f>
        <v>#REF!</v>
      </c>
      <c r="Q41" s="14"/>
      <c r="R41" s="110">
        <f t="shared" si="1"/>
        <v>0</v>
      </c>
      <c r="S41" s="111"/>
      <c r="T41" s="111"/>
      <c r="U41" s="111"/>
      <c r="V41" s="112"/>
      <c r="W41" s="104">
        <f t="shared" si="2"/>
        <v>9487</v>
      </c>
      <c r="X41" s="92">
        <v>9487</v>
      </c>
      <c r="Y41" s="94"/>
      <c r="Z41" s="27">
        <f t="shared" si="3"/>
        <v>1099200</v>
      </c>
      <c r="AA41" s="29">
        <f>343500+572500+183200</f>
        <v>1099200</v>
      </c>
      <c r="AB41" s="64"/>
      <c r="AC41" s="49">
        <f t="shared" si="4"/>
        <v>0</v>
      </c>
      <c r="AD41" s="29">
        <v>0</v>
      </c>
      <c r="AE41" s="57">
        <v>0</v>
      </c>
      <c r="AF41" s="49">
        <f t="shared" si="5"/>
        <v>0</v>
      </c>
      <c r="AG41" s="29">
        <v>0</v>
      </c>
      <c r="AH41" s="57">
        <v>0</v>
      </c>
      <c r="AI41" s="49">
        <f t="shared" si="6"/>
        <v>0</v>
      </c>
      <c r="AJ41" s="29">
        <v>0</v>
      </c>
      <c r="AK41" s="57">
        <v>0</v>
      </c>
      <c r="AL41" s="51">
        <v>0</v>
      </c>
      <c r="AM41" s="58">
        <v>42003</v>
      </c>
      <c r="AN41" s="59">
        <v>220000</v>
      </c>
      <c r="AO41" s="59" t="s">
        <v>54</v>
      </c>
      <c r="AP41" s="14"/>
      <c r="AS41" s="1"/>
      <c r="AT41" s="1"/>
      <c r="AU41" s="2"/>
      <c r="AV41" s="2"/>
      <c r="AW41" s="14" t="e">
        <f>AU41-#REF!-#REF!-Q41+AV41</f>
        <v>#REF!</v>
      </c>
      <c r="AX41" s="59"/>
      <c r="AY41" s="3"/>
      <c r="AZ41" s="2"/>
    </row>
    <row r="42" spans="1:52">
      <c r="A42" s="134"/>
      <c r="B42" s="53">
        <v>46</v>
      </c>
      <c r="C42" s="138" t="s">
        <v>224</v>
      </c>
      <c r="D42" s="53" t="s">
        <v>73</v>
      </c>
      <c r="E42" s="53" t="s">
        <v>293</v>
      </c>
      <c r="F42" s="52" t="s">
        <v>225</v>
      </c>
      <c r="G42" s="52"/>
      <c r="H42" s="53" t="s">
        <v>224</v>
      </c>
      <c r="I42" s="53" t="s">
        <v>50</v>
      </c>
      <c r="J42" s="66" t="s">
        <v>43</v>
      </c>
      <c r="K42" s="1" t="s">
        <v>76</v>
      </c>
      <c r="L42" s="1" t="s">
        <v>77</v>
      </c>
      <c r="M42" s="23">
        <v>40</v>
      </c>
      <c r="N42" s="24" t="s">
        <v>223</v>
      </c>
      <c r="O42" s="25">
        <f t="shared" si="0"/>
        <v>520000</v>
      </c>
      <c r="P42" s="14" t="e">
        <f>+O42*#REF!</f>
        <v>#REF!</v>
      </c>
      <c r="Q42" s="14"/>
      <c r="R42" s="110">
        <f t="shared" si="1"/>
        <v>70000</v>
      </c>
      <c r="S42" s="111"/>
      <c r="T42" s="111"/>
      <c r="U42" s="111"/>
      <c r="V42" s="112">
        <v>70000</v>
      </c>
      <c r="W42" s="104">
        <f t="shared" si="2"/>
        <v>0</v>
      </c>
      <c r="X42" s="93">
        <v>0</v>
      </c>
      <c r="Y42" s="94"/>
      <c r="Z42" s="27">
        <f t="shared" si="3"/>
        <v>520000</v>
      </c>
      <c r="AA42" s="29">
        <f>434000+64500+21500</f>
        <v>520000</v>
      </c>
      <c r="AB42" s="64"/>
      <c r="AC42" s="49">
        <f t="shared" si="4"/>
        <v>0</v>
      </c>
      <c r="AD42" s="29">
        <v>0</v>
      </c>
      <c r="AE42" s="57">
        <v>0</v>
      </c>
      <c r="AF42" s="49">
        <f t="shared" si="5"/>
        <v>0</v>
      </c>
      <c r="AG42" s="29">
        <v>0</v>
      </c>
      <c r="AH42" s="57">
        <v>0</v>
      </c>
      <c r="AI42" s="49">
        <f t="shared" si="6"/>
        <v>0</v>
      </c>
      <c r="AJ42" s="29">
        <v>0</v>
      </c>
      <c r="AK42" s="57">
        <v>0</v>
      </c>
      <c r="AL42" s="51"/>
      <c r="AM42" s="58">
        <v>42093</v>
      </c>
      <c r="AN42" s="59">
        <v>64500</v>
      </c>
      <c r="AO42" s="59" t="s">
        <v>54</v>
      </c>
      <c r="AP42" s="14"/>
      <c r="AT42" s="5" t="s">
        <v>220</v>
      </c>
      <c r="AU42" s="6">
        <v>35600</v>
      </c>
      <c r="AW42" s="14" t="e">
        <f>AU42-#REF!-#REF!-Q42+AV42</f>
        <v>#REF!</v>
      </c>
      <c r="AX42" s="59"/>
      <c r="AY42" s="3"/>
      <c r="AZ42" s="2"/>
    </row>
    <row r="43" spans="1:52">
      <c r="A43" s="132"/>
      <c r="B43" s="53">
        <v>47</v>
      </c>
      <c r="C43" s="135" t="s">
        <v>230</v>
      </c>
      <c r="D43" s="53" t="s">
        <v>107</v>
      </c>
      <c r="E43" s="53" t="s">
        <v>291</v>
      </c>
      <c r="F43" s="52" t="s">
        <v>231</v>
      </c>
      <c r="G43" s="52" t="s">
        <v>232</v>
      </c>
      <c r="H43" s="53" t="s">
        <v>233</v>
      </c>
      <c r="I43" s="53" t="s">
        <v>111</v>
      </c>
      <c r="J43" s="66" t="s">
        <v>34</v>
      </c>
      <c r="K43" s="1" t="s">
        <v>76</v>
      </c>
      <c r="L43" s="1" t="s">
        <v>234</v>
      </c>
      <c r="M43" s="23">
        <v>5</v>
      </c>
      <c r="N43" s="24" t="s">
        <v>223</v>
      </c>
      <c r="O43" s="25">
        <f t="shared" si="0"/>
        <v>303873.14058837976</v>
      </c>
      <c r="P43" s="25">
        <v>315000</v>
      </c>
      <c r="Q43" s="65">
        <f>(113000/1.3574)*2/12</f>
        <v>13874.564117675951</v>
      </c>
      <c r="R43" s="110">
        <f>+SUM(T43:V43)</f>
        <v>0</v>
      </c>
      <c r="S43" s="111">
        <v>0</v>
      </c>
      <c r="T43" s="111"/>
      <c r="U43" s="111"/>
      <c r="V43" s="112"/>
      <c r="W43" s="104">
        <f>+X43+Y43</f>
        <v>69372.820588379749</v>
      </c>
      <c r="X43" s="92">
        <v>0</v>
      </c>
      <c r="Y43" s="97">
        <f>(113000/1.3574)*10/12</f>
        <v>69372.820588379749</v>
      </c>
      <c r="Z43" s="27">
        <f t="shared" si="3"/>
        <v>234500.32</v>
      </c>
      <c r="AA43" s="29">
        <v>234500.32</v>
      </c>
      <c r="AB43" s="64"/>
      <c r="AC43" s="49">
        <f t="shared" si="4"/>
        <v>0</v>
      </c>
      <c r="AD43" s="29">
        <v>0</v>
      </c>
      <c r="AE43" s="57">
        <v>0</v>
      </c>
      <c r="AF43" s="49">
        <f t="shared" si="5"/>
        <v>0</v>
      </c>
      <c r="AG43" s="29">
        <v>0</v>
      </c>
      <c r="AH43" s="57">
        <v>0</v>
      </c>
      <c r="AI43" s="49">
        <f t="shared" si="6"/>
        <v>0</v>
      </c>
      <c r="AJ43" s="29">
        <v>0</v>
      </c>
      <c r="AK43" s="57">
        <v>0</v>
      </c>
      <c r="AL43" s="51">
        <v>0</v>
      </c>
      <c r="AM43" s="58">
        <v>41698</v>
      </c>
      <c r="AN43" s="59">
        <v>48000</v>
      </c>
      <c r="AO43" s="59" t="s">
        <v>54</v>
      </c>
      <c r="AP43" s="14"/>
      <c r="AW43" s="14" t="e">
        <f>AU43-#REF!-#REF!-Q43+AV43</f>
        <v>#REF!</v>
      </c>
    </row>
    <row r="44" spans="1:52">
      <c r="A44" s="133"/>
      <c r="B44" s="53">
        <v>48</v>
      </c>
      <c r="C44" s="138" t="s">
        <v>236</v>
      </c>
      <c r="D44" s="53" t="s">
        <v>237</v>
      </c>
      <c r="E44" s="53" t="s">
        <v>294</v>
      </c>
      <c r="F44" s="52" t="s">
        <v>238</v>
      </c>
      <c r="G44" s="52"/>
      <c r="H44" s="53" t="s">
        <v>239</v>
      </c>
      <c r="I44" s="53" t="s">
        <v>33</v>
      </c>
      <c r="J44" s="53" t="s">
        <v>43</v>
      </c>
      <c r="K44" s="1" t="s">
        <v>103</v>
      </c>
      <c r="L44" s="1" t="s">
        <v>240</v>
      </c>
      <c r="M44" s="23">
        <v>10</v>
      </c>
      <c r="N44" s="24" t="s">
        <v>223</v>
      </c>
      <c r="O44" s="25">
        <f t="shared" si="0"/>
        <v>336571</v>
      </c>
      <c r="P44" s="14" t="e">
        <f>+O44*#REF!</f>
        <v>#REF!</v>
      </c>
      <c r="Q44" s="32">
        <v>12429</v>
      </c>
      <c r="R44" s="110">
        <f t="shared" ref="R44:R56" si="7">+SUM(S44:V44)</f>
        <v>0</v>
      </c>
      <c r="S44" s="111"/>
      <c r="T44" s="111"/>
      <c r="U44" s="111"/>
      <c r="V44" s="112"/>
      <c r="W44" s="104">
        <f t="shared" si="2"/>
        <v>16571</v>
      </c>
      <c r="X44" s="92">
        <v>0</v>
      </c>
      <c r="Y44" s="97">
        <v>16571</v>
      </c>
      <c r="Z44" s="27">
        <f t="shared" si="3"/>
        <v>320000</v>
      </c>
      <c r="AA44" s="29">
        <v>320000</v>
      </c>
      <c r="AB44" s="64"/>
      <c r="AC44" s="49">
        <f t="shared" si="4"/>
        <v>0</v>
      </c>
      <c r="AD44" s="29"/>
      <c r="AE44" s="57"/>
      <c r="AF44" s="49">
        <f t="shared" si="5"/>
        <v>0</v>
      </c>
      <c r="AG44" s="29"/>
      <c r="AH44" s="57"/>
      <c r="AI44" s="49">
        <f t="shared" si="6"/>
        <v>0</v>
      </c>
      <c r="AJ44" s="29"/>
      <c r="AK44" s="57"/>
      <c r="AL44" s="51"/>
      <c r="AM44" s="58">
        <v>41759</v>
      </c>
      <c r="AN44" s="59">
        <v>32000</v>
      </c>
      <c r="AO44" s="59" t="s">
        <v>353</v>
      </c>
      <c r="AP44" s="14"/>
      <c r="AW44" s="14" t="e">
        <f>AU44-#REF!-#REF!-Q44+AV44</f>
        <v>#REF!</v>
      </c>
      <c r="AX44" s="59"/>
      <c r="AY44" s="3"/>
      <c r="AZ44" s="2"/>
    </row>
    <row r="45" spans="1:52" ht="31.5">
      <c r="A45" s="134"/>
      <c r="B45" s="53">
        <v>49</v>
      </c>
      <c r="C45" s="66" t="s">
        <v>242</v>
      </c>
      <c r="D45" s="53" t="s">
        <v>107</v>
      </c>
      <c r="E45" s="53" t="s">
        <v>291</v>
      </c>
      <c r="F45" s="52" t="s">
        <v>243</v>
      </c>
      <c r="G45" s="52"/>
      <c r="H45" s="53" t="s">
        <v>244</v>
      </c>
      <c r="I45" s="53" t="s">
        <v>111</v>
      </c>
      <c r="J45" s="53" t="s">
        <v>70</v>
      </c>
      <c r="K45" s="1" t="s">
        <v>103</v>
      </c>
      <c r="L45" s="1" t="s">
        <v>245</v>
      </c>
      <c r="M45" s="23">
        <v>10</v>
      </c>
      <c r="N45" s="24" t="s">
        <v>223</v>
      </c>
      <c r="O45" s="25">
        <f t="shared" si="0"/>
        <v>465376.27</v>
      </c>
      <c r="P45" s="25">
        <v>415000</v>
      </c>
      <c r="Q45" s="65">
        <v>22458</v>
      </c>
      <c r="R45" s="110">
        <f>+SUM(T45:V45)</f>
        <v>0</v>
      </c>
      <c r="S45" s="113"/>
      <c r="T45" s="113"/>
      <c r="U45" s="111"/>
      <c r="V45" s="114"/>
      <c r="W45" s="104">
        <f t="shared" si="2"/>
        <v>152075</v>
      </c>
      <c r="X45" s="92">
        <v>129617</v>
      </c>
      <c r="Y45" s="99">
        <v>22458</v>
      </c>
      <c r="Z45" s="27">
        <f>+AA45+AB45</f>
        <v>313301.27</v>
      </c>
      <c r="AA45" s="29">
        <v>313301.27</v>
      </c>
      <c r="AB45" s="64"/>
      <c r="AC45" s="49">
        <f t="shared" si="4"/>
        <v>0</v>
      </c>
      <c r="AD45" s="29"/>
      <c r="AE45" s="57"/>
      <c r="AF45" s="49">
        <f t="shared" si="5"/>
        <v>0</v>
      </c>
      <c r="AG45" s="29"/>
      <c r="AH45" s="57"/>
      <c r="AI45" s="49">
        <f t="shared" si="6"/>
        <v>0</v>
      </c>
      <c r="AJ45" s="29"/>
      <c r="AK45" s="57"/>
      <c r="AL45" s="51"/>
      <c r="AM45" s="58">
        <v>41818</v>
      </c>
      <c r="AN45" s="59">
        <v>64000</v>
      </c>
      <c r="AO45" s="59" t="s">
        <v>54</v>
      </c>
      <c r="AP45" s="14"/>
      <c r="AW45" s="14" t="e">
        <f>AU45-#REF!-#REF!-Q45+AV45</f>
        <v>#REF!</v>
      </c>
      <c r="AY45" s="1"/>
      <c r="AZ45" s="2"/>
    </row>
    <row r="46" spans="1:52" ht="31.5">
      <c r="A46" s="132"/>
      <c r="B46" s="53">
        <v>50</v>
      </c>
      <c r="C46" s="136" t="s">
        <v>247</v>
      </c>
      <c r="D46" s="53" t="s">
        <v>107</v>
      </c>
      <c r="E46" s="53" t="s">
        <v>291</v>
      </c>
      <c r="F46" s="52" t="s">
        <v>248</v>
      </c>
      <c r="G46" s="52"/>
      <c r="H46" s="53" t="s">
        <v>249</v>
      </c>
      <c r="I46" s="53" t="s">
        <v>111</v>
      </c>
      <c r="J46" s="53" t="s">
        <v>70</v>
      </c>
      <c r="K46" s="1" t="s">
        <v>103</v>
      </c>
      <c r="L46" s="1" t="s">
        <v>245</v>
      </c>
      <c r="M46" s="23">
        <v>25</v>
      </c>
      <c r="N46" s="24" t="s">
        <v>223</v>
      </c>
      <c r="O46" s="25">
        <f t="shared" si="0"/>
        <v>386296.3</v>
      </c>
      <c r="P46" s="25">
        <v>509000</v>
      </c>
      <c r="Q46" s="27"/>
      <c r="R46" s="110">
        <f t="shared" si="7"/>
        <v>120000</v>
      </c>
      <c r="S46" s="113"/>
      <c r="T46" s="113"/>
      <c r="U46" s="111"/>
      <c r="V46" s="114">
        <v>120000</v>
      </c>
      <c r="W46" s="104">
        <f t="shared" si="2"/>
        <v>0</v>
      </c>
      <c r="X46" s="92">
        <v>0</v>
      </c>
      <c r="Y46" s="99">
        <v>0</v>
      </c>
      <c r="Z46" s="27">
        <f t="shared" si="3"/>
        <v>386296.3</v>
      </c>
      <c r="AA46" s="29">
        <v>386296.3</v>
      </c>
      <c r="AB46" s="64"/>
      <c r="AC46" s="49">
        <f t="shared" si="4"/>
        <v>0</v>
      </c>
      <c r="AD46" s="29"/>
      <c r="AE46" s="57"/>
      <c r="AF46" s="49">
        <f t="shared" si="5"/>
        <v>0</v>
      </c>
      <c r="AG46" s="29"/>
      <c r="AH46" s="57"/>
      <c r="AI46" s="49">
        <f t="shared" si="6"/>
        <v>0</v>
      </c>
      <c r="AJ46" s="29"/>
      <c r="AK46" s="57"/>
      <c r="AL46" s="51"/>
      <c r="AM46" s="58">
        <v>41818</v>
      </c>
      <c r="AN46" s="59">
        <v>78000</v>
      </c>
      <c r="AO46" s="59" t="s">
        <v>54</v>
      </c>
      <c r="AP46" s="14"/>
      <c r="AW46" s="14" t="e">
        <f>AU46-#REF!-#REF!-Q46+AV46</f>
        <v>#REF!</v>
      </c>
    </row>
    <row r="47" spans="1:52" ht="31.5">
      <c r="A47" s="133"/>
      <c r="B47" s="53">
        <v>51</v>
      </c>
      <c r="C47" s="66" t="s">
        <v>251</v>
      </c>
      <c r="D47" s="53" t="s">
        <v>252</v>
      </c>
      <c r="E47" s="53" t="s">
        <v>293</v>
      </c>
      <c r="F47" s="52" t="s">
        <v>253</v>
      </c>
      <c r="G47" s="52" t="s">
        <v>254</v>
      </c>
      <c r="H47" s="53" t="s">
        <v>255</v>
      </c>
      <c r="I47" s="53" t="s">
        <v>50</v>
      </c>
      <c r="J47" s="53" t="s">
        <v>43</v>
      </c>
      <c r="K47" s="1" t="s">
        <v>35</v>
      </c>
      <c r="L47" s="1"/>
      <c r="M47" s="23">
        <v>200</v>
      </c>
      <c r="N47" s="24" t="s">
        <v>223</v>
      </c>
      <c r="O47" s="25">
        <f t="shared" si="0"/>
        <v>650000</v>
      </c>
      <c r="P47" s="14" t="e">
        <f>+O47*#REF!</f>
        <v>#REF!</v>
      </c>
      <c r="Q47" s="27"/>
      <c r="R47" s="110">
        <f t="shared" si="7"/>
        <v>0</v>
      </c>
      <c r="S47" s="113"/>
      <c r="T47" s="113"/>
      <c r="U47" s="111"/>
      <c r="V47" s="114"/>
      <c r="W47" s="104">
        <f t="shared" si="2"/>
        <v>0</v>
      </c>
      <c r="X47" s="92">
        <v>0</v>
      </c>
      <c r="Y47" s="99">
        <v>0</v>
      </c>
      <c r="Z47" s="27">
        <f t="shared" si="3"/>
        <v>650000</v>
      </c>
      <c r="AA47" s="29">
        <v>650000</v>
      </c>
      <c r="AB47" s="64"/>
      <c r="AC47" s="49">
        <f t="shared" si="4"/>
        <v>0</v>
      </c>
      <c r="AD47" s="29"/>
      <c r="AE47" s="57"/>
      <c r="AF47" s="49">
        <f t="shared" si="5"/>
        <v>0</v>
      </c>
      <c r="AG47" s="29"/>
      <c r="AH47" s="57"/>
      <c r="AI47" s="49">
        <f t="shared" si="6"/>
        <v>0</v>
      </c>
      <c r="AJ47" s="29"/>
      <c r="AK47" s="57"/>
      <c r="AL47" s="51"/>
      <c r="AM47" s="58">
        <v>42154</v>
      </c>
      <c r="AN47" s="59">
        <v>100000</v>
      </c>
      <c r="AO47" s="59" t="s">
        <v>54</v>
      </c>
      <c r="AP47" s="14"/>
      <c r="AT47" s="30" t="s">
        <v>39</v>
      </c>
      <c r="AV47" s="6">
        <v>343500</v>
      </c>
      <c r="AW47" s="6" t="e">
        <f>AU47-#REF!-#REF!-Q47+AV47</f>
        <v>#REF!</v>
      </c>
      <c r="AY47" s="1"/>
      <c r="AZ47" s="2"/>
    </row>
    <row r="48" spans="1:52" ht="31.5">
      <c r="A48" s="134"/>
      <c r="B48" s="53">
        <v>52</v>
      </c>
      <c r="C48" s="66" t="s">
        <v>259</v>
      </c>
      <c r="D48" s="53" t="s">
        <v>260</v>
      </c>
      <c r="E48" s="53" t="s">
        <v>293</v>
      </c>
      <c r="F48" s="52"/>
      <c r="G48" s="52"/>
      <c r="H48" s="53" t="s">
        <v>261</v>
      </c>
      <c r="I48" s="53" t="s">
        <v>50</v>
      </c>
      <c r="J48" s="53" t="s">
        <v>34</v>
      </c>
      <c r="K48" s="1" t="s">
        <v>103</v>
      </c>
      <c r="L48" s="1" t="s">
        <v>262</v>
      </c>
      <c r="M48" s="23">
        <v>25</v>
      </c>
      <c r="N48" s="24" t="s">
        <v>223</v>
      </c>
      <c r="O48" s="25">
        <f t="shared" si="0"/>
        <v>286482.27</v>
      </c>
      <c r="P48" s="25">
        <v>375000</v>
      </c>
      <c r="Q48" s="27"/>
      <c r="R48" s="110">
        <f t="shared" si="7"/>
        <v>0</v>
      </c>
      <c r="S48" s="113"/>
      <c r="T48" s="113"/>
      <c r="U48" s="113"/>
      <c r="V48" s="114"/>
      <c r="W48" s="104">
        <f t="shared" si="2"/>
        <v>0</v>
      </c>
      <c r="X48" s="92">
        <v>0</v>
      </c>
      <c r="Y48" s="99">
        <v>0</v>
      </c>
      <c r="Z48" s="27">
        <f t="shared" si="3"/>
        <v>286482.27</v>
      </c>
      <c r="AA48" s="29">
        <v>286482.27</v>
      </c>
      <c r="AB48" s="64"/>
      <c r="AC48" s="49">
        <f t="shared" si="4"/>
        <v>0</v>
      </c>
      <c r="AD48" s="29"/>
      <c r="AE48" s="57"/>
      <c r="AF48" s="49">
        <f t="shared" si="5"/>
        <v>0</v>
      </c>
      <c r="AG48" s="29"/>
      <c r="AH48" s="57"/>
      <c r="AI48" s="49">
        <f t="shared" si="6"/>
        <v>0</v>
      </c>
      <c r="AJ48" s="29"/>
      <c r="AK48" s="57"/>
      <c r="AL48" s="51"/>
      <c r="AM48" s="58">
        <v>41850</v>
      </c>
      <c r="AN48" s="59">
        <v>52000</v>
      </c>
      <c r="AO48" s="59" t="s">
        <v>176</v>
      </c>
      <c r="AP48" s="53"/>
      <c r="AQ48" s="53" t="s">
        <v>226</v>
      </c>
      <c r="AR48" s="53" t="s">
        <v>227</v>
      </c>
      <c r="AS48" s="53" t="s">
        <v>228</v>
      </c>
      <c r="AT48" s="53" t="s">
        <v>229</v>
      </c>
      <c r="AU48" s="59">
        <f>156000+364000</f>
        <v>520000</v>
      </c>
      <c r="AV48" s="59"/>
      <c r="AW48" s="59" t="e">
        <f>AU48-#REF!-#REF!-Q48+AV48</f>
        <v>#REF!</v>
      </c>
    </row>
    <row r="49" spans="1:82" ht="19.899999999999999" customHeight="1">
      <c r="A49" s="132"/>
      <c r="B49" s="53">
        <v>53</v>
      </c>
      <c r="C49" s="66" t="s">
        <v>264</v>
      </c>
      <c r="D49" s="53" t="s">
        <v>265</v>
      </c>
      <c r="E49" s="53" t="s">
        <v>291</v>
      </c>
      <c r="F49" s="52"/>
      <c r="G49" s="52"/>
      <c r="H49" s="53" t="s">
        <v>264</v>
      </c>
      <c r="I49" s="53" t="s">
        <v>111</v>
      </c>
      <c r="J49" s="53" t="s">
        <v>34</v>
      </c>
      <c r="K49" s="1" t="s">
        <v>103</v>
      </c>
      <c r="L49" s="1" t="s">
        <v>139</v>
      </c>
      <c r="M49" s="23">
        <v>10</v>
      </c>
      <c r="N49" s="24" t="s">
        <v>223</v>
      </c>
      <c r="O49" s="25">
        <f t="shared" si="0"/>
        <v>460000</v>
      </c>
      <c r="P49" s="14" t="e">
        <f>+O49*#REF!</f>
        <v>#REF!</v>
      </c>
      <c r="Q49" s="31">
        <v>75000</v>
      </c>
      <c r="R49" s="110">
        <f t="shared" si="7"/>
        <v>20000</v>
      </c>
      <c r="S49" s="113"/>
      <c r="T49" s="113"/>
      <c r="U49" s="113"/>
      <c r="V49" s="114">
        <v>20000</v>
      </c>
      <c r="W49" s="104">
        <f t="shared" si="2"/>
        <v>0</v>
      </c>
      <c r="X49" s="92">
        <v>0</v>
      </c>
      <c r="Y49" s="99">
        <v>0</v>
      </c>
      <c r="Z49" s="27">
        <f t="shared" si="3"/>
        <v>460000</v>
      </c>
      <c r="AA49" s="29">
        <v>460000</v>
      </c>
      <c r="AB49" s="64"/>
      <c r="AC49" s="49">
        <f t="shared" si="4"/>
        <v>0</v>
      </c>
      <c r="AD49" s="29"/>
      <c r="AE49" s="57"/>
      <c r="AF49" s="49">
        <f t="shared" si="5"/>
        <v>0</v>
      </c>
      <c r="AG49" s="29"/>
      <c r="AH49" s="57"/>
      <c r="AI49" s="49">
        <f t="shared" si="6"/>
        <v>0</v>
      </c>
      <c r="AJ49" s="29"/>
      <c r="AK49" s="57"/>
      <c r="AL49" s="51"/>
      <c r="AM49" s="58">
        <v>41943</v>
      </c>
      <c r="AN49" s="59">
        <v>75000</v>
      </c>
      <c r="AO49" s="59" t="s">
        <v>54</v>
      </c>
      <c r="AP49" s="14"/>
      <c r="AW49" s="14" t="e">
        <f>AU49-#REF!-#REF!-Q49+AV49</f>
        <v>#REF!</v>
      </c>
      <c r="AY49" s="1"/>
      <c r="AZ49" s="2"/>
    </row>
    <row r="50" spans="1:82" ht="19.899999999999999" customHeight="1">
      <c r="A50" s="133"/>
      <c r="B50" s="53">
        <v>54</v>
      </c>
      <c r="C50" s="66" t="s">
        <v>266</v>
      </c>
      <c r="D50" s="53" t="s">
        <v>267</v>
      </c>
      <c r="E50" s="53" t="s">
        <v>291</v>
      </c>
      <c r="F50" s="52"/>
      <c r="G50" s="52"/>
      <c r="H50" s="53" t="s">
        <v>359</v>
      </c>
      <c r="I50" s="53" t="s">
        <v>111</v>
      </c>
      <c r="J50" s="53" t="s">
        <v>34</v>
      </c>
      <c r="K50" s="1" t="s">
        <v>103</v>
      </c>
      <c r="L50" s="1" t="s">
        <v>268</v>
      </c>
      <c r="M50" s="23">
        <v>35</v>
      </c>
      <c r="N50" s="24" t="s">
        <v>223</v>
      </c>
      <c r="O50" s="25">
        <f t="shared" si="0"/>
        <v>335000</v>
      </c>
      <c r="P50" s="14" t="e">
        <f>+O50*#REF!</f>
        <v>#REF!</v>
      </c>
      <c r="Q50" s="27"/>
      <c r="R50" s="110">
        <f t="shared" si="7"/>
        <v>0</v>
      </c>
      <c r="S50" s="113"/>
      <c r="T50" s="113"/>
      <c r="U50" s="113"/>
      <c r="V50" s="114"/>
      <c r="W50" s="104">
        <f t="shared" si="2"/>
        <v>0</v>
      </c>
      <c r="X50" s="92">
        <v>0</v>
      </c>
      <c r="Y50" s="99">
        <v>0</v>
      </c>
      <c r="Z50" s="27">
        <f t="shared" si="3"/>
        <v>335000</v>
      </c>
      <c r="AA50" s="29">
        <v>335000</v>
      </c>
      <c r="AB50" s="64"/>
      <c r="AC50" s="49">
        <f t="shared" si="4"/>
        <v>0</v>
      </c>
      <c r="AD50" s="29"/>
      <c r="AE50" s="57"/>
      <c r="AF50" s="49">
        <f t="shared" si="5"/>
        <v>0</v>
      </c>
      <c r="AG50" s="29"/>
      <c r="AH50" s="57"/>
      <c r="AI50" s="49">
        <f t="shared" si="6"/>
        <v>0</v>
      </c>
      <c r="AJ50" s="29"/>
      <c r="AK50" s="57"/>
      <c r="AL50" s="51"/>
      <c r="AM50" s="58">
        <v>42674</v>
      </c>
      <c r="AN50" s="59">
        <v>35000</v>
      </c>
      <c r="AO50" s="59" t="s">
        <v>54</v>
      </c>
      <c r="AP50" s="14"/>
      <c r="AW50" s="14"/>
    </row>
    <row r="51" spans="1:82" ht="19.899999999999999" customHeight="1">
      <c r="A51" s="134"/>
      <c r="B51" s="66">
        <v>55</v>
      </c>
      <c r="C51" s="136" t="s">
        <v>269</v>
      </c>
      <c r="D51" s="66" t="s">
        <v>30</v>
      </c>
      <c r="E51" s="66" t="s">
        <v>290</v>
      </c>
      <c r="F51" s="52"/>
      <c r="G51" s="52"/>
      <c r="H51" s="66" t="s">
        <v>361</v>
      </c>
      <c r="I51" s="66" t="s">
        <v>33</v>
      </c>
      <c r="J51" s="66" t="s">
        <v>34</v>
      </c>
      <c r="K51" s="1" t="s">
        <v>35</v>
      </c>
      <c r="L51" s="1"/>
      <c r="M51" s="23"/>
      <c r="N51" s="24" t="s">
        <v>223</v>
      </c>
      <c r="O51" s="25">
        <f t="shared" si="0"/>
        <v>400000</v>
      </c>
      <c r="P51" s="14" t="e">
        <f>+O51*#REF!</f>
        <v>#REF!</v>
      </c>
      <c r="Q51" s="27"/>
      <c r="R51" s="110">
        <f t="shared" si="7"/>
        <v>50000</v>
      </c>
      <c r="S51" s="113"/>
      <c r="T51" s="113"/>
      <c r="U51" s="113"/>
      <c r="V51" s="114">
        <v>50000</v>
      </c>
      <c r="W51" s="104">
        <f t="shared" si="2"/>
        <v>0</v>
      </c>
      <c r="X51" s="92">
        <v>0</v>
      </c>
      <c r="Y51" s="99">
        <v>0</v>
      </c>
      <c r="Z51" s="27">
        <f t="shared" si="3"/>
        <v>400000</v>
      </c>
      <c r="AA51" s="29">
        <v>400000</v>
      </c>
      <c r="AB51" s="64"/>
      <c r="AC51" s="49">
        <f t="shared" si="4"/>
        <v>0</v>
      </c>
      <c r="AD51" s="29"/>
      <c r="AE51" s="57"/>
      <c r="AF51" s="49">
        <f t="shared" si="5"/>
        <v>0</v>
      </c>
      <c r="AG51" s="29"/>
      <c r="AH51" s="57"/>
      <c r="AI51" s="49">
        <f t="shared" si="6"/>
        <v>0</v>
      </c>
      <c r="AJ51" s="29"/>
      <c r="AK51" s="57"/>
      <c r="AL51" s="51"/>
      <c r="AM51" s="58">
        <v>42003</v>
      </c>
      <c r="AN51" s="59">
        <v>80000</v>
      </c>
      <c r="AO51" s="59" t="s">
        <v>54</v>
      </c>
      <c r="AP51" s="14"/>
      <c r="AS51" s="3"/>
      <c r="AT51" s="3" t="s">
        <v>98</v>
      </c>
      <c r="AU51" s="2">
        <v>175000</v>
      </c>
      <c r="AV51" s="2"/>
      <c r="AW51" s="14" t="e">
        <f>AU51-#REF!-#REF!-Q51+AV51</f>
        <v>#REF!</v>
      </c>
      <c r="AX51" s="59"/>
    </row>
    <row r="52" spans="1:82" ht="19.899999999999999" customHeight="1">
      <c r="A52" s="132"/>
      <c r="B52" s="53">
        <v>56</v>
      </c>
      <c r="C52" s="66" t="s">
        <v>304</v>
      </c>
      <c r="D52" s="66" t="s">
        <v>305</v>
      </c>
      <c r="E52" s="66" t="s">
        <v>294</v>
      </c>
      <c r="F52" s="52"/>
      <c r="G52" s="52"/>
      <c r="H52" s="66" t="s">
        <v>360</v>
      </c>
      <c r="I52" s="66" t="s">
        <v>33</v>
      </c>
      <c r="J52" s="66" t="s">
        <v>34</v>
      </c>
      <c r="K52" s="1" t="s">
        <v>35</v>
      </c>
      <c r="L52" s="1"/>
      <c r="M52" s="23">
        <v>5</v>
      </c>
      <c r="N52" s="24" t="s">
        <v>223</v>
      </c>
      <c r="O52" s="25">
        <f t="shared" si="0"/>
        <v>255000</v>
      </c>
      <c r="P52" s="14" t="e">
        <f>+O52*#REF!</f>
        <v>#REF!</v>
      </c>
      <c r="Q52" s="27"/>
      <c r="R52" s="110">
        <f t="shared" si="7"/>
        <v>0</v>
      </c>
      <c r="S52" s="113"/>
      <c r="T52" s="113"/>
      <c r="U52" s="113"/>
      <c r="V52" s="114"/>
      <c r="W52" s="104">
        <f t="shared" si="2"/>
        <v>0</v>
      </c>
      <c r="X52" s="92">
        <v>0</v>
      </c>
      <c r="Y52" s="99">
        <v>0</v>
      </c>
      <c r="Z52" s="27">
        <f t="shared" si="3"/>
        <v>255000</v>
      </c>
      <c r="AA52" s="29">
        <v>255000</v>
      </c>
      <c r="AB52" s="64"/>
      <c r="AC52" s="49">
        <f t="shared" si="4"/>
        <v>0</v>
      </c>
      <c r="AD52" s="29"/>
      <c r="AE52" s="57"/>
      <c r="AF52" s="49">
        <f t="shared" si="5"/>
        <v>0</v>
      </c>
      <c r="AG52" s="29"/>
      <c r="AH52" s="57"/>
      <c r="AI52" s="49">
        <f t="shared" si="6"/>
        <v>0</v>
      </c>
      <c r="AJ52" s="29"/>
      <c r="AK52" s="57"/>
      <c r="AL52" s="51"/>
      <c r="AM52" s="58">
        <v>42005</v>
      </c>
      <c r="AN52" s="59">
        <v>40000</v>
      </c>
      <c r="AO52" s="59" t="s">
        <v>54</v>
      </c>
      <c r="AP52" s="14"/>
      <c r="AW52" s="14" t="e">
        <f>AU52-#REF!-#REF!-Q52+AV52</f>
        <v>#REF!</v>
      </c>
      <c r="AX52" s="59"/>
    </row>
    <row r="53" spans="1:82" ht="19.899999999999999" customHeight="1">
      <c r="A53" s="133"/>
      <c r="B53" s="66">
        <v>57</v>
      </c>
      <c r="C53" s="66" t="s">
        <v>307</v>
      </c>
      <c r="D53" s="66" t="s">
        <v>302</v>
      </c>
      <c r="E53" s="66" t="s">
        <v>292</v>
      </c>
      <c r="F53" s="52"/>
      <c r="G53" s="52"/>
      <c r="H53" s="66" t="s">
        <v>363</v>
      </c>
      <c r="I53" s="66" t="s">
        <v>64</v>
      </c>
      <c r="J53" s="66" t="s">
        <v>43</v>
      </c>
      <c r="K53" s="1" t="s">
        <v>103</v>
      </c>
      <c r="L53" s="1" t="s">
        <v>303</v>
      </c>
      <c r="M53" s="23"/>
      <c r="N53" s="24" t="s">
        <v>223</v>
      </c>
      <c r="O53" s="25">
        <f t="shared" si="0"/>
        <v>210000</v>
      </c>
      <c r="P53" s="14" t="e">
        <f>+O53*#REF!</f>
        <v>#REF!</v>
      </c>
      <c r="Q53" s="27"/>
      <c r="R53" s="110">
        <f t="shared" si="7"/>
        <v>450000</v>
      </c>
      <c r="S53" s="113"/>
      <c r="T53" s="113"/>
      <c r="U53" s="113"/>
      <c r="V53" s="114">
        <v>450000</v>
      </c>
      <c r="W53" s="104">
        <f t="shared" si="2"/>
        <v>0</v>
      </c>
      <c r="X53" s="92">
        <v>0</v>
      </c>
      <c r="Y53" s="99">
        <v>0</v>
      </c>
      <c r="Z53" s="27">
        <f t="shared" si="3"/>
        <v>210000</v>
      </c>
      <c r="AA53" s="29">
        <v>210000</v>
      </c>
      <c r="AB53" s="64">
        <v>0</v>
      </c>
      <c r="AC53" s="49"/>
      <c r="AD53" s="29"/>
      <c r="AE53" s="57"/>
      <c r="AF53" s="49"/>
      <c r="AG53" s="29"/>
      <c r="AH53" s="57"/>
      <c r="AI53" s="49"/>
      <c r="AJ53" s="29"/>
      <c r="AK53" s="57"/>
      <c r="AL53" s="51"/>
      <c r="AM53" s="71"/>
      <c r="AN53" s="59"/>
      <c r="AO53" s="59"/>
      <c r="AP53" s="14"/>
      <c r="AS53" s="1"/>
      <c r="AT53" s="1"/>
      <c r="AU53" s="2"/>
      <c r="AV53" s="2"/>
      <c r="AW53" s="14" t="e">
        <f>AU53-#REF!-#REF!-Q53+AV53</f>
        <v>#REF!</v>
      </c>
      <c r="AX53" s="59"/>
    </row>
    <row r="54" spans="1:82" ht="19.899999999999999" customHeight="1">
      <c r="A54" s="134"/>
      <c r="B54" s="53">
        <v>58</v>
      </c>
      <c r="C54" s="136" t="s">
        <v>300</v>
      </c>
      <c r="D54" s="66" t="s">
        <v>298</v>
      </c>
      <c r="E54" s="66" t="s">
        <v>291</v>
      </c>
      <c r="F54" s="52"/>
      <c r="G54" s="52"/>
      <c r="H54" s="66" t="s">
        <v>421</v>
      </c>
      <c r="I54" s="66" t="s">
        <v>111</v>
      </c>
      <c r="J54" s="66" t="s">
        <v>299</v>
      </c>
      <c r="K54" s="1" t="s">
        <v>103</v>
      </c>
      <c r="L54" s="1"/>
      <c r="M54" s="23"/>
      <c r="N54" s="24" t="s">
        <v>223</v>
      </c>
      <c r="O54" s="25">
        <f t="shared" si="0"/>
        <v>321120</v>
      </c>
      <c r="P54" s="14" t="e">
        <f>+O54*#REF!</f>
        <v>#REF!</v>
      </c>
      <c r="Q54" s="27"/>
      <c r="R54" s="110">
        <f t="shared" si="7"/>
        <v>0</v>
      </c>
      <c r="S54" s="113"/>
      <c r="T54" s="113"/>
      <c r="U54" s="113"/>
      <c r="V54" s="114"/>
      <c r="W54" s="104">
        <f t="shared" si="2"/>
        <v>0</v>
      </c>
      <c r="X54" s="92">
        <v>0</v>
      </c>
      <c r="Y54" s="99">
        <v>0</v>
      </c>
      <c r="Z54" s="27">
        <f t="shared" si="3"/>
        <v>321120</v>
      </c>
      <c r="AA54" s="29">
        <f>160560*2</f>
        <v>321120</v>
      </c>
      <c r="AB54" s="64"/>
      <c r="AC54" s="49"/>
      <c r="AD54" s="29"/>
      <c r="AE54" s="57"/>
      <c r="AF54" s="49"/>
      <c r="AG54" s="29"/>
      <c r="AH54" s="57"/>
      <c r="AI54" s="49"/>
      <c r="AJ54" s="29"/>
      <c r="AK54" s="57"/>
      <c r="AL54" s="51"/>
      <c r="AM54" s="71"/>
      <c r="AN54" s="59"/>
      <c r="AO54" s="59"/>
      <c r="AP54" s="14"/>
      <c r="AW54" s="14"/>
    </row>
    <row r="55" spans="1:82" ht="19.899999999999999" customHeight="1">
      <c r="A55" s="132"/>
      <c r="B55" s="73">
        <v>59</v>
      </c>
      <c r="C55" s="137" t="s">
        <v>301</v>
      </c>
      <c r="D55" s="73" t="s">
        <v>73</v>
      </c>
      <c r="E55" s="73" t="s">
        <v>293</v>
      </c>
      <c r="F55" s="74"/>
      <c r="G55" s="74"/>
      <c r="H55" s="73"/>
      <c r="I55" s="73" t="s">
        <v>50</v>
      </c>
      <c r="J55" s="73" t="s">
        <v>34</v>
      </c>
      <c r="K55" s="33" t="s">
        <v>103</v>
      </c>
      <c r="L55" s="33"/>
      <c r="M55" s="34"/>
      <c r="N55" s="75" t="s">
        <v>223</v>
      </c>
      <c r="O55" s="76">
        <f t="shared" si="0"/>
        <v>0</v>
      </c>
      <c r="P55" s="77" t="e">
        <f>+O55*#REF!</f>
        <v>#REF!</v>
      </c>
      <c r="Q55" s="79"/>
      <c r="R55" s="115">
        <f t="shared" si="7"/>
        <v>440000</v>
      </c>
      <c r="S55" s="116"/>
      <c r="T55" s="116"/>
      <c r="U55" s="116"/>
      <c r="V55" s="117">
        <v>440000</v>
      </c>
      <c r="W55" s="104">
        <f t="shared" si="2"/>
        <v>0</v>
      </c>
      <c r="X55" s="92">
        <v>0</v>
      </c>
      <c r="Y55" s="99">
        <v>0</v>
      </c>
      <c r="Z55" s="27">
        <f t="shared" si="3"/>
        <v>0</v>
      </c>
      <c r="AA55" s="31"/>
      <c r="AB55" s="64"/>
      <c r="AC55" s="49"/>
      <c r="AD55" s="29"/>
      <c r="AE55" s="57"/>
      <c r="AF55" s="49"/>
      <c r="AG55" s="29"/>
      <c r="AH55" s="57"/>
      <c r="AI55" s="49"/>
      <c r="AJ55" s="29"/>
      <c r="AK55" s="57"/>
      <c r="AL55" s="51"/>
      <c r="AM55" s="71"/>
      <c r="AN55" s="59"/>
      <c r="AO55" s="59"/>
      <c r="AP55" s="14"/>
      <c r="AT55" s="5" t="s">
        <v>235</v>
      </c>
      <c r="AU55" s="6">
        <f>70665+163916</f>
        <v>234581</v>
      </c>
      <c r="AW55" s="6" t="e">
        <f>AU55-#REF!-#REF!-Q55+AV55</f>
        <v>#REF!</v>
      </c>
    </row>
    <row r="56" spans="1:82" ht="20.45" customHeight="1">
      <c r="A56" s="133"/>
      <c r="B56" s="53">
        <v>60</v>
      </c>
      <c r="C56" s="66" t="s">
        <v>297</v>
      </c>
      <c r="D56" s="66" t="s">
        <v>297</v>
      </c>
      <c r="E56" s="66" t="s">
        <v>294</v>
      </c>
      <c r="F56" s="52"/>
      <c r="G56" s="52"/>
      <c r="H56" s="66"/>
      <c r="I56" s="66" t="s">
        <v>111</v>
      </c>
      <c r="J56" s="66" t="s">
        <v>34</v>
      </c>
      <c r="K56" s="1" t="s">
        <v>154</v>
      </c>
      <c r="L56" s="1" t="s">
        <v>310</v>
      </c>
      <c r="M56" s="23"/>
      <c r="N56" s="24" t="s">
        <v>335</v>
      </c>
      <c r="O56" s="25">
        <f t="shared" si="0"/>
        <v>359238</v>
      </c>
      <c r="P56" s="14"/>
      <c r="Q56" s="27"/>
      <c r="R56" s="110">
        <f t="shared" si="7"/>
        <v>0</v>
      </c>
      <c r="S56" s="113">
        <v>0</v>
      </c>
      <c r="T56" s="113"/>
      <c r="U56" s="113"/>
      <c r="V56" s="114"/>
      <c r="W56" s="104">
        <f t="shared" si="2"/>
        <v>359238</v>
      </c>
      <c r="X56" s="92">
        <f>4238+355000</f>
        <v>359238</v>
      </c>
      <c r="Y56" s="99">
        <v>0</v>
      </c>
      <c r="Z56" s="27">
        <f t="shared" si="3"/>
        <v>0</v>
      </c>
      <c r="AA56" s="29"/>
      <c r="AB56" s="64"/>
      <c r="AC56" s="49">
        <f>+AD56+AE56</f>
        <v>0</v>
      </c>
      <c r="AD56" s="29"/>
      <c r="AE56" s="57"/>
      <c r="AF56" s="49">
        <f>+AG56+AH56</f>
        <v>0</v>
      </c>
      <c r="AG56" s="29"/>
      <c r="AH56" s="57"/>
      <c r="AI56" s="49">
        <f>+AJ56+AK56</f>
        <v>0</v>
      </c>
      <c r="AJ56" s="29"/>
      <c r="AK56" s="57"/>
      <c r="AL56" s="51"/>
      <c r="AM56" s="71"/>
      <c r="AN56" s="59"/>
      <c r="AO56" s="59"/>
      <c r="AP56" s="14"/>
      <c r="AW56" s="14" t="e">
        <f>AU56-#REF!-#REF!-Q56+AV56</f>
        <v>#REF!</v>
      </c>
    </row>
    <row r="57" spans="1:82" ht="20.45" customHeight="1">
      <c r="A57" s="134"/>
      <c r="B57" s="66">
        <v>61</v>
      </c>
      <c r="C57" s="66" t="s">
        <v>388</v>
      </c>
      <c r="D57" s="53" t="s">
        <v>107</v>
      </c>
      <c r="E57" s="53" t="s">
        <v>291</v>
      </c>
      <c r="F57" s="52"/>
      <c r="G57" s="52"/>
      <c r="H57" s="53"/>
      <c r="I57" s="53" t="s">
        <v>111</v>
      </c>
      <c r="J57" s="53"/>
      <c r="K57" s="1"/>
      <c r="L57" s="1" t="s">
        <v>245</v>
      </c>
      <c r="M57" s="23"/>
      <c r="N57" s="24" t="s">
        <v>335</v>
      </c>
      <c r="O57" s="25">
        <f t="shared" si="0"/>
        <v>322900.35681004828</v>
      </c>
      <c r="P57" s="14"/>
      <c r="Q57" s="14"/>
      <c r="R57" s="110">
        <f>+SUM(T57:V57)</f>
        <v>0</v>
      </c>
      <c r="S57" s="113"/>
      <c r="T57" s="113"/>
      <c r="U57" s="111"/>
      <c r="V57" s="114"/>
      <c r="W57" s="104">
        <f t="shared" si="2"/>
        <v>322900.35681004828</v>
      </c>
      <c r="X57" s="92">
        <f>(220000/1.3635)+(220000/1.3618)</f>
        <v>322900.35681004828</v>
      </c>
      <c r="Y57" s="99">
        <v>0</v>
      </c>
      <c r="Z57" s="27">
        <f t="shared" si="3"/>
        <v>0</v>
      </c>
      <c r="AA57" s="29"/>
      <c r="AB57" s="64"/>
      <c r="AC57" s="49"/>
      <c r="AD57" s="29"/>
      <c r="AE57" s="57"/>
      <c r="AF57" s="49"/>
      <c r="AG57" s="29"/>
      <c r="AH57" s="57"/>
      <c r="AI57" s="49"/>
      <c r="AJ57" s="29"/>
      <c r="AK57" s="57"/>
      <c r="AL57" s="51"/>
      <c r="AM57" s="58"/>
      <c r="AN57" s="59"/>
      <c r="AO57" s="59"/>
      <c r="AP57" s="14"/>
      <c r="AW57" s="14"/>
      <c r="AX57" s="59"/>
    </row>
    <row r="58" spans="1:82" s="87" customFormat="1" ht="31.5">
      <c r="A58" s="132"/>
      <c r="B58" s="66">
        <v>62</v>
      </c>
      <c r="C58" s="66" t="s">
        <v>394</v>
      </c>
      <c r="D58" s="53" t="s">
        <v>107</v>
      </c>
      <c r="E58" s="53" t="s">
        <v>291</v>
      </c>
      <c r="F58" s="52"/>
      <c r="G58" s="52"/>
      <c r="H58" s="53" t="s">
        <v>395</v>
      </c>
      <c r="I58" s="53" t="s">
        <v>111</v>
      </c>
      <c r="J58" s="53" t="s">
        <v>34</v>
      </c>
      <c r="K58" s="1" t="s">
        <v>103</v>
      </c>
      <c r="L58" s="1" t="s">
        <v>396</v>
      </c>
      <c r="M58" s="23"/>
      <c r="N58" s="24" t="s">
        <v>335</v>
      </c>
      <c r="O58" s="25">
        <f t="shared" si="0"/>
        <v>201700</v>
      </c>
      <c r="P58" s="14"/>
      <c r="Q58" s="14"/>
      <c r="R58" s="115">
        <f>+SUM(T58:V58)</f>
        <v>0</v>
      </c>
      <c r="S58" s="113"/>
      <c r="T58" s="113"/>
      <c r="U58" s="144"/>
      <c r="V58" s="114"/>
      <c r="W58" s="104">
        <f t="shared" si="2"/>
        <v>201700</v>
      </c>
      <c r="X58" s="92">
        <v>201700</v>
      </c>
      <c r="Y58" s="99">
        <v>0</v>
      </c>
      <c r="Z58" s="27">
        <f t="shared" si="3"/>
        <v>0</v>
      </c>
      <c r="AA58" s="29"/>
      <c r="AB58" s="64"/>
      <c r="AC58" s="49"/>
      <c r="AD58" s="29"/>
      <c r="AE58" s="57"/>
      <c r="AF58" s="49"/>
      <c r="AG58" s="29"/>
      <c r="AH58" s="57"/>
      <c r="AI58" s="49"/>
      <c r="AJ58" s="29"/>
      <c r="AK58" s="57"/>
      <c r="AL58" s="51"/>
      <c r="AM58" s="58"/>
      <c r="AN58" s="59">
        <v>91000</v>
      </c>
      <c r="AO58" s="59"/>
      <c r="AP58" s="14"/>
      <c r="AQ58" s="5"/>
      <c r="AR58" s="5"/>
      <c r="AS58" s="5"/>
      <c r="AT58" s="5"/>
      <c r="AU58" s="6"/>
      <c r="AV58" s="6"/>
      <c r="AW58" s="14"/>
      <c r="AX58" s="59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:82" s="87" customFormat="1" ht="20.45" customHeight="1">
      <c r="A59" s="133"/>
      <c r="B59" s="66">
        <v>63</v>
      </c>
      <c r="C59" s="66" t="s">
        <v>378</v>
      </c>
      <c r="D59" s="53" t="s">
        <v>379</v>
      </c>
      <c r="E59" s="53" t="s">
        <v>290</v>
      </c>
      <c r="F59" s="52"/>
      <c r="G59" s="52"/>
      <c r="H59" s="53" t="s">
        <v>422</v>
      </c>
      <c r="I59" s="53" t="s">
        <v>33</v>
      </c>
      <c r="J59" s="53"/>
      <c r="K59" s="1"/>
      <c r="L59" s="1" t="s">
        <v>380</v>
      </c>
      <c r="M59" s="23"/>
      <c r="N59" s="24">
        <v>2014</v>
      </c>
      <c r="O59" s="25">
        <f>+AL59+AI59+AF59+AC59+Z59+W59</f>
        <v>0</v>
      </c>
      <c r="P59" s="14"/>
      <c r="Q59" s="26"/>
      <c r="R59" s="110">
        <f>+SUM(S59:V59)</f>
        <v>430000</v>
      </c>
      <c r="S59" s="113"/>
      <c r="T59" s="143"/>
      <c r="U59" s="144"/>
      <c r="V59" s="145">
        <v>430000</v>
      </c>
      <c r="W59" s="104">
        <f>+X59+Y59</f>
        <v>0</v>
      </c>
      <c r="X59" s="92">
        <v>0</v>
      </c>
      <c r="Y59" s="99">
        <v>0</v>
      </c>
      <c r="Z59" s="27"/>
      <c r="AA59" s="29"/>
      <c r="AB59" s="64"/>
      <c r="AC59" s="49"/>
      <c r="AD59" s="29"/>
      <c r="AE59" s="57"/>
      <c r="AF59" s="49"/>
      <c r="AG59" s="29"/>
      <c r="AH59" s="57"/>
      <c r="AI59" s="49"/>
      <c r="AJ59" s="29"/>
      <c r="AK59" s="57"/>
      <c r="AL59" s="51"/>
      <c r="AM59" s="58"/>
      <c r="AN59" s="59"/>
      <c r="AO59" s="59"/>
      <c r="AP59" s="14"/>
      <c r="AQ59" s="5"/>
      <c r="AR59" s="5"/>
      <c r="AS59" s="5"/>
      <c r="AT59" s="5"/>
      <c r="AU59" s="6"/>
      <c r="AV59" s="6"/>
      <c r="AW59" s="14"/>
      <c r="AX59" s="59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s="87" customFormat="1" ht="20.45" customHeight="1">
      <c r="A60" s="134"/>
      <c r="B60" s="73"/>
      <c r="C60" s="73" t="s">
        <v>309</v>
      </c>
      <c r="D60" s="62" t="s">
        <v>308</v>
      </c>
      <c r="E60" s="62" t="s">
        <v>294</v>
      </c>
      <c r="F60" s="74"/>
      <c r="G60" s="74"/>
      <c r="H60" s="62"/>
      <c r="I60" s="62" t="s">
        <v>111</v>
      </c>
      <c r="J60" s="62" t="s">
        <v>34</v>
      </c>
      <c r="K60" s="33" t="s">
        <v>103</v>
      </c>
      <c r="L60" s="33" t="s">
        <v>296</v>
      </c>
      <c r="M60" s="34"/>
      <c r="N60" s="75"/>
      <c r="O60" s="76">
        <f t="shared" si="0"/>
        <v>0</v>
      </c>
      <c r="P60" s="77"/>
      <c r="Q60" s="77"/>
      <c r="R60" s="115">
        <f t="shared" ref="R60:R69" si="8">+SUM(S60:V60)</f>
        <v>0</v>
      </c>
      <c r="S60" s="116"/>
      <c r="T60" s="116"/>
      <c r="U60" s="118"/>
      <c r="V60" s="117"/>
      <c r="W60" s="105">
        <f t="shared" si="2"/>
        <v>0</v>
      </c>
      <c r="X60" s="100">
        <v>0</v>
      </c>
      <c r="Y60" s="101">
        <v>0</v>
      </c>
      <c r="Z60" s="79">
        <f t="shared" si="3"/>
        <v>0</v>
      </c>
      <c r="AA60" s="80"/>
      <c r="AB60" s="81"/>
      <c r="AC60" s="82"/>
      <c r="AD60" s="80"/>
      <c r="AE60" s="83"/>
      <c r="AF60" s="82"/>
      <c r="AG60" s="80"/>
      <c r="AH60" s="83"/>
      <c r="AI60" s="82"/>
      <c r="AJ60" s="80"/>
      <c r="AK60" s="83"/>
      <c r="AL60" s="84"/>
      <c r="AM60" s="85"/>
      <c r="AN60" s="86"/>
      <c r="AO60" s="86"/>
      <c r="AP60" s="77"/>
      <c r="AU60" s="88"/>
      <c r="AV60" s="88"/>
      <c r="AW60" s="77"/>
      <c r="AX60" s="86"/>
    </row>
    <row r="61" spans="1:82" s="87" customFormat="1" ht="20.45" customHeight="1">
      <c r="A61" s="132"/>
      <c r="B61" s="73"/>
      <c r="C61" s="73" t="s">
        <v>312</v>
      </c>
      <c r="D61" s="62" t="s">
        <v>107</v>
      </c>
      <c r="E61" s="62" t="s">
        <v>291</v>
      </c>
      <c r="F61" s="74"/>
      <c r="G61" s="74"/>
      <c r="H61" s="62"/>
      <c r="I61" s="62" t="s">
        <v>111</v>
      </c>
      <c r="J61" s="62" t="s">
        <v>43</v>
      </c>
      <c r="K61" s="33"/>
      <c r="L61" s="33" t="s">
        <v>377</v>
      </c>
      <c r="M61" s="34"/>
      <c r="N61" s="75"/>
      <c r="O61" s="76">
        <f t="shared" si="0"/>
        <v>0</v>
      </c>
      <c r="P61" s="77"/>
      <c r="Q61" s="77"/>
      <c r="R61" s="115">
        <f t="shared" si="8"/>
        <v>510000</v>
      </c>
      <c r="S61" s="116"/>
      <c r="T61" s="116"/>
      <c r="U61" s="118"/>
      <c r="V61" s="117">
        <v>510000</v>
      </c>
      <c r="W61" s="105">
        <f t="shared" si="2"/>
        <v>0</v>
      </c>
      <c r="X61" s="100">
        <v>0</v>
      </c>
      <c r="Y61" s="101">
        <v>0</v>
      </c>
      <c r="Z61" s="79">
        <f t="shared" si="3"/>
        <v>0</v>
      </c>
      <c r="AA61" s="80"/>
      <c r="AB61" s="81"/>
      <c r="AC61" s="82"/>
      <c r="AD61" s="80"/>
      <c r="AE61" s="83"/>
      <c r="AF61" s="82"/>
      <c r="AG61" s="80"/>
      <c r="AH61" s="83"/>
      <c r="AI61" s="82"/>
      <c r="AJ61" s="80"/>
      <c r="AK61" s="83"/>
      <c r="AL61" s="84"/>
      <c r="AM61" s="85"/>
      <c r="AN61" s="86"/>
      <c r="AO61" s="86"/>
      <c r="AP61" s="77"/>
      <c r="AU61" s="88"/>
      <c r="AV61" s="88"/>
      <c r="AW61" s="77"/>
      <c r="AX61" s="86"/>
    </row>
    <row r="62" spans="1:82" s="87" customFormat="1" ht="20.45" customHeight="1">
      <c r="A62" s="133"/>
      <c r="B62" s="73"/>
      <c r="C62" s="73" t="s">
        <v>313</v>
      </c>
      <c r="D62" s="62" t="s">
        <v>107</v>
      </c>
      <c r="E62" s="62" t="s">
        <v>291</v>
      </c>
      <c r="F62" s="74"/>
      <c r="G62" s="74"/>
      <c r="H62" s="62"/>
      <c r="I62" s="62" t="s">
        <v>111</v>
      </c>
      <c r="J62" s="62" t="s">
        <v>34</v>
      </c>
      <c r="K62" s="33"/>
      <c r="L62" s="33" t="s">
        <v>377</v>
      </c>
      <c r="M62" s="34"/>
      <c r="N62" s="75"/>
      <c r="O62" s="76">
        <f t="shared" si="0"/>
        <v>0</v>
      </c>
      <c r="P62" s="77"/>
      <c r="Q62" s="77"/>
      <c r="R62" s="115">
        <f t="shared" si="8"/>
        <v>420000</v>
      </c>
      <c r="S62" s="116"/>
      <c r="T62" s="116"/>
      <c r="U62" s="118"/>
      <c r="V62" s="117">
        <v>420000</v>
      </c>
      <c r="W62" s="105">
        <f t="shared" si="2"/>
        <v>0</v>
      </c>
      <c r="X62" s="100">
        <v>0</v>
      </c>
      <c r="Y62" s="101">
        <v>0</v>
      </c>
      <c r="Z62" s="79">
        <f t="shared" si="3"/>
        <v>0</v>
      </c>
      <c r="AA62" s="80"/>
      <c r="AB62" s="81"/>
      <c r="AC62" s="82"/>
      <c r="AD62" s="80"/>
      <c r="AE62" s="83"/>
      <c r="AF62" s="82"/>
      <c r="AG62" s="80"/>
      <c r="AH62" s="83"/>
      <c r="AI62" s="82"/>
      <c r="AJ62" s="80"/>
      <c r="AK62" s="83"/>
      <c r="AL62" s="84"/>
      <c r="AM62" s="85"/>
      <c r="AN62" s="86"/>
      <c r="AO62" s="86"/>
      <c r="AP62" s="77"/>
      <c r="AU62" s="88"/>
      <c r="AV62" s="88"/>
      <c r="AW62" s="77"/>
      <c r="AX62" s="86"/>
    </row>
    <row r="63" spans="1:82" s="87" customFormat="1" ht="20.45" customHeight="1">
      <c r="A63" s="134"/>
      <c r="B63" s="73"/>
      <c r="C63" s="73" t="s">
        <v>332</v>
      </c>
      <c r="D63" s="62" t="s">
        <v>355</v>
      </c>
      <c r="E63" s="62" t="s">
        <v>339</v>
      </c>
      <c r="F63" s="74"/>
      <c r="G63" s="74"/>
      <c r="H63" s="62"/>
      <c r="I63" s="62" t="s">
        <v>33</v>
      </c>
      <c r="J63" s="62" t="s">
        <v>34</v>
      </c>
      <c r="K63" s="33"/>
      <c r="L63" s="33"/>
      <c r="M63" s="34"/>
      <c r="N63" s="75"/>
      <c r="O63" s="76">
        <f t="shared" si="0"/>
        <v>0</v>
      </c>
      <c r="P63" s="77"/>
      <c r="Q63" s="77"/>
      <c r="R63" s="115">
        <f t="shared" si="8"/>
        <v>486000</v>
      </c>
      <c r="S63" s="116"/>
      <c r="T63" s="116"/>
      <c r="U63" s="118"/>
      <c r="V63" s="146">
        <v>486000</v>
      </c>
      <c r="W63" s="105">
        <f t="shared" si="2"/>
        <v>0</v>
      </c>
      <c r="X63" s="100">
        <v>0</v>
      </c>
      <c r="Y63" s="101">
        <v>0</v>
      </c>
      <c r="Z63" s="79">
        <f t="shared" si="3"/>
        <v>0</v>
      </c>
      <c r="AA63" s="80"/>
      <c r="AB63" s="81"/>
      <c r="AC63" s="82"/>
      <c r="AD63" s="80"/>
      <c r="AE63" s="83"/>
      <c r="AF63" s="82"/>
      <c r="AG63" s="80"/>
      <c r="AH63" s="83"/>
      <c r="AI63" s="82"/>
      <c r="AJ63" s="80"/>
      <c r="AK63" s="83"/>
      <c r="AL63" s="84"/>
      <c r="AM63" s="85"/>
      <c r="AN63" s="86"/>
      <c r="AO63" s="86"/>
      <c r="AP63" s="77"/>
      <c r="AU63" s="88"/>
      <c r="AV63" s="88"/>
      <c r="AW63" s="77"/>
      <c r="AX63" s="86"/>
    </row>
    <row r="64" spans="1:82" s="87" customFormat="1" ht="20.45" customHeight="1">
      <c r="A64" s="132"/>
      <c r="B64" s="73"/>
      <c r="C64" s="73" t="s">
        <v>343</v>
      </c>
      <c r="D64" s="62" t="s">
        <v>348</v>
      </c>
      <c r="E64" s="62" t="s">
        <v>294</v>
      </c>
      <c r="F64" s="74"/>
      <c r="G64" s="74"/>
      <c r="H64" s="62"/>
      <c r="I64" s="62" t="s">
        <v>33</v>
      </c>
      <c r="J64" s="62"/>
      <c r="K64" s="33"/>
      <c r="L64" s="33"/>
      <c r="M64" s="34"/>
      <c r="N64" s="75"/>
      <c r="O64" s="76">
        <f t="shared" si="0"/>
        <v>0</v>
      </c>
      <c r="P64" s="77"/>
      <c r="Q64" s="77"/>
      <c r="R64" s="115">
        <f t="shared" si="8"/>
        <v>300000</v>
      </c>
      <c r="S64" s="116"/>
      <c r="T64" s="116"/>
      <c r="U64" s="118"/>
      <c r="V64" s="117">
        <v>300000</v>
      </c>
      <c r="W64" s="105">
        <f t="shared" si="2"/>
        <v>0</v>
      </c>
      <c r="X64" s="100">
        <v>0</v>
      </c>
      <c r="Y64" s="101">
        <v>0</v>
      </c>
      <c r="Z64" s="79">
        <f t="shared" si="3"/>
        <v>0</v>
      </c>
      <c r="AA64" s="80"/>
      <c r="AB64" s="81"/>
      <c r="AC64" s="82"/>
      <c r="AD64" s="80"/>
      <c r="AE64" s="83"/>
      <c r="AF64" s="82"/>
      <c r="AG64" s="80"/>
      <c r="AH64" s="83"/>
      <c r="AI64" s="82"/>
      <c r="AJ64" s="80"/>
      <c r="AK64" s="83"/>
      <c r="AL64" s="84"/>
      <c r="AM64" s="85"/>
      <c r="AN64" s="86"/>
      <c r="AO64" s="86"/>
      <c r="AP64" s="77"/>
      <c r="AU64" s="88"/>
      <c r="AV64" s="88"/>
      <c r="AW64" s="77"/>
      <c r="AX64" s="86"/>
    </row>
    <row r="65" spans="1:50" s="87" customFormat="1">
      <c r="A65" s="133"/>
      <c r="B65" s="73"/>
      <c r="C65" s="73" t="s">
        <v>337</v>
      </c>
      <c r="D65" s="62" t="s">
        <v>94</v>
      </c>
      <c r="E65" s="62" t="s">
        <v>339</v>
      </c>
      <c r="F65" s="74"/>
      <c r="G65" s="74"/>
      <c r="H65" s="62"/>
      <c r="I65" s="62" t="s">
        <v>64</v>
      </c>
      <c r="J65" s="62"/>
      <c r="K65" s="33"/>
      <c r="L65" s="33"/>
      <c r="M65" s="34"/>
      <c r="N65" s="75"/>
      <c r="O65" s="76">
        <f t="shared" si="0"/>
        <v>0</v>
      </c>
      <c r="P65" s="77"/>
      <c r="Q65" s="77"/>
      <c r="R65" s="115">
        <f t="shared" si="8"/>
        <v>1000000</v>
      </c>
      <c r="S65" s="116"/>
      <c r="T65" s="116"/>
      <c r="U65" s="118"/>
      <c r="V65" s="117">
        <v>1000000</v>
      </c>
      <c r="W65" s="105">
        <f t="shared" si="2"/>
        <v>0</v>
      </c>
      <c r="X65" s="100">
        <v>0</v>
      </c>
      <c r="Y65" s="101">
        <v>0</v>
      </c>
      <c r="Z65" s="79">
        <f t="shared" si="3"/>
        <v>0</v>
      </c>
      <c r="AA65" s="80"/>
      <c r="AB65" s="81"/>
      <c r="AC65" s="82"/>
      <c r="AD65" s="80"/>
      <c r="AE65" s="83"/>
      <c r="AF65" s="82"/>
      <c r="AG65" s="80"/>
      <c r="AH65" s="83"/>
      <c r="AI65" s="82"/>
      <c r="AJ65" s="80"/>
      <c r="AK65" s="83"/>
      <c r="AL65" s="84"/>
      <c r="AM65" s="85"/>
      <c r="AN65" s="86"/>
      <c r="AO65" s="86"/>
      <c r="AP65" s="77"/>
      <c r="AU65" s="88"/>
      <c r="AV65" s="88"/>
      <c r="AW65" s="77"/>
      <c r="AX65" s="86"/>
    </row>
    <row r="66" spans="1:50" s="87" customFormat="1">
      <c r="A66" s="134"/>
      <c r="B66" s="73"/>
      <c r="C66" s="73" t="s">
        <v>333</v>
      </c>
      <c r="D66" s="62" t="s">
        <v>142</v>
      </c>
      <c r="E66" s="62" t="s">
        <v>290</v>
      </c>
      <c r="F66" s="74"/>
      <c r="G66" s="74"/>
      <c r="H66" s="62"/>
      <c r="I66" s="62" t="s">
        <v>33</v>
      </c>
      <c r="J66" s="62"/>
      <c r="K66" s="33"/>
      <c r="L66" s="33"/>
      <c r="M66" s="34"/>
      <c r="N66" s="75"/>
      <c r="O66" s="76">
        <f t="shared" si="0"/>
        <v>0</v>
      </c>
      <c r="P66" s="77"/>
      <c r="Q66" s="77"/>
      <c r="R66" s="115">
        <f t="shared" si="8"/>
        <v>1000000</v>
      </c>
      <c r="S66" s="116"/>
      <c r="T66" s="116"/>
      <c r="U66" s="118"/>
      <c r="V66" s="117">
        <v>1000000</v>
      </c>
      <c r="W66" s="105">
        <f t="shared" si="2"/>
        <v>0</v>
      </c>
      <c r="X66" s="100">
        <v>0</v>
      </c>
      <c r="Y66" s="101">
        <v>0</v>
      </c>
      <c r="Z66" s="79">
        <f t="shared" si="3"/>
        <v>0</v>
      </c>
      <c r="AA66" s="80"/>
      <c r="AB66" s="81"/>
      <c r="AC66" s="82"/>
      <c r="AD66" s="80"/>
      <c r="AE66" s="83"/>
      <c r="AF66" s="82"/>
      <c r="AG66" s="80"/>
      <c r="AH66" s="83"/>
      <c r="AI66" s="82"/>
      <c r="AJ66" s="80"/>
      <c r="AK66" s="83"/>
      <c r="AL66" s="84"/>
      <c r="AM66" s="85"/>
      <c r="AN66" s="86"/>
      <c r="AO66" s="86"/>
      <c r="AP66" s="77"/>
      <c r="AU66" s="88"/>
      <c r="AV66" s="88"/>
      <c r="AW66" s="77"/>
      <c r="AX66" s="86"/>
    </row>
    <row r="67" spans="1:50" s="87" customFormat="1">
      <c r="A67" s="132"/>
      <c r="B67" s="73"/>
      <c r="C67" s="73" t="s">
        <v>364</v>
      </c>
      <c r="D67" s="62" t="s">
        <v>118</v>
      </c>
      <c r="E67" s="62" t="s">
        <v>339</v>
      </c>
      <c r="F67" s="74"/>
      <c r="G67" s="74"/>
      <c r="H67" s="62"/>
      <c r="I67" s="62" t="s">
        <v>64</v>
      </c>
      <c r="J67" s="62"/>
      <c r="K67" s="33"/>
      <c r="L67" s="33" t="s">
        <v>368</v>
      </c>
      <c r="M67" s="34"/>
      <c r="N67" s="75"/>
      <c r="O67" s="76">
        <f t="shared" si="0"/>
        <v>0</v>
      </c>
      <c r="P67" s="77"/>
      <c r="Q67" s="77"/>
      <c r="R67" s="115">
        <f t="shared" si="8"/>
        <v>0</v>
      </c>
      <c r="S67" s="116"/>
      <c r="T67" s="116"/>
      <c r="U67" s="118"/>
      <c r="V67" s="117"/>
      <c r="W67" s="105">
        <f t="shared" si="2"/>
        <v>0</v>
      </c>
      <c r="X67" s="100">
        <v>0</v>
      </c>
      <c r="Y67" s="101">
        <v>0</v>
      </c>
      <c r="Z67" s="79">
        <f t="shared" si="3"/>
        <v>0</v>
      </c>
      <c r="AA67" s="80"/>
      <c r="AB67" s="81"/>
      <c r="AC67" s="82"/>
      <c r="AD67" s="80"/>
      <c r="AE67" s="83"/>
      <c r="AF67" s="82"/>
      <c r="AG67" s="80"/>
      <c r="AH67" s="83"/>
      <c r="AI67" s="82"/>
      <c r="AJ67" s="80"/>
      <c r="AK67" s="83"/>
      <c r="AL67" s="84"/>
      <c r="AM67" s="85"/>
      <c r="AN67" s="86"/>
      <c r="AO67" s="86"/>
      <c r="AP67" s="77"/>
      <c r="AU67" s="88"/>
      <c r="AV67" s="88"/>
      <c r="AW67" s="77"/>
      <c r="AX67" s="86"/>
    </row>
    <row r="68" spans="1:50" s="87" customFormat="1">
      <c r="A68" s="133"/>
      <c r="B68" s="73"/>
      <c r="C68" s="73" t="s">
        <v>365</v>
      </c>
      <c r="D68" s="62" t="s">
        <v>118</v>
      </c>
      <c r="E68" s="62" t="s">
        <v>339</v>
      </c>
      <c r="F68" s="74"/>
      <c r="G68" s="74"/>
      <c r="H68" s="62"/>
      <c r="I68" s="62" t="s">
        <v>64</v>
      </c>
      <c r="J68" s="62"/>
      <c r="K68" s="33"/>
      <c r="L68" s="33" t="s">
        <v>120</v>
      </c>
      <c r="M68" s="34"/>
      <c r="N68" s="75"/>
      <c r="O68" s="76">
        <f t="shared" si="0"/>
        <v>0</v>
      </c>
      <c r="P68" s="77"/>
      <c r="Q68" s="77"/>
      <c r="R68" s="115">
        <f t="shared" si="8"/>
        <v>280000</v>
      </c>
      <c r="S68" s="116"/>
      <c r="T68" s="116"/>
      <c r="U68" s="118"/>
      <c r="V68" s="146">
        <v>280000</v>
      </c>
      <c r="W68" s="105">
        <f t="shared" si="2"/>
        <v>0</v>
      </c>
      <c r="X68" s="100">
        <v>0</v>
      </c>
      <c r="Y68" s="101">
        <v>0</v>
      </c>
      <c r="Z68" s="79"/>
      <c r="AA68" s="80"/>
      <c r="AB68" s="81"/>
      <c r="AC68" s="82"/>
      <c r="AD68" s="80"/>
      <c r="AE68" s="83"/>
      <c r="AF68" s="82"/>
      <c r="AG68" s="80"/>
      <c r="AH68" s="83"/>
      <c r="AI68" s="82"/>
      <c r="AJ68" s="80"/>
      <c r="AK68" s="83"/>
      <c r="AL68" s="84"/>
      <c r="AM68" s="85"/>
      <c r="AN68" s="86"/>
      <c r="AO68" s="86"/>
      <c r="AP68" s="77"/>
      <c r="AU68" s="88"/>
      <c r="AV68" s="88"/>
      <c r="AW68" s="77"/>
      <c r="AX68" s="86"/>
    </row>
    <row r="69" spans="1:50" s="87" customFormat="1">
      <c r="A69" s="134"/>
      <c r="B69" s="73"/>
      <c r="C69" s="141" t="s">
        <v>425</v>
      </c>
      <c r="D69" s="62" t="s">
        <v>146</v>
      </c>
      <c r="E69" s="62" t="s">
        <v>292</v>
      </c>
      <c r="F69" s="74"/>
      <c r="G69" s="74"/>
      <c r="H69" s="62"/>
      <c r="I69" s="62" t="s">
        <v>64</v>
      </c>
      <c r="J69" s="62"/>
      <c r="K69" s="33"/>
      <c r="L69" s="33"/>
      <c r="M69" s="34"/>
      <c r="N69" s="75"/>
      <c r="O69" s="76">
        <f t="shared" ref="O69:O105" si="9">+AL69+AI69+AF69+AC69+Z69+W69</f>
        <v>0</v>
      </c>
      <c r="P69" s="77"/>
      <c r="Q69" s="77"/>
      <c r="R69" s="115">
        <f t="shared" si="8"/>
        <v>730000</v>
      </c>
      <c r="S69" s="116"/>
      <c r="T69" s="116"/>
      <c r="U69" s="118"/>
      <c r="V69" s="146">
        <v>730000</v>
      </c>
      <c r="W69" s="105">
        <f t="shared" ref="W69:W104" si="10">+X69+Y69</f>
        <v>0</v>
      </c>
      <c r="X69" s="100">
        <v>0</v>
      </c>
      <c r="Y69" s="101">
        <v>0</v>
      </c>
      <c r="Z69" s="79">
        <f t="shared" ref="Z69:Z77" si="11">+AA69+AB69</f>
        <v>0</v>
      </c>
      <c r="AA69" s="80"/>
      <c r="AB69" s="81"/>
      <c r="AC69" s="82"/>
      <c r="AD69" s="80"/>
      <c r="AE69" s="83"/>
      <c r="AF69" s="82"/>
      <c r="AG69" s="80"/>
      <c r="AH69" s="83"/>
      <c r="AI69" s="82"/>
      <c r="AJ69" s="80"/>
      <c r="AK69" s="83"/>
      <c r="AL69" s="84"/>
      <c r="AM69" s="85"/>
      <c r="AN69" s="86"/>
      <c r="AO69" s="86"/>
      <c r="AP69" s="77"/>
      <c r="AU69" s="88"/>
      <c r="AV69" s="88"/>
      <c r="AW69" s="77"/>
      <c r="AX69" s="86"/>
    </row>
    <row r="70" spans="1:50" s="87" customFormat="1">
      <c r="A70" s="132"/>
      <c r="B70" s="73"/>
      <c r="C70" s="73" t="s">
        <v>369</v>
      </c>
      <c r="D70" s="62" t="s">
        <v>94</v>
      </c>
      <c r="E70" s="62"/>
      <c r="F70" s="74"/>
      <c r="G70" s="74"/>
      <c r="H70" s="62"/>
      <c r="I70" s="62" t="s">
        <v>64</v>
      </c>
      <c r="J70" s="62"/>
      <c r="K70" s="33"/>
      <c r="L70" s="33" t="s">
        <v>295</v>
      </c>
      <c r="M70" s="34"/>
      <c r="N70" s="75"/>
      <c r="O70" s="76">
        <f t="shared" si="9"/>
        <v>0</v>
      </c>
      <c r="P70" s="77"/>
      <c r="Q70" s="77"/>
      <c r="R70" s="115">
        <v>500000</v>
      </c>
      <c r="S70" s="116"/>
      <c r="T70" s="116"/>
      <c r="U70" s="118"/>
      <c r="V70" s="117">
        <v>500000</v>
      </c>
      <c r="W70" s="105">
        <f t="shared" si="10"/>
        <v>0</v>
      </c>
      <c r="X70" s="100">
        <v>0</v>
      </c>
      <c r="Y70" s="101">
        <v>0</v>
      </c>
      <c r="Z70" s="79"/>
      <c r="AA70" s="80"/>
      <c r="AB70" s="81"/>
      <c r="AC70" s="82"/>
      <c r="AD70" s="80"/>
      <c r="AE70" s="83"/>
      <c r="AF70" s="82"/>
      <c r="AG70" s="80"/>
      <c r="AH70" s="83"/>
      <c r="AI70" s="82"/>
      <c r="AJ70" s="80"/>
      <c r="AK70" s="83"/>
      <c r="AL70" s="84"/>
      <c r="AM70" s="85"/>
      <c r="AN70" s="86"/>
      <c r="AO70" s="86"/>
      <c r="AP70" s="77"/>
      <c r="AU70" s="88"/>
      <c r="AV70" s="88"/>
      <c r="AW70" s="77"/>
      <c r="AX70" s="86"/>
    </row>
    <row r="71" spans="1:50" s="87" customFormat="1">
      <c r="A71" s="133"/>
      <c r="B71" s="73"/>
      <c r="C71" s="73" t="s">
        <v>338</v>
      </c>
      <c r="D71" s="62" t="s">
        <v>73</v>
      </c>
      <c r="E71" s="62" t="s">
        <v>293</v>
      </c>
      <c r="F71" s="74"/>
      <c r="G71" s="74"/>
      <c r="H71" s="62"/>
      <c r="I71" s="62" t="s">
        <v>50</v>
      </c>
      <c r="J71" s="62"/>
      <c r="K71" s="33"/>
      <c r="L71" s="33" t="s">
        <v>77</v>
      </c>
      <c r="M71" s="34"/>
      <c r="N71" s="75"/>
      <c r="O71" s="76">
        <f t="shared" si="9"/>
        <v>0</v>
      </c>
      <c r="P71" s="77"/>
      <c r="Q71" s="77"/>
      <c r="R71" s="115">
        <f>+SUM(T71:V71)</f>
        <v>380000</v>
      </c>
      <c r="S71" s="116"/>
      <c r="T71" s="116"/>
      <c r="U71" s="118"/>
      <c r="V71" s="117">
        <v>380000</v>
      </c>
      <c r="W71" s="105">
        <f t="shared" si="10"/>
        <v>0</v>
      </c>
      <c r="X71" s="100">
        <v>0</v>
      </c>
      <c r="Y71" s="101">
        <v>0</v>
      </c>
      <c r="Z71" s="79">
        <f t="shared" si="11"/>
        <v>0</v>
      </c>
      <c r="AA71" s="80"/>
      <c r="AB71" s="81"/>
      <c r="AC71" s="82"/>
      <c r="AD71" s="80"/>
      <c r="AE71" s="83"/>
      <c r="AF71" s="82"/>
      <c r="AG71" s="80"/>
      <c r="AH71" s="83"/>
      <c r="AI71" s="82"/>
      <c r="AJ71" s="80"/>
      <c r="AK71" s="83"/>
      <c r="AL71" s="84"/>
      <c r="AM71" s="85"/>
      <c r="AN71" s="86"/>
      <c r="AO71" s="86"/>
      <c r="AP71" s="77"/>
      <c r="AU71" s="88"/>
      <c r="AV71" s="88"/>
      <c r="AW71" s="77"/>
      <c r="AX71" s="86"/>
    </row>
    <row r="72" spans="1:50" s="87" customFormat="1">
      <c r="A72" s="134"/>
      <c r="B72" s="73"/>
      <c r="C72" s="73" t="s">
        <v>366</v>
      </c>
      <c r="D72" s="62" t="s">
        <v>367</v>
      </c>
      <c r="E72" s="62" t="s">
        <v>339</v>
      </c>
      <c r="F72" s="74"/>
      <c r="G72" s="74"/>
      <c r="H72" s="62"/>
      <c r="I72" s="62" t="s">
        <v>33</v>
      </c>
      <c r="J72" s="62"/>
      <c r="K72" s="33"/>
      <c r="L72" s="33"/>
      <c r="M72" s="34"/>
      <c r="N72" s="75"/>
      <c r="O72" s="76">
        <f t="shared" si="9"/>
        <v>0</v>
      </c>
      <c r="P72" s="77"/>
      <c r="Q72" s="78"/>
      <c r="R72" s="115">
        <f>+SUM(S72:V72)</f>
        <v>370000</v>
      </c>
      <c r="S72" s="116"/>
      <c r="T72" s="116"/>
      <c r="U72" s="118"/>
      <c r="V72" s="117">
        <v>370000</v>
      </c>
      <c r="W72" s="105">
        <f t="shared" si="10"/>
        <v>0</v>
      </c>
      <c r="X72" s="100">
        <v>0</v>
      </c>
      <c r="Y72" s="101">
        <v>0</v>
      </c>
      <c r="Z72" s="79"/>
      <c r="AA72" s="80"/>
      <c r="AB72" s="81"/>
      <c r="AC72" s="82"/>
      <c r="AD72" s="80"/>
      <c r="AE72" s="83"/>
      <c r="AF72" s="82"/>
      <c r="AG72" s="80"/>
      <c r="AH72" s="83"/>
      <c r="AI72" s="82"/>
      <c r="AJ72" s="80"/>
      <c r="AK72" s="83"/>
      <c r="AL72" s="84"/>
      <c r="AM72" s="85"/>
      <c r="AN72" s="86"/>
      <c r="AO72" s="86"/>
      <c r="AP72" s="77"/>
      <c r="AU72" s="88"/>
      <c r="AV72" s="88"/>
      <c r="AW72" s="77"/>
      <c r="AX72" s="86"/>
    </row>
    <row r="73" spans="1:50" s="87" customFormat="1">
      <c r="A73" s="132"/>
      <c r="B73" s="73"/>
      <c r="C73" s="73" t="s">
        <v>340</v>
      </c>
      <c r="D73" s="62" t="s">
        <v>356</v>
      </c>
      <c r="E73" s="62" t="s">
        <v>339</v>
      </c>
      <c r="F73" s="74"/>
      <c r="G73" s="74"/>
      <c r="H73" s="62"/>
      <c r="I73" s="62" t="s">
        <v>33</v>
      </c>
      <c r="J73" s="62"/>
      <c r="K73" s="33"/>
      <c r="L73" s="33"/>
      <c r="M73" s="34"/>
      <c r="N73" s="75"/>
      <c r="O73" s="76">
        <f t="shared" si="9"/>
        <v>0</v>
      </c>
      <c r="P73" s="77"/>
      <c r="Q73" s="78"/>
      <c r="R73" s="115">
        <f>+SUM(S73:V73)</f>
        <v>300000</v>
      </c>
      <c r="S73" s="116"/>
      <c r="T73" s="118"/>
      <c r="U73" s="118"/>
      <c r="V73" s="119">
        <v>300000</v>
      </c>
      <c r="W73" s="105">
        <f t="shared" si="10"/>
        <v>0</v>
      </c>
      <c r="X73" s="100">
        <v>0</v>
      </c>
      <c r="Y73" s="101">
        <v>0</v>
      </c>
      <c r="Z73" s="79">
        <f t="shared" si="11"/>
        <v>0</v>
      </c>
      <c r="AA73" s="80"/>
      <c r="AB73" s="81"/>
      <c r="AC73" s="82"/>
      <c r="AD73" s="80"/>
      <c r="AE73" s="83"/>
      <c r="AF73" s="82"/>
      <c r="AG73" s="80"/>
      <c r="AH73" s="83"/>
      <c r="AI73" s="82"/>
      <c r="AJ73" s="80"/>
      <c r="AK73" s="83"/>
      <c r="AL73" s="84"/>
      <c r="AM73" s="85"/>
      <c r="AN73" s="86"/>
      <c r="AO73" s="86"/>
      <c r="AP73" s="77"/>
      <c r="AU73" s="88"/>
      <c r="AV73" s="88"/>
      <c r="AW73" s="77"/>
      <c r="AX73" s="86"/>
    </row>
    <row r="74" spans="1:50" s="87" customFormat="1">
      <c r="A74" s="133"/>
      <c r="B74" s="73"/>
      <c r="C74" s="73" t="s">
        <v>341</v>
      </c>
      <c r="D74" s="62" t="s">
        <v>357</v>
      </c>
      <c r="E74" s="62" t="s">
        <v>294</v>
      </c>
      <c r="F74" s="74"/>
      <c r="G74" s="74"/>
      <c r="H74" s="62"/>
      <c r="I74" s="62" t="s">
        <v>33</v>
      </c>
      <c r="J74" s="62"/>
      <c r="K74" s="33"/>
      <c r="L74" s="33"/>
      <c r="M74" s="34"/>
      <c r="N74" s="75"/>
      <c r="O74" s="76">
        <f t="shared" si="9"/>
        <v>0</v>
      </c>
      <c r="P74" s="77"/>
      <c r="Q74" s="78"/>
      <c r="R74" s="115"/>
      <c r="S74" s="118"/>
      <c r="T74" s="118"/>
      <c r="U74" s="118"/>
      <c r="V74" s="119"/>
      <c r="W74" s="105">
        <f t="shared" si="10"/>
        <v>0</v>
      </c>
      <c r="X74" s="100">
        <v>0</v>
      </c>
      <c r="Y74" s="101">
        <v>0</v>
      </c>
      <c r="Z74" s="79">
        <f t="shared" si="11"/>
        <v>0</v>
      </c>
      <c r="AA74" s="80"/>
      <c r="AB74" s="81"/>
      <c r="AC74" s="82"/>
      <c r="AD74" s="80"/>
      <c r="AE74" s="83"/>
      <c r="AF74" s="82"/>
      <c r="AG74" s="80"/>
      <c r="AH74" s="83"/>
      <c r="AI74" s="82"/>
      <c r="AJ74" s="80"/>
      <c r="AK74" s="83"/>
      <c r="AL74" s="84"/>
      <c r="AM74" s="85"/>
      <c r="AN74" s="86"/>
      <c r="AO74" s="86"/>
      <c r="AP74" s="77"/>
      <c r="AU74" s="88"/>
      <c r="AV74" s="88"/>
      <c r="AW74" s="77"/>
      <c r="AX74" s="86"/>
    </row>
    <row r="75" spans="1:50" s="87" customFormat="1">
      <c r="A75" s="134"/>
      <c r="B75" s="73"/>
      <c r="C75" s="73" t="s">
        <v>372</v>
      </c>
      <c r="D75" s="62" t="s">
        <v>267</v>
      </c>
      <c r="E75" s="62" t="s">
        <v>294</v>
      </c>
      <c r="F75" s="74"/>
      <c r="G75" s="74"/>
      <c r="H75" s="62"/>
      <c r="I75" s="62" t="s">
        <v>111</v>
      </c>
      <c r="J75" s="62"/>
      <c r="K75" s="33"/>
      <c r="L75" s="33" t="s">
        <v>373</v>
      </c>
      <c r="M75" s="34"/>
      <c r="N75" s="75"/>
      <c r="O75" s="76">
        <f t="shared" si="9"/>
        <v>0</v>
      </c>
      <c r="P75" s="77"/>
      <c r="Q75" s="78"/>
      <c r="R75" s="115">
        <f t="shared" ref="R75:R79" si="12">+SUM(S75:V75)</f>
        <v>608000</v>
      </c>
      <c r="S75" s="118"/>
      <c r="T75" s="118"/>
      <c r="U75" s="118"/>
      <c r="V75" s="119">
        <v>608000</v>
      </c>
      <c r="W75" s="105">
        <f t="shared" si="10"/>
        <v>0</v>
      </c>
      <c r="X75" s="100">
        <v>0</v>
      </c>
      <c r="Y75" s="101">
        <v>0</v>
      </c>
      <c r="Z75" s="79"/>
      <c r="AA75" s="80"/>
      <c r="AB75" s="81"/>
      <c r="AC75" s="82"/>
      <c r="AD75" s="80"/>
      <c r="AE75" s="83"/>
      <c r="AF75" s="82"/>
      <c r="AG75" s="80"/>
      <c r="AH75" s="83"/>
      <c r="AI75" s="82"/>
      <c r="AJ75" s="80"/>
      <c r="AK75" s="83"/>
      <c r="AL75" s="84"/>
      <c r="AM75" s="85"/>
      <c r="AN75" s="86"/>
      <c r="AO75" s="86"/>
      <c r="AP75" s="77"/>
      <c r="AU75" s="88"/>
      <c r="AV75" s="88"/>
      <c r="AW75" s="77"/>
      <c r="AX75" s="86"/>
    </row>
    <row r="76" spans="1:50" s="87" customFormat="1">
      <c r="A76" s="132"/>
      <c r="B76" s="73"/>
      <c r="C76" s="73" t="s">
        <v>370</v>
      </c>
      <c r="D76" s="62" t="s">
        <v>371</v>
      </c>
      <c r="E76" s="62" t="s">
        <v>294</v>
      </c>
      <c r="F76" s="74"/>
      <c r="G76" s="74"/>
      <c r="H76" s="62"/>
      <c r="I76" s="62" t="s">
        <v>111</v>
      </c>
      <c r="J76" s="62"/>
      <c r="K76" s="33"/>
      <c r="L76" s="33" t="s">
        <v>374</v>
      </c>
      <c r="M76" s="34"/>
      <c r="N76" s="75"/>
      <c r="O76" s="76">
        <f t="shared" si="9"/>
        <v>0</v>
      </c>
      <c r="P76" s="77"/>
      <c r="Q76" s="78"/>
      <c r="R76" s="115">
        <f t="shared" si="12"/>
        <v>690000</v>
      </c>
      <c r="S76" s="118"/>
      <c r="T76" s="118"/>
      <c r="U76" s="118"/>
      <c r="V76" s="119">
        <v>690000</v>
      </c>
      <c r="W76" s="105">
        <f t="shared" si="10"/>
        <v>0</v>
      </c>
      <c r="X76" s="100">
        <v>0</v>
      </c>
      <c r="Y76" s="101">
        <v>0</v>
      </c>
      <c r="Z76" s="79"/>
      <c r="AA76" s="80"/>
      <c r="AB76" s="81"/>
      <c r="AC76" s="82"/>
      <c r="AD76" s="80"/>
      <c r="AE76" s="83"/>
      <c r="AF76" s="82"/>
      <c r="AG76" s="80"/>
      <c r="AH76" s="83"/>
      <c r="AI76" s="82"/>
      <c r="AJ76" s="80"/>
      <c r="AK76" s="83"/>
      <c r="AL76" s="84"/>
      <c r="AM76" s="85"/>
      <c r="AN76" s="86"/>
      <c r="AO76" s="86"/>
      <c r="AP76" s="77"/>
      <c r="AU76" s="88"/>
      <c r="AV76" s="88"/>
      <c r="AW76" s="77"/>
      <c r="AX76" s="86"/>
    </row>
    <row r="77" spans="1:50" s="87" customFormat="1">
      <c r="A77" s="133"/>
      <c r="B77" s="73"/>
      <c r="C77" s="140" t="s">
        <v>342</v>
      </c>
      <c r="D77" s="62" t="s">
        <v>358</v>
      </c>
      <c r="E77" s="62" t="s">
        <v>294</v>
      </c>
      <c r="F77" s="74"/>
      <c r="G77" s="74"/>
      <c r="H77" s="62"/>
      <c r="I77" s="62" t="s">
        <v>33</v>
      </c>
      <c r="J77" s="62"/>
      <c r="K77" s="33"/>
      <c r="L77" s="33"/>
      <c r="M77" s="34"/>
      <c r="N77" s="75"/>
      <c r="O77" s="76">
        <f t="shared" si="9"/>
        <v>0</v>
      </c>
      <c r="P77" s="77"/>
      <c r="Q77" s="78"/>
      <c r="R77" s="115">
        <f t="shared" si="12"/>
        <v>0</v>
      </c>
      <c r="S77" s="116"/>
      <c r="T77" s="118"/>
      <c r="U77" s="118"/>
      <c r="V77" s="119"/>
      <c r="W77" s="105">
        <f t="shared" si="10"/>
        <v>0</v>
      </c>
      <c r="X77" s="100">
        <v>0</v>
      </c>
      <c r="Y77" s="101">
        <v>0</v>
      </c>
      <c r="Z77" s="79">
        <f t="shared" si="11"/>
        <v>0</v>
      </c>
      <c r="AA77" s="80"/>
      <c r="AB77" s="81"/>
      <c r="AC77" s="82"/>
      <c r="AD77" s="80"/>
      <c r="AE77" s="83"/>
      <c r="AF77" s="82"/>
      <c r="AG77" s="80"/>
      <c r="AH77" s="83"/>
      <c r="AI77" s="82"/>
      <c r="AJ77" s="80"/>
      <c r="AK77" s="83"/>
      <c r="AL77" s="84"/>
      <c r="AM77" s="85"/>
      <c r="AN77" s="86"/>
      <c r="AO77" s="86"/>
      <c r="AP77" s="77"/>
      <c r="AU77" s="88"/>
      <c r="AV77" s="88"/>
      <c r="AW77" s="77"/>
      <c r="AX77" s="86"/>
    </row>
    <row r="78" spans="1:50" s="87" customFormat="1">
      <c r="A78" s="134"/>
      <c r="B78" s="73"/>
      <c r="C78" s="73" t="s">
        <v>375</v>
      </c>
      <c r="D78" s="62" t="s">
        <v>107</v>
      </c>
      <c r="E78" s="62" t="s">
        <v>291</v>
      </c>
      <c r="F78" s="74"/>
      <c r="G78" s="74"/>
      <c r="H78" s="62"/>
      <c r="I78" s="62" t="s">
        <v>111</v>
      </c>
      <c r="J78" s="62"/>
      <c r="K78" s="33"/>
      <c r="L78" s="33" t="s">
        <v>376</v>
      </c>
      <c r="M78" s="34"/>
      <c r="N78" s="75"/>
      <c r="O78" s="76">
        <f t="shared" si="9"/>
        <v>0</v>
      </c>
      <c r="P78" s="77"/>
      <c r="Q78" s="78"/>
      <c r="R78" s="115">
        <f t="shared" si="12"/>
        <v>450000</v>
      </c>
      <c r="S78" s="116"/>
      <c r="T78" s="118"/>
      <c r="U78" s="118"/>
      <c r="V78" s="119">
        <v>450000</v>
      </c>
      <c r="W78" s="105">
        <f t="shared" si="10"/>
        <v>0</v>
      </c>
      <c r="X78" s="100">
        <v>0</v>
      </c>
      <c r="Y78" s="101">
        <v>0</v>
      </c>
      <c r="Z78" s="79"/>
      <c r="AA78" s="80"/>
      <c r="AB78" s="81"/>
      <c r="AC78" s="82"/>
      <c r="AD78" s="80"/>
      <c r="AE78" s="83"/>
      <c r="AF78" s="82"/>
      <c r="AG78" s="80"/>
      <c r="AH78" s="83"/>
      <c r="AI78" s="82"/>
      <c r="AJ78" s="80"/>
      <c r="AK78" s="83"/>
      <c r="AL78" s="84"/>
      <c r="AM78" s="85"/>
      <c r="AN78" s="86"/>
      <c r="AO78" s="86"/>
      <c r="AP78" s="77"/>
      <c r="AU78" s="88"/>
      <c r="AV78" s="88"/>
      <c r="AW78" s="77"/>
      <c r="AX78" s="86"/>
    </row>
    <row r="79" spans="1:50" s="87" customFormat="1">
      <c r="A79" s="132"/>
      <c r="B79" s="73"/>
      <c r="C79" s="73" t="s">
        <v>349</v>
      </c>
      <c r="D79" s="62" t="s">
        <v>107</v>
      </c>
      <c r="E79" s="62" t="s">
        <v>291</v>
      </c>
      <c r="F79" s="74"/>
      <c r="G79" s="74"/>
      <c r="H79" s="62"/>
      <c r="I79" s="62" t="s">
        <v>111</v>
      </c>
      <c r="J79" s="62"/>
      <c r="K79" s="33"/>
      <c r="L79" s="33" t="s">
        <v>377</v>
      </c>
      <c r="M79" s="34"/>
      <c r="N79" s="75"/>
      <c r="O79" s="76">
        <f t="shared" si="9"/>
        <v>0</v>
      </c>
      <c r="P79" s="77"/>
      <c r="Q79" s="78"/>
      <c r="R79" s="115">
        <f t="shared" si="12"/>
        <v>350000</v>
      </c>
      <c r="S79" s="116"/>
      <c r="T79" s="120"/>
      <c r="U79" s="118"/>
      <c r="V79" s="119">
        <v>350000</v>
      </c>
      <c r="W79" s="105">
        <f t="shared" si="10"/>
        <v>0</v>
      </c>
      <c r="X79" s="100">
        <v>0</v>
      </c>
      <c r="Y79" s="101">
        <v>0</v>
      </c>
      <c r="Z79" s="79"/>
      <c r="AA79" s="80"/>
      <c r="AB79" s="81"/>
      <c r="AC79" s="82"/>
      <c r="AD79" s="80"/>
      <c r="AE79" s="83"/>
      <c r="AF79" s="82"/>
      <c r="AG79" s="80"/>
      <c r="AH79" s="83"/>
      <c r="AI79" s="82"/>
      <c r="AJ79" s="80"/>
      <c r="AK79" s="83"/>
      <c r="AL79" s="84"/>
      <c r="AM79" s="85"/>
      <c r="AN79" s="86"/>
      <c r="AO79" s="86"/>
      <c r="AP79" s="77"/>
      <c r="AU79" s="88"/>
      <c r="AV79" s="88"/>
      <c r="AW79" s="77"/>
      <c r="AX79" s="86"/>
    </row>
    <row r="80" spans="1:50" s="87" customFormat="1">
      <c r="A80" s="133"/>
      <c r="B80" s="73"/>
      <c r="C80" s="73" t="s">
        <v>397</v>
      </c>
      <c r="D80" s="62" t="s">
        <v>94</v>
      </c>
      <c r="E80" s="62" t="s">
        <v>339</v>
      </c>
      <c r="F80" s="74"/>
      <c r="G80" s="74"/>
      <c r="H80" s="62"/>
      <c r="I80" s="62" t="s">
        <v>64</v>
      </c>
      <c r="J80" s="62"/>
      <c r="K80" s="33"/>
      <c r="L80" s="33"/>
      <c r="M80" s="34"/>
      <c r="N80" s="75"/>
      <c r="O80" s="76">
        <f t="shared" ref="O80:O91" si="13">+AL80+AI80+AF80+AC80+Z80+W80</f>
        <v>0</v>
      </c>
      <c r="P80" s="77"/>
      <c r="Q80" s="78"/>
      <c r="R80" s="115">
        <f>+SUM(S80:V80)</f>
        <v>490000</v>
      </c>
      <c r="S80" s="116"/>
      <c r="T80" s="116"/>
      <c r="U80" s="118"/>
      <c r="V80" s="117">
        <v>490000</v>
      </c>
      <c r="W80" s="105">
        <f t="shared" ref="W80:W91" si="14">+X80+Y80</f>
        <v>0</v>
      </c>
      <c r="X80" s="100">
        <v>0</v>
      </c>
      <c r="Y80" s="101">
        <v>0</v>
      </c>
      <c r="Z80" s="79"/>
      <c r="AA80" s="80"/>
      <c r="AB80" s="81"/>
      <c r="AC80" s="82"/>
      <c r="AD80" s="80"/>
      <c r="AE80" s="83"/>
      <c r="AF80" s="82"/>
      <c r="AG80" s="80"/>
      <c r="AH80" s="83"/>
      <c r="AI80" s="82"/>
      <c r="AJ80" s="80"/>
      <c r="AK80" s="83"/>
      <c r="AL80" s="84"/>
      <c r="AM80" s="85"/>
      <c r="AN80" s="86"/>
      <c r="AO80" s="86"/>
      <c r="AP80" s="77"/>
      <c r="AU80" s="88"/>
      <c r="AV80" s="88"/>
      <c r="AW80" s="77"/>
      <c r="AX80" s="86"/>
    </row>
    <row r="81" spans="1:50" s="87" customFormat="1">
      <c r="A81" s="134"/>
      <c r="B81" s="73"/>
      <c r="C81" s="73" t="s">
        <v>426</v>
      </c>
      <c r="D81" s="62" t="s">
        <v>427</v>
      </c>
      <c r="E81" s="62" t="s">
        <v>339</v>
      </c>
      <c r="F81" s="74"/>
      <c r="G81" s="74"/>
      <c r="H81" s="62"/>
      <c r="I81" s="62" t="s">
        <v>64</v>
      </c>
      <c r="J81" s="62"/>
      <c r="K81" s="33"/>
      <c r="L81" s="33"/>
      <c r="M81" s="34"/>
      <c r="N81" s="75"/>
      <c r="O81" s="76">
        <f t="shared" si="13"/>
        <v>0</v>
      </c>
      <c r="P81" s="77"/>
      <c r="Q81" s="78"/>
      <c r="R81" s="115">
        <f>+SUM(S81:V81)</f>
        <v>290000</v>
      </c>
      <c r="S81" s="116"/>
      <c r="T81" s="118"/>
      <c r="U81" s="118"/>
      <c r="V81" s="147">
        <v>290000</v>
      </c>
      <c r="W81" s="105">
        <f t="shared" si="14"/>
        <v>0</v>
      </c>
      <c r="X81" s="100">
        <v>0</v>
      </c>
      <c r="Y81" s="101">
        <v>0</v>
      </c>
      <c r="Z81" s="79">
        <f t="shared" ref="Z81:Z82" si="15">+AA81+AB81</f>
        <v>0</v>
      </c>
      <c r="AA81" s="80"/>
      <c r="AB81" s="81"/>
      <c r="AC81" s="82"/>
      <c r="AD81" s="80"/>
      <c r="AE81" s="83"/>
      <c r="AF81" s="82"/>
      <c r="AG81" s="80"/>
      <c r="AH81" s="83"/>
      <c r="AI81" s="82"/>
      <c r="AJ81" s="80"/>
      <c r="AK81" s="83"/>
      <c r="AL81" s="84"/>
      <c r="AM81" s="85"/>
      <c r="AN81" s="86"/>
      <c r="AO81" s="86"/>
      <c r="AP81" s="77"/>
      <c r="AU81" s="88"/>
      <c r="AV81" s="88"/>
      <c r="AW81" s="77"/>
      <c r="AX81" s="86"/>
    </row>
    <row r="82" spans="1:50" s="87" customFormat="1">
      <c r="A82" s="132"/>
      <c r="B82" s="73"/>
      <c r="C82" s="73" t="s">
        <v>398</v>
      </c>
      <c r="D82" s="62" t="s">
        <v>367</v>
      </c>
      <c r="E82" s="62" t="s">
        <v>339</v>
      </c>
      <c r="F82" s="74"/>
      <c r="G82" s="74"/>
      <c r="H82" s="62"/>
      <c r="I82" s="62" t="s">
        <v>33</v>
      </c>
      <c r="J82" s="62"/>
      <c r="K82" s="33"/>
      <c r="L82" s="33"/>
      <c r="M82" s="34"/>
      <c r="N82" s="75"/>
      <c r="O82" s="76">
        <f t="shared" si="13"/>
        <v>0</v>
      </c>
      <c r="P82" s="77"/>
      <c r="Q82" s="78"/>
      <c r="R82" s="115"/>
      <c r="S82" s="118"/>
      <c r="T82" s="118"/>
      <c r="U82" s="118"/>
      <c r="V82" s="119">
        <v>490000</v>
      </c>
      <c r="W82" s="105">
        <f t="shared" si="14"/>
        <v>0</v>
      </c>
      <c r="X82" s="100">
        <v>0</v>
      </c>
      <c r="Y82" s="101">
        <v>0</v>
      </c>
      <c r="Z82" s="79">
        <f t="shared" si="15"/>
        <v>0</v>
      </c>
      <c r="AA82" s="80"/>
      <c r="AB82" s="81"/>
      <c r="AC82" s="82"/>
      <c r="AD82" s="80"/>
      <c r="AE82" s="83"/>
      <c r="AF82" s="82"/>
      <c r="AG82" s="80"/>
      <c r="AH82" s="83"/>
      <c r="AI82" s="82"/>
      <c r="AJ82" s="80"/>
      <c r="AK82" s="83"/>
      <c r="AL82" s="84"/>
      <c r="AM82" s="85"/>
      <c r="AN82" s="86"/>
      <c r="AO82" s="86"/>
      <c r="AP82" s="77"/>
      <c r="AU82" s="88"/>
      <c r="AV82" s="88"/>
      <c r="AW82" s="77"/>
      <c r="AX82" s="86"/>
    </row>
    <row r="83" spans="1:50" s="87" customFormat="1">
      <c r="A83" s="133"/>
      <c r="B83" s="73"/>
      <c r="C83" s="73" t="s">
        <v>399</v>
      </c>
      <c r="D83" s="62" t="s">
        <v>400</v>
      </c>
      <c r="E83" s="62" t="s">
        <v>339</v>
      </c>
      <c r="F83" s="74"/>
      <c r="G83" s="74"/>
      <c r="H83" s="62"/>
      <c r="I83" s="62" t="s">
        <v>64</v>
      </c>
      <c r="J83" s="62"/>
      <c r="K83" s="33"/>
      <c r="L83" s="33"/>
      <c r="M83" s="34"/>
      <c r="N83" s="75"/>
      <c r="O83" s="76">
        <f t="shared" si="13"/>
        <v>0</v>
      </c>
      <c r="P83" s="77"/>
      <c r="Q83" s="78"/>
      <c r="R83" s="115">
        <f t="shared" ref="R83:R91" si="16">+SUM(S83:V83)</f>
        <v>1200000</v>
      </c>
      <c r="S83" s="118"/>
      <c r="T83" s="118"/>
      <c r="U83" s="118"/>
      <c r="V83" s="147">
        <v>1200000</v>
      </c>
      <c r="W83" s="105">
        <f t="shared" si="14"/>
        <v>0</v>
      </c>
      <c r="X83" s="100">
        <v>0</v>
      </c>
      <c r="Y83" s="101">
        <v>0</v>
      </c>
      <c r="Z83" s="79"/>
      <c r="AA83" s="80"/>
      <c r="AB83" s="81"/>
      <c r="AC83" s="82"/>
      <c r="AD83" s="80"/>
      <c r="AE83" s="83"/>
      <c r="AF83" s="82"/>
      <c r="AG83" s="80"/>
      <c r="AH83" s="83"/>
      <c r="AI83" s="82"/>
      <c r="AJ83" s="80"/>
      <c r="AK83" s="83"/>
      <c r="AL83" s="84"/>
      <c r="AM83" s="85"/>
      <c r="AN83" s="86"/>
      <c r="AO83" s="86"/>
      <c r="AP83" s="77"/>
      <c r="AU83" s="88"/>
      <c r="AV83" s="88"/>
      <c r="AW83" s="77"/>
      <c r="AX83" s="86"/>
    </row>
    <row r="84" spans="1:50" s="87" customFormat="1">
      <c r="A84" s="134"/>
      <c r="B84" s="73"/>
      <c r="C84" s="73" t="s">
        <v>401</v>
      </c>
      <c r="D84" s="62" t="s">
        <v>61</v>
      </c>
      <c r="E84" s="62" t="s">
        <v>339</v>
      </c>
      <c r="F84" s="74"/>
      <c r="G84" s="74"/>
      <c r="H84" s="62"/>
      <c r="I84" s="62" t="s">
        <v>64</v>
      </c>
      <c r="J84" s="62"/>
      <c r="K84" s="33"/>
      <c r="L84" s="33"/>
      <c r="M84" s="34"/>
      <c r="N84" s="75"/>
      <c r="O84" s="76">
        <f t="shared" si="13"/>
        <v>0</v>
      </c>
      <c r="P84" s="77"/>
      <c r="Q84" s="78"/>
      <c r="R84" s="115">
        <f t="shared" si="16"/>
        <v>550000</v>
      </c>
      <c r="S84" s="118"/>
      <c r="T84" s="118"/>
      <c r="U84" s="118"/>
      <c r="V84" s="147">
        <v>550000</v>
      </c>
      <c r="W84" s="105">
        <f t="shared" si="14"/>
        <v>0</v>
      </c>
      <c r="X84" s="100">
        <v>0</v>
      </c>
      <c r="Y84" s="101">
        <v>0</v>
      </c>
      <c r="Z84" s="79"/>
      <c r="AA84" s="80"/>
      <c r="AB84" s="81"/>
      <c r="AC84" s="82"/>
      <c r="AD84" s="80"/>
      <c r="AE84" s="83"/>
      <c r="AF84" s="82"/>
      <c r="AG84" s="80"/>
      <c r="AH84" s="83"/>
      <c r="AI84" s="82"/>
      <c r="AJ84" s="80"/>
      <c r="AK84" s="83"/>
      <c r="AL84" s="84"/>
      <c r="AM84" s="85"/>
      <c r="AN84" s="86"/>
      <c r="AO84" s="86"/>
      <c r="AP84" s="77"/>
      <c r="AU84" s="88"/>
      <c r="AV84" s="88"/>
      <c r="AW84" s="77"/>
      <c r="AX84" s="86"/>
    </row>
    <row r="85" spans="1:50" s="87" customFormat="1">
      <c r="A85" s="132"/>
      <c r="B85" s="73"/>
      <c r="C85" s="141" t="s">
        <v>403</v>
      </c>
      <c r="D85" s="62" t="s">
        <v>402</v>
      </c>
      <c r="E85" s="62" t="s">
        <v>339</v>
      </c>
      <c r="F85" s="74"/>
      <c r="G85" s="74"/>
      <c r="H85" s="62"/>
      <c r="I85" s="62" t="s">
        <v>64</v>
      </c>
      <c r="J85" s="62"/>
      <c r="K85" s="33"/>
      <c r="L85" s="33"/>
      <c r="M85" s="34"/>
      <c r="N85" s="75"/>
      <c r="O85" s="76">
        <f t="shared" si="13"/>
        <v>0</v>
      </c>
      <c r="P85" s="77"/>
      <c r="Q85" s="78"/>
      <c r="R85" s="115">
        <f t="shared" si="16"/>
        <v>520000</v>
      </c>
      <c r="S85" s="116"/>
      <c r="T85" s="118"/>
      <c r="U85" s="118"/>
      <c r="V85" s="147">
        <v>520000</v>
      </c>
      <c r="W85" s="105">
        <f t="shared" si="14"/>
        <v>0</v>
      </c>
      <c r="X85" s="100">
        <v>0</v>
      </c>
      <c r="Y85" s="101">
        <v>0</v>
      </c>
      <c r="Z85" s="79">
        <f t="shared" ref="Z85" si="17">+AA85+AB85</f>
        <v>0</v>
      </c>
      <c r="AA85" s="80"/>
      <c r="AB85" s="81"/>
      <c r="AC85" s="82"/>
      <c r="AD85" s="80"/>
      <c r="AE85" s="83"/>
      <c r="AF85" s="82"/>
      <c r="AG85" s="80"/>
      <c r="AH85" s="83"/>
      <c r="AI85" s="82"/>
      <c r="AJ85" s="80"/>
      <c r="AK85" s="83"/>
      <c r="AL85" s="84"/>
      <c r="AM85" s="85"/>
      <c r="AN85" s="86"/>
      <c r="AO85" s="86"/>
      <c r="AP85" s="77"/>
      <c r="AU85" s="88"/>
      <c r="AV85" s="88"/>
      <c r="AW85" s="77"/>
      <c r="AX85" s="86"/>
    </row>
    <row r="86" spans="1:50" s="87" customFormat="1">
      <c r="A86" s="133"/>
      <c r="B86" s="73"/>
      <c r="C86" s="73" t="s">
        <v>404</v>
      </c>
      <c r="D86" s="62" t="s">
        <v>113</v>
      </c>
      <c r="E86" s="62" t="s">
        <v>294</v>
      </c>
      <c r="F86" s="74"/>
      <c r="G86" s="74"/>
      <c r="H86" s="62"/>
      <c r="I86" s="62" t="s">
        <v>33</v>
      </c>
      <c r="J86" s="62"/>
      <c r="K86" s="33"/>
      <c r="L86" s="33"/>
      <c r="M86" s="34"/>
      <c r="N86" s="75"/>
      <c r="O86" s="76">
        <f t="shared" si="13"/>
        <v>0</v>
      </c>
      <c r="P86" s="77"/>
      <c r="Q86" s="78"/>
      <c r="R86" s="115">
        <f t="shared" si="16"/>
        <v>184000</v>
      </c>
      <c r="S86" s="116"/>
      <c r="T86" s="118"/>
      <c r="U86" s="118"/>
      <c r="V86" s="147">
        <v>184000</v>
      </c>
      <c r="W86" s="105">
        <f t="shared" si="14"/>
        <v>0</v>
      </c>
      <c r="X86" s="100">
        <v>0</v>
      </c>
      <c r="Y86" s="101">
        <v>0</v>
      </c>
      <c r="Z86" s="79"/>
      <c r="AA86" s="80"/>
      <c r="AB86" s="81"/>
      <c r="AC86" s="82"/>
      <c r="AD86" s="80"/>
      <c r="AE86" s="83"/>
      <c r="AF86" s="82"/>
      <c r="AG86" s="80"/>
      <c r="AH86" s="83"/>
      <c r="AI86" s="82"/>
      <c r="AJ86" s="80"/>
      <c r="AK86" s="83"/>
      <c r="AL86" s="84"/>
      <c r="AM86" s="85"/>
      <c r="AN86" s="86"/>
      <c r="AO86" s="86"/>
      <c r="AP86" s="77"/>
      <c r="AU86" s="88"/>
      <c r="AV86" s="88"/>
      <c r="AW86" s="77"/>
      <c r="AX86" s="86"/>
    </row>
    <row r="87" spans="1:50" s="87" customFormat="1">
      <c r="A87" s="134"/>
      <c r="B87" s="73"/>
      <c r="C87" s="73" t="s">
        <v>405</v>
      </c>
      <c r="D87" s="62" t="s">
        <v>406</v>
      </c>
      <c r="E87" s="62" t="s">
        <v>294</v>
      </c>
      <c r="F87" s="74"/>
      <c r="G87" s="74"/>
      <c r="H87" s="62"/>
      <c r="I87" s="62" t="s">
        <v>64</v>
      </c>
      <c r="J87" s="62"/>
      <c r="K87" s="33"/>
      <c r="L87" s="33" t="s">
        <v>373</v>
      </c>
      <c r="M87" s="34"/>
      <c r="N87" s="75"/>
      <c r="O87" s="76">
        <f t="shared" si="13"/>
        <v>0</v>
      </c>
      <c r="P87" s="77"/>
      <c r="Q87" s="78"/>
      <c r="R87" s="115">
        <f t="shared" si="16"/>
        <v>1200000</v>
      </c>
      <c r="S87" s="116"/>
      <c r="T87" s="120"/>
      <c r="U87" s="118"/>
      <c r="V87" s="119">
        <v>1200000</v>
      </c>
      <c r="W87" s="105">
        <f t="shared" si="14"/>
        <v>0</v>
      </c>
      <c r="X87" s="100">
        <v>0</v>
      </c>
      <c r="Y87" s="101">
        <v>0</v>
      </c>
      <c r="Z87" s="79"/>
      <c r="AA87" s="80"/>
      <c r="AB87" s="81"/>
      <c r="AC87" s="82"/>
      <c r="AD87" s="80"/>
      <c r="AE87" s="83"/>
      <c r="AF87" s="82"/>
      <c r="AG87" s="80"/>
      <c r="AH87" s="83"/>
      <c r="AI87" s="82"/>
      <c r="AJ87" s="80"/>
      <c r="AK87" s="83"/>
      <c r="AL87" s="84"/>
      <c r="AM87" s="85"/>
      <c r="AN87" s="86"/>
      <c r="AO87" s="86"/>
      <c r="AP87" s="77"/>
      <c r="AU87" s="88"/>
      <c r="AV87" s="88"/>
      <c r="AW87" s="77"/>
      <c r="AX87" s="86"/>
    </row>
    <row r="88" spans="1:50" s="87" customFormat="1">
      <c r="A88" s="132"/>
      <c r="B88" s="73"/>
      <c r="C88" s="141" t="s">
        <v>429</v>
      </c>
      <c r="D88" s="62" t="s">
        <v>413</v>
      </c>
      <c r="E88" s="62" t="s">
        <v>428</v>
      </c>
      <c r="F88" s="74"/>
      <c r="G88" s="74"/>
      <c r="H88" s="62"/>
      <c r="I88" s="62"/>
      <c r="J88" s="62"/>
      <c r="K88" s="33"/>
      <c r="L88" s="33"/>
      <c r="M88" s="34"/>
      <c r="N88" s="75"/>
      <c r="O88" s="76">
        <f t="shared" ref="O88:O90" si="18">+AL88+AI88+AF88+AC88+Z88+W88</f>
        <v>0</v>
      </c>
      <c r="P88" s="77"/>
      <c r="Q88" s="78"/>
      <c r="R88" s="115">
        <f t="shared" ref="R88:R90" si="19">+SUM(S88:V88)</f>
        <v>600000</v>
      </c>
      <c r="S88" s="116"/>
      <c r="T88" s="118"/>
      <c r="U88" s="118"/>
      <c r="V88" s="147">
        <v>600000</v>
      </c>
      <c r="W88" s="105">
        <f t="shared" ref="W88:W90" si="20">+X88+Y88</f>
        <v>0</v>
      </c>
      <c r="X88" s="100">
        <v>0</v>
      </c>
      <c r="Y88" s="101">
        <v>0</v>
      </c>
      <c r="Z88" s="79">
        <f t="shared" ref="Z88" si="21">+AA88+AB88</f>
        <v>0</v>
      </c>
      <c r="AA88" s="80"/>
      <c r="AB88" s="81"/>
      <c r="AC88" s="82"/>
      <c r="AD88" s="80"/>
      <c r="AE88" s="83"/>
      <c r="AF88" s="82"/>
      <c r="AG88" s="80"/>
      <c r="AH88" s="83"/>
      <c r="AI88" s="82"/>
      <c r="AJ88" s="80"/>
      <c r="AK88" s="83"/>
      <c r="AL88" s="84"/>
      <c r="AM88" s="85"/>
      <c r="AN88" s="86"/>
      <c r="AO88" s="86"/>
      <c r="AP88" s="77"/>
      <c r="AU88" s="88"/>
      <c r="AV88" s="88"/>
      <c r="AW88" s="77"/>
      <c r="AX88" s="86"/>
    </row>
    <row r="89" spans="1:50" s="87" customFormat="1">
      <c r="A89" s="133"/>
      <c r="B89" s="73"/>
      <c r="C89" s="73" t="s">
        <v>430</v>
      </c>
      <c r="D89" s="62" t="s">
        <v>260</v>
      </c>
      <c r="E89" s="62" t="s">
        <v>293</v>
      </c>
      <c r="F89" s="74"/>
      <c r="G89" s="74"/>
      <c r="H89" s="62"/>
      <c r="I89" s="62"/>
      <c r="J89" s="62"/>
      <c r="K89" s="33"/>
      <c r="L89" s="33"/>
      <c r="M89" s="34"/>
      <c r="N89" s="75"/>
      <c r="O89" s="76">
        <f t="shared" si="18"/>
        <v>0</v>
      </c>
      <c r="P89" s="77"/>
      <c r="Q89" s="78"/>
      <c r="R89" s="115">
        <f t="shared" si="19"/>
        <v>350000</v>
      </c>
      <c r="S89" s="116"/>
      <c r="T89" s="118"/>
      <c r="U89" s="118"/>
      <c r="V89" s="147">
        <v>350000</v>
      </c>
      <c r="W89" s="105">
        <f t="shared" si="20"/>
        <v>0</v>
      </c>
      <c r="X89" s="100">
        <v>0</v>
      </c>
      <c r="Y89" s="101">
        <v>0</v>
      </c>
      <c r="Z89" s="79"/>
      <c r="AA89" s="80"/>
      <c r="AB89" s="81"/>
      <c r="AC89" s="82"/>
      <c r="AD89" s="80"/>
      <c r="AE89" s="83"/>
      <c r="AF89" s="82"/>
      <c r="AG89" s="80"/>
      <c r="AH89" s="83"/>
      <c r="AI89" s="82"/>
      <c r="AJ89" s="80"/>
      <c r="AK89" s="83"/>
      <c r="AL89" s="84"/>
      <c r="AM89" s="85"/>
      <c r="AN89" s="86"/>
      <c r="AO89" s="86"/>
      <c r="AP89" s="77"/>
      <c r="AU89" s="88"/>
      <c r="AV89" s="88"/>
      <c r="AW89" s="77"/>
      <c r="AX89" s="86"/>
    </row>
    <row r="90" spans="1:50" s="87" customFormat="1">
      <c r="A90" s="134"/>
      <c r="B90" s="73"/>
      <c r="C90" s="73"/>
      <c r="D90" s="62"/>
      <c r="E90" s="62"/>
      <c r="F90" s="74"/>
      <c r="G90" s="74"/>
      <c r="H90" s="62"/>
      <c r="I90" s="62"/>
      <c r="J90" s="62"/>
      <c r="K90" s="33"/>
      <c r="L90" s="33" t="s">
        <v>373</v>
      </c>
      <c r="M90" s="34"/>
      <c r="N90" s="75"/>
      <c r="O90" s="76">
        <f t="shared" si="18"/>
        <v>0</v>
      </c>
      <c r="P90" s="77"/>
      <c r="Q90" s="78"/>
      <c r="R90" s="115">
        <f t="shared" si="19"/>
        <v>0</v>
      </c>
      <c r="S90" s="116"/>
      <c r="T90" s="120"/>
      <c r="U90" s="118"/>
      <c r="V90" s="119"/>
      <c r="W90" s="105">
        <f t="shared" si="20"/>
        <v>0</v>
      </c>
      <c r="X90" s="100">
        <v>0</v>
      </c>
      <c r="Y90" s="101">
        <v>0</v>
      </c>
      <c r="Z90" s="79"/>
      <c r="AA90" s="80"/>
      <c r="AB90" s="81"/>
      <c r="AC90" s="82"/>
      <c r="AD90" s="80"/>
      <c r="AE90" s="83"/>
      <c r="AF90" s="82"/>
      <c r="AG90" s="80"/>
      <c r="AH90" s="83"/>
      <c r="AI90" s="82"/>
      <c r="AJ90" s="80"/>
      <c r="AK90" s="83"/>
      <c r="AL90" s="84"/>
      <c r="AM90" s="85"/>
      <c r="AN90" s="86"/>
      <c r="AO90" s="86"/>
      <c r="AP90" s="77"/>
      <c r="AU90" s="88"/>
      <c r="AV90" s="88"/>
      <c r="AW90" s="77"/>
      <c r="AX90" s="86"/>
    </row>
    <row r="91" spans="1:50" s="87" customFormat="1">
      <c r="A91" s="132"/>
      <c r="B91" s="73"/>
      <c r="C91" s="73" t="s">
        <v>407</v>
      </c>
      <c r="D91" s="62" t="s">
        <v>407</v>
      </c>
      <c r="E91" s="62" t="s">
        <v>294</v>
      </c>
      <c r="F91" s="74"/>
      <c r="G91" s="74"/>
      <c r="H91" s="62"/>
      <c r="I91" s="62" t="s">
        <v>33</v>
      </c>
      <c r="J91" s="62"/>
      <c r="K91" s="33"/>
      <c r="L91" s="33" t="s">
        <v>373</v>
      </c>
      <c r="M91" s="34"/>
      <c r="N91" s="75"/>
      <c r="O91" s="76">
        <f t="shared" si="13"/>
        <v>0</v>
      </c>
      <c r="P91" s="77"/>
      <c r="Q91" s="78"/>
      <c r="R91" s="115">
        <f t="shared" si="16"/>
        <v>300000</v>
      </c>
      <c r="S91" s="116"/>
      <c r="T91" s="120"/>
      <c r="U91" s="118"/>
      <c r="V91" s="119">
        <v>300000</v>
      </c>
      <c r="W91" s="105">
        <f t="shared" si="14"/>
        <v>0</v>
      </c>
      <c r="X91" s="100">
        <v>0</v>
      </c>
      <c r="Y91" s="101">
        <v>0</v>
      </c>
      <c r="Z91" s="79"/>
      <c r="AA91" s="80"/>
      <c r="AB91" s="81"/>
      <c r="AC91" s="82"/>
      <c r="AD91" s="80"/>
      <c r="AE91" s="83"/>
      <c r="AF91" s="82"/>
      <c r="AG91" s="80"/>
      <c r="AH91" s="83"/>
      <c r="AI91" s="82"/>
      <c r="AJ91" s="80"/>
      <c r="AK91" s="83"/>
      <c r="AL91" s="84"/>
      <c r="AM91" s="85"/>
      <c r="AN91" s="86"/>
      <c r="AO91" s="86"/>
      <c r="AP91" s="77"/>
      <c r="AU91" s="88"/>
      <c r="AV91" s="88"/>
      <c r="AW91" s="77"/>
      <c r="AX91" s="86"/>
    </row>
    <row r="92" spans="1:50" s="87" customFormat="1">
      <c r="A92" s="133"/>
      <c r="B92" s="73"/>
      <c r="C92" s="73" t="s">
        <v>408</v>
      </c>
      <c r="D92" s="62" t="s">
        <v>73</v>
      </c>
      <c r="E92" s="62" t="s">
        <v>293</v>
      </c>
      <c r="F92" s="74"/>
      <c r="G92" s="74"/>
      <c r="H92" s="62"/>
      <c r="I92" s="62" t="s">
        <v>50</v>
      </c>
      <c r="J92" s="62"/>
      <c r="K92" s="33"/>
      <c r="L92" s="33"/>
      <c r="M92" s="34"/>
      <c r="N92" s="75"/>
      <c r="O92" s="76">
        <f t="shared" ref="O92:O100" si="22">+AL92+AI92+AF92+AC92+Z92+W92</f>
        <v>0</v>
      </c>
      <c r="P92" s="77"/>
      <c r="Q92" s="78"/>
      <c r="R92" s="115">
        <f>+SUM(S92:V92)</f>
        <v>440000</v>
      </c>
      <c r="S92" s="116"/>
      <c r="T92" s="116"/>
      <c r="U92" s="118"/>
      <c r="V92" s="146">
        <v>440000</v>
      </c>
      <c r="W92" s="105">
        <f t="shared" ref="W92:W100" si="23">+X92+Y92</f>
        <v>0</v>
      </c>
      <c r="X92" s="100">
        <v>0</v>
      </c>
      <c r="Y92" s="101">
        <v>0</v>
      </c>
      <c r="Z92" s="79"/>
      <c r="AA92" s="80"/>
      <c r="AB92" s="81"/>
      <c r="AC92" s="82"/>
      <c r="AD92" s="80"/>
      <c r="AE92" s="83"/>
      <c r="AF92" s="82"/>
      <c r="AG92" s="80"/>
      <c r="AH92" s="83"/>
      <c r="AI92" s="82"/>
      <c r="AJ92" s="80"/>
      <c r="AK92" s="83"/>
      <c r="AL92" s="84"/>
      <c r="AM92" s="85"/>
      <c r="AN92" s="86"/>
      <c r="AO92" s="86"/>
      <c r="AP92" s="77"/>
      <c r="AU92" s="88"/>
      <c r="AV92" s="88"/>
      <c r="AW92" s="77"/>
      <c r="AX92" s="86"/>
    </row>
    <row r="93" spans="1:50" s="87" customFormat="1">
      <c r="A93" s="134"/>
      <c r="B93" s="73"/>
      <c r="C93" s="73" t="s">
        <v>409</v>
      </c>
      <c r="D93" s="62" t="s">
        <v>410</v>
      </c>
      <c r="E93" s="62" t="s">
        <v>293</v>
      </c>
      <c r="F93" s="74"/>
      <c r="G93" s="74"/>
      <c r="H93" s="62"/>
      <c r="I93" s="62" t="s">
        <v>50</v>
      </c>
      <c r="J93" s="62"/>
      <c r="K93" s="33"/>
      <c r="L93" s="33"/>
      <c r="M93" s="34"/>
      <c r="N93" s="75"/>
      <c r="O93" s="76">
        <f t="shared" si="22"/>
        <v>0</v>
      </c>
      <c r="P93" s="77"/>
      <c r="Q93" s="78"/>
      <c r="R93" s="115">
        <f>+SUM(S93:V93)</f>
        <v>180000</v>
      </c>
      <c r="S93" s="116"/>
      <c r="T93" s="118"/>
      <c r="U93" s="118"/>
      <c r="V93" s="147">
        <v>180000</v>
      </c>
      <c r="W93" s="105">
        <f t="shared" si="23"/>
        <v>0</v>
      </c>
      <c r="X93" s="100">
        <v>0</v>
      </c>
      <c r="Y93" s="101">
        <v>0</v>
      </c>
      <c r="Z93" s="79">
        <f t="shared" ref="Z93:Z94" si="24">+AA93+AB93</f>
        <v>0</v>
      </c>
      <c r="AA93" s="80"/>
      <c r="AB93" s="81"/>
      <c r="AC93" s="82"/>
      <c r="AD93" s="80"/>
      <c r="AE93" s="83"/>
      <c r="AF93" s="82"/>
      <c r="AG93" s="80"/>
      <c r="AH93" s="83"/>
      <c r="AI93" s="82"/>
      <c r="AJ93" s="80"/>
      <c r="AK93" s="83"/>
      <c r="AL93" s="84"/>
      <c r="AM93" s="85"/>
      <c r="AN93" s="86"/>
      <c r="AO93" s="86"/>
      <c r="AP93" s="77"/>
      <c r="AU93" s="88"/>
      <c r="AV93" s="88"/>
      <c r="AW93" s="77"/>
      <c r="AX93" s="86"/>
    </row>
    <row r="94" spans="1:50" s="87" customFormat="1">
      <c r="A94" s="132"/>
      <c r="B94" s="73"/>
      <c r="C94" s="73" t="s">
        <v>411</v>
      </c>
      <c r="D94" s="62" t="s">
        <v>410</v>
      </c>
      <c r="E94" s="62" t="s">
        <v>293</v>
      </c>
      <c r="F94" s="74"/>
      <c r="G94" s="74"/>
      <c r="H94" s="62"/>
      <c r="I94" s="62" t="s">
        <v>50</v>
      </c>
      <c r="J94" s="62"/>
      <c r="K94" s="33"/>
      <c r="L94" s="33"/>
      <c r="M94" s="34"/>
      <c r="N94" s="75"/>
      <c r="O94" s="76">
        <f t="shared" si="22"/>
        <v>0</v>
      </c>
      <c r="P94" s="77"/>
      <c r="Q94" s="78"/>
      <c r="R94" s="115">
        <f>+SUM(S94:V94)</f>
        <v>340000</v>
      </c>
      <c r="S94" s="118"/>
      <c r="T94" s="118"/>
      <c r="U94" s="118"/>
      <c r="V94" s="119">
        <v>340000</v>
      </c>
      <c r="W94" s="105">
        <f t="shared" si="23"/>
        <v>0</v>
      </c>
      <c r="X94" s="100">
        <v>0</v>
      </c>
      <c r="Y94" s="101">
        <v>0</v>
      </c>
      <c r="Z94" s="79">
        <f t="shared" si="24"/>
        <v>0</v>
      </c>
      <c r="AA94" s="80"/>
      <c r="AB94" s="81"/>
      <c r="AC94" s="82"/>
      <c r="AD94" s="80"/>
      <c r="AE94" s="83"/>
      <c r="AF94" s="82"/>
      <c r="AG94" s="80"/>
      <c r="AH94" s="83"/>
      <c r="AI94" s="82"/>
      <c r="AJ94" s="80"/>
      <c r="AK94" s="83"/>
      <c r="AL94" s="84"/>
      <c r="AM94" s="85"/>
      <c r="AN94" s="86"/>
      <c r="AO94" s="86"/>
      <c r="AP94" s="77"/>
      <c r="AU94" s="88"/>
      <c r="AV94" s="88"/>
      <c r="AW94" s="77"/>
      <c r="AX94" s="86"/>
    </row>
    <row r="95" spans="1:50" s="87" customFormat="1">
      <c r="A95" s="133"/>
      <c r="B95" s="73"/>
      <c r="C95" s="73" t="s">
        <v>412</v>
      </c>
      <c r="D95" s="62" t="s">
        <v>413</v>
      </c>
      <c r="E95" s="62" t="s">
        <v>293</v>
      </c>
      <c r="F95" s="74"/>
      <c r="G95" s="74"/>
      <c r="H95" s="62"/>
      <c r="I95" s="62" t="s">
        <v>50</v>
      </c>
      <c r="J95" s="62"/>
      <c r="K95" s="33"/>
      <c r="L95" s="33"/>
      <c r="M95" s="34"/>
      <c r="N95" s="75"/>
      <c r="O95" s="76">
        <f t="shared" si="22"/>
        <v>0</v>
      </c>
      <c r="P95" s="77"/>
      <c r="Q95" s="78"/>
      <c r="R95" s="115">
        <f t="shared" ref="R95:R100" si="25">+SUM(S95:V95)</f>
        <v>280000</v>
      </c>
      <c r="S95" s="118"/>
      <c r="T95" s="118"/>
      <c r="U95" s="118"/>
      <c r="V95" s="147">
        <v>280000</v>
      </c>
      <c r="W95" s="105">
        <f t="shared" si="23"/>
        <v>0</v>
      </c>
      <c r="X95" s="100">
        <v>0</v>
      </c>
      <c r="Y95" s="101">
        <v>0</v>
      </c>
      <c r="Z95" s="79"/>
      <c r="AA95" s="80"/>
      <c r="AB95" s="81"/>
      <c r="AC95" s="82"/>
      <c r="AD95" s="80"/>
      <c r="AE95" s="83"/>
      <c r="AF95" s="82"/>
      <c r="AG95" s="80"/>
      <c r="AH95" s="83"/>
      <c r="AI95" s="82"/>
      <c r="AJ95" s="80"/>
      <c r="AK95" s="83"/>
      <c r="AL95" s="84"/>
      <c r="AM95" s="85"/>
      <c r="AN95" s="86"/>
      <c r="AO95" s="86"/>
      <c r="AP95" s="77"/>
      <c r="AU95" s="88"/>
      <c r="AV95" s="88"/>
      <c r="AW95" s="77"/>
      <c r="AX95" s="86"/>
    </row>
    <row r="96" spans="1:50" s="87" customFormat="1">
      <c r="A96" s="134"/>
      <c r="B96" s="73"/>
      <c r="C96" s="73" t="s">
        <v>414</v>
      </c>
      <c r="D96" s="62" t="s">
        <v>260</v>
      </c>
      <c r="E96" s="62" t="s">
        <v>293</v>
      </c>
      <c r="F96" s="74"/>
      <c r="G96" s="74"/>
      <c r="H96" s="62"/>
      <c r="I96" s="62" t="s">
        <v>50</v>
      </c>
      <c r="J96" s="62"/>
      <c r="K96" s="33"/>
      <c r="L96" s="33"/>
      <c r="M96" s="34"/>
      <c r="N96" s="75"/>
      <c r="O96" s="76">
        <f t="shared" si="22"/>
        <v>0</v>
      </c>
      <c r="P96" s="77"/>
      <c r="Q96" s="78"/>
      <c r="R96" s="115">
        <f t="shared" si="25"/>
        <v>490000</v>
      </c>
      <c r="S96" s="118"/>
      <c r="T96" s="118"/>
      <c r="U96" s="118"/>
      <c r="V96" s="147">
        <v>490000</v>
      </c>
      <c r="W96" s="105">
        <f t="shared" si="23"/>
        <v>0</v>
      </c>
      <c r="X96" s="100">
        <v>0</v>
      </c>
      <c r="Y96" s="101">
        <v>0</v>
      </c>
      <c r="Z96" s="79"/>
      <c r="AA96" s="80"/>
      <c r="AB96" s="81"/>
      <c r="AC96" s="82"/>
      <c r="AD96" s="80"/>
      <c r="AE96" s="83"/>
      <c r="AF96" s="82"/>
      <c r="AG96" s="80"/>
      <c r="AH96" s="83"/>
      <c r="AI96" s="82"/>
      <c r="AJ96" s="80"/>
      <c r="AK96" s="83"/>
      <c r="AL96" s="84"/>
      <c r="AM96" s="85"/>
      <c r="AN96" s="86"/>
      <c r="AO96" s="86"/>
      <c r="AP96" s="77"/>
      <c r="AU96" s="88"/>
      <c r="AV96" s="88"/>
      <c r="AW96" s="77"/>
      <c r="AX96" s="86"/>
    </row>
    <row r="97" spans="1:52" s="87" customFormat="1">
      <c r="A97" s="132"/>
      <c r="B97" s="73"/>
      <c r="C97" s="141" t="s">
        <v>415</v>
      </c>
      <c r="D97" s="62" t="s">
        <v>46</v>
      </c>
      <c r="E97" s="62" t="s">
        <v>293</v>
      </c>
      <c r="F97" s="74"/>
      <c r="G97" s="74"/>
      <c r="H97" s="62"/>
      <c r="I97" s="62" t="s">
        <v>50</v>
      </c>
      <c r="J97" s="62"/>
      <c r="K97" s="33"/>
      <c r="L97" s="33"/>
      <c r="M97" s="34"/>
      <c r="N97" s="75"/>
      <c r="O97" s="76">
        <f t="shared" si="22"/>
        <v>0</v>
      </c>
      <c r="P97" s="77"/>
      <c r="Q97" s="78"/>
      <c r="R97" s="115">
        <f t="shared" si="25"/>
        <v>430000</v>
      </c>
      <c r="S97" s="116"/>
      <c r="T97" s="118"/>
      <c r="U97" s="118"/>
      <c r="V97" s="119">
        <v>430000</v>
      </c>
      <c r="W97" s="105">
        <f t="shared" si="23"/>
        <v>0</v>
      </c>
      <c r="X97" s="100">
        <v>0</v>
      </c>
      <c r="Y97" s="101">
        <v>0</v>
      </c>
      <c r="Z97" s="79">
        <f t="shared" ref="Z97" si="26">+AA97+AB97</f>
        <v>0</v>
      </c>
      <c r="AA97" s="80"/>
      <c r="AB97" s="81"/>
      <c r="AC97" s="82"/>
      <c r="AD97" s="80"/>
      <c r="AE97" s="83"/>
      <c r="AF97" s="82"/>
      <c r="AG97" s="80"/>
      <c r="AH97" s="83"/>
      <c r="AI97" s="82"/>
      <c r="AJ97" s="80"/>
      <c r="AK97" s="83"/>
      <c r="AL97" s="84"/>
      <c r="AM97" s="85"/>
      <c r="AN97" s="86"/>
      <c r="AO97" s="86"/>
      <c r="AP97" s="77"/>
      <c r="AU97" s="88"/>
      <c r="AV97" s="88"/>
      <c r="AW97" s="77"/>
      <c r="AX97" s="86"/>
    </row>
    <row r="98" spans="1:52" s="87" customFormat="1">
      <c r="A98" s="133"/>
      <c r="B98" s="73"/>
      <c r="C98" s="73" t="s">
        <v>416</v>
      </c>
      <c r="D98" s="62" t="s">
        <v>46</v>
      </c>
      <c r="E98" s="62" t="s">
        <v>293</v>
      </c>
      <c r="F98" s="74"/>
      <c r="G98" s="74"/>
      <c r="H98" s="62"/>
      <c r="I98" s="62" t="s">
        <v>50</v>
      </c>
      <c r="J98" s="62"/>
      <c r="K98" s="33"/>
      <c r="L98" s="33"/>
      <c r="M98" s="34"/>
      <c r="N98" s="75"/>
      <c r="O98" s="76">
        <f t="shared" si="22"/>
        <v>0</v>
      </c>
      <c r="P98" s="77"/>
      <c r="Q98" s="78"/>
      <c r="R98" s="115">
        <f t="shared" si="25"/>
        <v>350000</v>
      </c>
      <c r="S98" s="116"/>
      <c r="T98" s="118"/>
      <c r="U98" s="118"/>
      <c r="V98" s="147">
        <v>350000</v>
      </c>
      <c r="W98" s="105">
        <f t="shared" si="23"/>
        <v>0</v>
      </c>
      <c r="X98" s="100">
        <v>0</v>
      </c>
      <c r="Y98" s="101">
        <v>0</v>
      </c>
      <c r="Z98" s="79"/>
      <c r="AA98" s="80"/>
      <c r="AB98" s="81"/>
      <c r="AC98" s="82"/>
      <c r="AD98" s="80"/>
      <c r="AE98" s="83"/>
      <c r="AF98" s="82"/>
      <c r="AG98" s="80"/>
      <c r="AH98" s="83"/>
      <c r="AI98" s="82"/>
      <c r="AJ98" s="80"/>
      <c r="AK98" s="83"/>
      <c r="AL98" s="84"/>
      <c r="AM98" s="85"/>
      <c r="AN98" s="86"/>
      <c r="AO98" s="86"/>
      <c r="AP98" s="77"/>
      <c r="AU98" s="88"/>
      <c r="AV98" s="88"/>
      <c r="AW98" s="77"/>
      <c r="AX98" s="86"/>
    </row>
    <row r="99" spans="1:52" s="87" customFormat="1">
      <c r="A99" s="134"/>
      <c r="B99" s="73"/>
      <c r="C99" s="73" t="s">
        <v>417</v>
      </c>
      <c r="D99" s="62" t="s">
        <v>107</v>
      </c>
      <c r="E99" s="62" t="s">
        <v>291</v>
      </c>
      <c r="F99" s="74"/>
      <c r="G99" s="74"/>
      <c r="H99" s="62"/>
      <c r="I99" s="62" t="s">
        <v>111</v>
      </c>
      <c r="J99" s="62"/>
      <c r="K99" s="33"/>
      <c r="L99" s="33"/>
      <c r="M99" s="34"/>
      <c r="N99" s="75"/>
      <c r="O99" s="76">
        <f t="shared" si="22"/>
        <v>0</v>
      </c>
      <c r="P99" s="77"/>
      <c r="Q99" s="78"/>
      <c r="R99" s="115">
        <f t="shared" si="25"/>
        <v>350000</v>
      </c>
      <c r="S99" s="116"/>
      <c r="T99" s="120"/>
      <c r="U99" s="118"/>
      <c r="V99" s="119">
        <v>350000</v>
      </c>
      <c r="W99" s="105">
        <f t="shared" si="23"/>
        <v>0</v>
      </c>
      <c r="X99" s="100">
        <v>0</v>
      </c>
      <c r="Y99" s="101">
        <v>0</v>
      </c>
      <c r="Z99" s="79"/>
      <c r="AA99" s="80"/>
      <c r="AB99" s="81"/>
      <c r="AC99" s="82"/>
      <c r="AD99" s="80"/>
      <c r="AE99" s="83"/>
      <c r="AF99" s="82"/>
      <c r="AG99" s="80"/>
      <c r="AH99" s="83"/>
      <c r="AI99" s="82"/>
      <c r="AJ99" s="80"/>
      <c r="AK99" s="83"/>
      <c r="AL99" s="84"/>
      <c r="AM99" s="85"/>
      <c r="AN99" s="86"/>
      <c r="AO99" s="86"/>
      <c r="AP99" s="77"/>
      <c r="AU99" s="88"/>
      <c r="AV99" s="88"/>
      <c r="AW99" s="77"/>
      <c r="AX99" s="86"/>
    </row>
    <row r="100" spans="1:52" s="87" customFormat="1">
      <c r="A100" s="132"/>
      <c r="B100" s="73"/>
      <c r="C100" s="73" t="s">
        <v>418</v>
      </c>
      <c r="D100" s="62" t="s">
        <v>107</v>
      </c>
      <c r="E100" s="62" t="s">
        <v>291</v>
      </c>
      <c r="F100" s="74"/>
      <c r="G100" s="74"/>
      <c r="H100" s="62"/>
      <c r="I100" s="62" t="s">
        <v>111</v>
      </c>
      <c r="J100" s="62"/>
      <c r="K100" s="33"/>
      <c r="L100" s="33"/>
      <c r="M100" s="34"/>
      <c r="N100" s="75"/>
      <c r="O100" s="76">
        <f t="shared" si="22"/>
        <v>0</v>
      </c>
      <c r="P100" s="77"/>
      <c r="Q100" s="78"/>
      <c r="R100" s="115">
        <f t="shared" si="25"/>
        <v>350000</v>
      </c>
      <c r="S100" s="116"/>
      <c r="T100" s="120"/>
      <c r="U100" s="118"/>
      <c r="V100" s="119">
        <v>350000</v>
      </c>
      <c r="W100" s="105">
        <f t="shared" si="23"/>
        <v>0</v>
      </c>
      <c r="X100" s="100">
        <v>0</v>
      </c>
      <c r="Y100" s="101">
        <v>0</v>
      </c>
      <c r="Z100" s="79"/>
      <c r="AA100" s="80"/>
      <c r="AB100" s="81"/>
      <c r="AC100" s="82"/>
      <c r="AD100" s="80"/>
      <c r="AE100" s="83"/>
      <c r="AF100" s="82"/>
      <c r="AG100" s="80"/>
      <c r="AH100" s="83"/>
      <c r="AI100" s="82"/>
      <c r="AJ100" s="80"/>
      <c r="AK100" s="83"/>
      <c r="AL100" s="84"/>
      <c r="AM100" s="85"/>
      <c r="AN100" s="86"/>
      <c r="AO100" s="86"/>
      <c r="AP100" s="77"/>
      <c r="AU100" s="88"/>
      <c r="AV100" s="88"/>
      <c r="AW100" s="77"/>
      <c r="AX100" s="86"/>
    </row>
    <row r="101" spans="1:52" s="87" customFormat="1">
      <c r="A101" s="133"/>
      <c r="B101" s="73"/>
      <c r="C101" s="73" t="s">
        <v>419</v>
      </c>
      <c r="D101" s="62" t="s">
        <v>420</v>
      </c>
      <c r="E101" s="62" t="s">
        <v>291</v>
      </c>
      <c r="F101" s="74"/>
      <c r="G101" s="74"/>
      <c r="H101" s="62"/>
      <c r="I101" s="62" t="s">
        <v>111</v>
      </c>
      <c r="J101" s="62"/>
      <c r="K101" s="33"/>
      <c r="L101" s="33"/>
      <c r="M101" s="34"/>
      <c r="N101" s="75"/>
      <c r="O101" s="76">
        <f t="shared" ref="O101:O103" si="27">+AL101+AI101+AF101+AC101+Z101+W101</f>
        <v>0</v>
      </c>
      <c r="P101" s="77"/>
      <c r="Q101" s="78"/>
      <c r="R101" s="115">
        <f t="shared" ref="R101:R103" si="28">+SUM(S101:V101)</f>
        <v>700000</v>
      </c>
      <c r="S101" s="116"/>
      <c r="T101" s="118"/>
      <c r="U101" s="118"/>
      <c r="V101" s="147">
        <v>700000</v>
      </c>
      <c r="W101" s="105">
        <f t="shared" ref="W101:W103" si="29">+X101+Y101</f>
        <v>0</v>
      </c>
      <c r="X101" s="100">
        <v>0</v>
      </c>
      <c r="Y101" s="101">
        <v>0</v>
      </c>
      <c r="Z101" s="79"/>
      <c r="AA101" s="80"/>
      <c r="AB101" s="81"/>
      <c r="AC101" s="82"/>
      <c r="AD101" s="80"/>
      <c r="AE101" s="83"/>
      <c r="AF101" s="82"/>
      <c r="AG101" s="80"/>
      <c r="AH101" s="83"/>
      <c r="AI101" s="82"/>
      <c r="AJ101" s="80"/>
      <c r="AK101" s="83"/>
      <c r="AL101" s="84"/>
      <c r="AM101" s="85"/>
      <c r="AN101" s="86"/>
      <c r="AO101" s="86"/>
      <c r="AP101" s="77"/>
      <c r="AU101" s="88"/>
      <c r="AV101" s="88"/>
      <c r="AW101" s="77"/>
      <c r="AX101" s="86"/>
    </row>
    <row r="102" spans="1:52" s="87" customFormat="1">
      <c r="A102" s="134"/>
      <c r="B102" s="73"/>
      <c r="C102" s="73" t="s">
        <v>423</v>
      </c>
      <c r="D102" s="62" t="s">
        <v>107</v>
      </c>
      <c r="E102" s="62"/>
      <c r="F102" s="74"/>
      <c r="G102" s="74"/>
      <c r="H102" s="62"/>
      <c r="I102" s="62"/>
      <c r="J102" s="62"/>
      <c r="K102" s="33"/>
      <c r="L102" s="33"/>
      <c r="M102" s="34"/>
      <c r="N102" s="75"/>
      <c r="O102" s="76">
        <f t="shared" si="27"/>
        <v>0</v>
      </c>
      <c r="P102" s="77"/>
      <c r="Q102" s="78"/>
      <c r="R102" s="115">
        <f t="shared" si="28"/>
        <v>420000</v>
      </c>
      <c r="S102" s="116"/>
      <c r="T102" s="120"/>
      <c r="U102" s="118"/>
      <c r="V102" s="147">
        <v>420000</v>
      </c>
      <c r="W102" s="105">
        <f t="shared" si="29"/>
        <v>0</v>
      </c>
      <c r="X102" s="100">
        <v>0</v>
      </c>
      <c r="Y102" s="101">
        <v>0</v>
      </c>
      <c r="Z102" s="79"/>
      <c r="AA102" s="80"/>
      <c r="AB102" s="81"/>
      <c r="AC102" s="82"/>
      <c r="AD102" s="80"/>
      <c r="AE102" s="83"/>
      <c r="AF102" s="82"/>
      <c r="AG102" s="80"/>
      <c r="AH102" s="83"/>
      <c r="AI102" s="82"/>
      <c r="AJ102" s="80"/>
      <c r="AK102" s="83"/>
      <c r="AL102" s="84"/>
      <c r="AM102" s="85"/>
      <c r="AN102" s="86"/>
      <c r="AO102" s="86"/>
      <c r="AP102" s="77"/>
      <c r="AU102" s="88"/>
      <c r="AV102" s="88"/>
      <c r="AW102" s="77"/>
      <c r="AX102" s="86"/>
    </row>
    <row r="103" spans="1:52" s="87" customFormat="1">
      <c r="A103" s="132"/>
      <c r="B103" s="73"/>
      <c r="C103" s="73" t="s">
        <v>424</v>
      </c>
      <c r="D103" s="62" t="s">
        <v>107</v>
      </c>
      <c r="E103" s="62"/>
      <c r="F103" s="74"/>
      <c r="G103" s="74"/>
      <c r="H103" s="62"/>
      <c r="I103" s="62"/>
      <c r="J103" s="62"/>
      <c r="K103" s="33"/>
      <c r="L103" s="33"/>
      <c r="M103" s="34"/>
      <c r="N103" s="75"/>
      <c r="O103" s="76">
        <f t="shared" si="27"/>
        <v>0</v>
      </c>
      <c r="P103" s="77"/>
      <c r="Q103" s="78"/>
      <c r="R103" s="115">
        <f t="shared" si="28"/>
        <v>410000</v>
      </c>
      <c r="S103" s="116"/>
      <c r="T103" s="120"/>
      <c r="U103" s="118"/>
      <c r="V103" s="147">
        <v>410000</v>
      </c>
      <c r="W103" s="105">
        <f t="shared" si="29"/>
        <v>0</v>
      </c>
      <c r="X103" s="100">
        <v>0</v>
      </c>
      <c r="Y103" s="101">
        <v>0</v>
      </c>
      <c r="Z103" s="79"/>
      <c r="AA103" s="80"/>
      <c r="AB103" s="81"/>
      <c r="AC103" s="82"/>
      <c r="AD103" s="80"/>
      <c r="AE103" s="83"/>
      <c r="AF103" s="82"/>
      <c r="AG103" s="80"/>
      <c r="AH103" s="83"/>
      <c r="AI103" s="82"/>
      <c r="AJ103" s="80"/>
      <c r="AK103" s="83"/>
      <c r="AL103" s="84"/>
      <c r="AM103" s="85"/>
      <c r="AN103" s="86"/>
      <c r="AO103" s="86"/>
      <c r="AP103" s="77"/>
      <c r="AU103" s="88"/>
      <c r="AV103" s="88"/>
      <c r="AW103" s="77"/>
      <c r="AX103" s="86"/>
    </row>
    <row r="104" spans="1:52">
      <c r="B104" s="53"/>
      <c r="C104" s="54"/>
      <c r="D104" s="53"/>
      <c r="E104" s="53"/>
      <c r="F104" s="52"/>
      <c r="G104" s="52"/>
      <c r="H104" s="53"/>
      <c r="I104" s="53"/>
      <c r="J104" s="53"/>
      <c r="K104" s="1"/>
      <c r="L104" s="1"/>
      <c r="M104" s="23"/>
      <c r="N104" s="24"/>
      <c r="O104" s="25">
        <f t="shared" si="9"/>
        <v>0</v>
      </c>
      <c r="P104" s="14"/>
      <c r="Q104" s="26"/>
      <c r="R104" s="121"/>
      <c r="S104" s="122"/>
      <c r="T104" s="122"/>
      <c r="U104" s="122"/>
      <c r="V104" s="123"/>
      <c r="W104" s="104">
        <f t="shared" si="10"/>
        <v>0</v>
      </c>
      <c r="X104" s="92">
        <v>0</v>
      </c>
      <c r="Y104" s="99">
        <v>0</v>
      </c>
      <c r="Z104" s="27">
        <f>+AA104+AB104</f>
        <v>0</v>
      </c>
      <c r="AA104" s="29"/>
      <c r="AB104" s="64"/>
      <c r="AC104" s="49"/>
      <c r="AD104" s="29"/>
      <c r="AE104" s="57"/>
      <c r="AF104" s="49"/>
      <c r="AG104" s="29"/>
      <c r="AH104" s="57"/>
      <c r="AI104" s="49"/>
      <c r="AJ104" s="29"/>
      <c r="AK104" s="57"/>
      <c r="AL104" s="51"/>
      <c r="AM104" s="58"/>
      <c r="AN104" s="59"/>
      <c r="AO104" s="59"/>
      <c r="AP104" s="14"/>
      <c r="AW104" s="14"/>
      <c r="AX104" s="59"/>
    </row>
    <row r="105" spans="1:52" ht="16.5" thickBot="1">
      <c r="B105" s="66"/>
      <c r="C105" s="66"/>
      <c r="D105" s="53"/>
      <c r="E105" s="53"/>
      <c r="F105" s="52"/>
      <c r="G105" s="52"/>
      <c r="H105" s="53"/>
      <c r="I105" s="53"/>
      <c r="J105" s="53"/>
      <c r="K105" s="1"/>
      <c r="L105" s="1"/>
      <c r="M105" s="23"/>
      <c r="N105" s="24"/>
      <c r="O105" s="25">
        <f t="shared" si="9"/>
        <v>31726332.602320444</v>
      </c>
      <c r="P105" s="14"/>
      <c r="Q105" s="25">
        <f t="shared" ref="Q105:AL105" si="30">+SUM(Q4:Q104)</f>
        <v>608606.4674510092</v>
      </c>
      <c r="R105" s="124">
        <f t="shared" si="30"/>
        <v>21369644.48</v>
      </c>
      <c r="S105" s="125">
        <f t="shared" si="30"/>
        <v>0</v>
      </c>
      <c r="T105" s="125">
        <f t="shared" si="30"/>
        <v>0</v>
      </c>
      <c r="U105" s="125">
        <f t="shared" si="30"/>
        <v>0</v>
      </c>
      <c r="V105" s="126">
        <f t="shared" si="30"/>
        <v>21859644.48</v>
      </c>
      <c r="W105" s="102">
        <f t="shared" si="30"/>
        <v>3461035.5389871099</v>
      </c>
      <c r="X105" s="102">
        <f t="shared" si="30"/>
        <v>1568972.2017320637</v>
      </c>
      <c r="Y105" s="103">
        <f t="shared" si="30"/>
        <v>1892063.3372550462</v>
      </c>
      <c r="Z105" s="47">
        <f t="shared" si="30"/>
        <v>8762139.0633333344</v>
      </c>
      <c r="AA105" s="47">
        <f t="shared" si="30"/>
        <v>7742994.1899999995</v>
      </c>
      <c r="AB105" s="48">
        <f t="shared" si="30"/>
        <v>1019144.8733333332</v>
      </c>
      <c r="AC105" s="40">
        <f t="shared" si="30"/>
        <v>9745037</v>
      </c>
      <c r="AD105" s="39">
        <f t="shared" si="30"/>
        <v>9240104</v>
      </c>
      <c r="AE105" s="39">
        <f t="shared" si="30"/>
        <v>504933</v>
      </c>
      <c r="AF105" s="40">
        <f t="shared" si="30"/>
        <v>3964071</v>
      </c>
      <c r="AG105" s="39">
        <f t="shared" si="30"/>
        <v>3428938</v>
      </c>
      <c r="AH105" s="39">
        <f t="shared" si="30"/>
        <v>535133</v>
      </c>
      <c r="AI105" s="40">
        <f t="shared" si="30"/>
        <v>2201300</v>
      </c>
      <c r="AJ105" s="39">
        <f t="shared" si="30"/>
        <v>1991300</v>
      </c>
      <c r="AK105" s="39">
        <f t="shared" si="30"/>
        <v>210000</v>
      </c>
      <c r="AL105" s="40">
        <f t="shared" si="30"/>
        <v>3592750</v>
      </c>
      <c r="AM105" s="58"/>
      <c r="AN105" s="59"/>
      <c r="AO105" s="59"/>
      <c r="AP105" s="14"/>
      <c r="AW105" s="14"/>
      <c r="AX105" s="59"/>
    </row>
    <row r="106" spans="1:52">
      <c r="O106" s="41"/>
      <c r="P106" s="41"/>
      <c r="R106" s="41"/>
      <c r="S106" s="41"/>
      <c r="T106" s="41"/>
      <c r="U106" s="41"/>
      <c r="V106" s="41"/>
      <c r="W106" s="5"/>
      <c r="Y106" s="42" t="s">
        <v>381</v>
      </c>
      <c r="Z106" s="43"/>
      <c r="AA106" s="43"/>
      <c r="AB106" s="43"/>
      <c r="AC106" s="43"/>
      <c r="AD106" s="6"/>
      <c r="AF106" s="6"/>
      <c r="AG106" s="6"/>
      <c r="AI106" s="6"/>
      <c r="AJ106" s="6"/>
    </row>
    <row r="107" spans="1:52">
      <c r="O107" s="41"/>
      <c r="P107" s="41"/>
      <c r="Q107" s="44"/>
      <c r="R107" s="41"/>
      <c r="S107" s="41"/>
      <c r="T107" s="41"/>
      <c r="U107" s="41"/>
      <c r="V107" s="41"/>
      <c r="X107" s="6"/>
      <c r="Y107" s="36" t="s">
        <v>382</v>
      </c>
      <c r="Z107" s="43"/>
      <c r="AA107" s="43"/>
      <c r="AB107" s="43"/>
      <c r="AC107" s="43"/>
    </row>
    <row r="108" spans="1:52">
      <c r="Y108" s="43"/>
      <c r="Z108" s="43"/>
      <c r="AA108" s="43"/>
      <c r="AB108" s="43"/>
      <c r="AC108" s="43"/>
    </row>
    <row r="109" spans="1:52" ht="31.5">
      <c r="B109" s="16" t="s">
        <v>0</v>
      </c>
      <c r="C109" s="16" t="s">
        <v>1</v>
      </c>
      <c r="D109" s="16" t="s">
        <v>2</v>
      </c>
      <c r="E109" s="16"/>
      <c r="F109" s="16"/>
      <c r="G109" s="16"/>
      <c r="H109" s="16" t="s">
        <v>5</v>
      </c>
      <c r="I109" s="16" t="s">
        <v>6</v>
      </c>
      <c r="J109" s="16" t="s">
        <v>7</v>
      </c>
      <c r="K109" s="16" t="s">
        <v>8</v>
      </c>
      <c r="L109" s="16" t="s">
        <v>9</v>
      </c>
      <c r="M109" s="17" t="s">
        <v>10</v>
      </c>
      <c r="N109" s="16" t="s">
        <v>11</v>
      </c>
      <c r="O109" s="18" t="s">
        <v>12</v>
      </c>
      <c r="P109" s="18" t="s">
        <v>12</v>
      </c>
      <c r="Q109" s="18"/>
      <c r="R109" s="18"/>
      <c r="S109" s="18"/>
      <c r="T109" s="18"/>
      <c r="U109" s="18"/>
      <c r="V109" s="18"/>
      <c r="W109" s="20" t="s">
        <v>13</v>
      </c>
      <c r="X109" s="16" t="s">
        <v>14</v>
      </c>
      <c r="Y109" s="16" t="s">
        <v>15</v>
      </c>
      <c r="Z109" s="20" t="s">
        <v>13</v>
      </c>
      <c r="AA109" s="16" t="s">
        <v>14</v>
      </c>
      <c r="AB109" s="16" t="s">
        <v>15</v>
      </c>
      <c r="AC109" s="16" t="s">
        <v>13</v>
      </c>
      <c r="AD109" s="16" t="s">
        <v>14</v>
      </c>
      <c r="AE109" s="16" t="s">
        <v>15</v>
      </c>
      <c r="AF109" s="16" t="s">
        <v>13</v>
      </c>
      <c r="AG109" s="16" t="s">
        <v>14</v>
      </c>
      <c r="AH109" s="16" t="s">
        <v>15</v>
      </c>
      <c r="AI109" s="16" t="s">
        <v>13</v>
      </c>
      <c r="AJ109" s="16" t="s">
        <v>14</v>
      </c>
      <c r="AK109" s="16" t="s">
        <v>15</v>
      </c>
      <c r="AL109" s="18" t="s">
        <v>16</v>
      </c>
      <c r="AM109" s="18" t="s">
        <v>17</v>
      </c>
      <c r="AN109" s="18" t="s">
        <v>18</v>
      </c>
      <c r="AO109" s="18"/>
      <c r="AP109" s="18" t="s">
        <v>20</v>
      </c>
      <c r="AQ109" s="18" t="s">
        <v>21</v>
      </c>
      <c r="AR109" s="18" t="s">
        <v>22</v>
      </c>
      <c r="AS109" s="18" t="s">
        <v>23</v>
      </c>
      <c r="AT109" s="18" t="s">
        <v>24</v>
      </c>
      <c r="AU109" s="21" t="s">
        <v>25</v>
      </c>
      <c r="AV109" s="21" t="s">
        <v>26</v>
      </c>
      <c r="AW109" s="18" t="s">
        <v>27</v>
      </c>
      <c r="AX109" s="21" t="s">
        <v>28</v>
      </c>
    </row>
    <row r="110" spans="1:52">
      <c r="B110" s="53">
        <v>17</v>
      </c>
      <c r="C110" s="54" t="s">
        <v>270</v>
      </c>
      <c r="D110" s="53" t="s">
        <v>107</v>
      </c>
      <c r="E110" s="53"/>
      <c r="F110" s="53"/>
      <c r="G110" s="53"/>
      <c r="H110" s="53" t="s">
        <v>271</v>
      </c>
      <c r="I110" s="53" t="s">
        <v>111</v>
      </c>
      <c r="J110" s="53" t="s">
        <v>34</v>
      </c>
      <c r="K110" s="1" t="s">
        <v>103</v>
      </c>
      <c r="L110" s="1" t="s">
        <v>272</v>
      </c>
      <c r="M110" s="23">
        <v>100</v>
      </c>
      <c r="N110" s="24" t="s">
        <v>91</v>
      </c>
      <c r="O110" s="25">
        <f t="shared" ref="O110:O115" si="31">+Q110+AC110+AF110+AI110+AL110</f>
        <v>350000</v>
      </c>
      <c r="P110" s="14" t="e">
        <f>+O110*#REF!</f>
        <v>#REF!</v>
      </c>
      <c r="Q110" s="26"/>
      <c r="R110" s="26"/>
      <c r="S110" s="26"/>
      <c r="T110" s="26"/>
      <c r="U110" s="26"/>
      <c r="V110" s="26"/>
      <c r="W110" s="27">
        <f t="shared" ref="W110:W115" si="32">+X110+Y110</f>
        <v>0</v>
      </c>
      <c r="X110" s="29">
        <v>0</v>
      </c>
      <c r="Y110" s="57">
        <v>0</v>
      </c>
      <c r="Z110" s="27">
        <f t="shared" ref="Z110:Z115" si="33">+AA110+AB110</f>
        <v>0</v>
      </c>
      <c r="AA110" s="29">
        <v>0</v>
      </c>
      <c r="AB110" s="57">
        <v>0</v>
      </c>
      <c r="AC110" s="28">
        <f t="shared" ref="AC110:AC115" si="34">+AD110+AE110</f>
        <v>0</v>
      </c>
      <c r="AD110" s="29">
        <v>0</v>
      </c>
      <c r="AE110" s="57">
        <v>0</v>
      </c>
      <c r="AF110" s="28">
        <f t="shared" ref="AF110:AF115" si="35">+AG110+AH110</f>
        <v>0</v>
      </c>
      <c r="AG110" s="29">
        <v>0</v>
      </c>
      <c r="AH110" s="57">
        <v>0</v>
      </c>
      <c r="AI110" s="28">
        <f t="shared" ref="AI110:AI115" si="36">+AJ110+AK110</f>
        <v>350000</v>
      </c>
      <c r="AJ110" s="29">
        <v>350000</v>
      </c>
      <c r="AK110" s="57">
        <v>0</v>
      </c>
      <c r="AL110" s="2">
        <v>0</v>
      </c>
      <c r="AM110" s="59" t="s">
        <v>273</v>
      </c>
      <c r="AN110" s="59"/>
      <c r="AO110" s="59"/>
      <c r="AP110" s="14"/>
      <c r="AS110" s="1"/>
      <c r="AT110" s="1"/>
      <c r="AU110" s="2"/>
      <c r="AV110" s="2"/>
      <c r="AW110" s="14" t="e">
        <f>AU110-#REF!-#REF!-Q110+AV110</f>
        <v>#REF!</v>
      </c>
      <c r="AX110" s="59"/>
      <c r="AY110" s="1"/>
      <c r="AZ110" s="2"/>
    </row>
    <row r="111" spans="1:52">
      <c r="B111" s="53">
        <v>18</v>
      </c>
      <c r="C111" s="54" t="s">
        <v>274</v>
      </c>
      <c r="D111" s="53" t="s">
        <v>275</v>
      </c>
      <c r="E111" s="53"/>
      <c r="F111" s="53"/>
      <c r="G111" s="53"/>
      <c r="H111" s="53" t="s">
        <v>276</v>
      </c>
      <c r="I111" s="53" t="s">
        <v>64</v>
      </c>
      <c r="J111" s="53" t="s">
        <v>70</v>
      </c>
      <c r="K111" s="1" t="s">
        <v>76</v>
      </c>
      <c r="L111" s="1" t="s">
        <v>277</v>
      </c>
      <c r="M111" s="23">
        <v>5</v>
      </c>
      <c r="N111" s="24" t="s">
        <v>91</v>
      </c>
      <c r="O111" s="25">
        <f t="shared" si="31"/>
        <v>105000</v>
      </c>
      <c r="P111" s="14" t="e">
        <f>+O111*#REF!</f>
        <v>#REF!</v>
      </c>
      <c r="Q111" s="26"/>
      <c r="R111" s="26"/>
      <c r="S111" s="26"/>
      <c r="T111" s="26"/>
      <c r="U111" s="26"/>
      <c r="V111" s="26"/>
      <c r="W111" s="27">
        <f t="shared" si="32"/>
        <v>0</v>
      </c>
      <c r="X111" s="29">
        <v>0</v>
      </c>
      <c r="Y111" s="57">
        <v>0</v>
      </c>
      <c r="Z111" s="27">
        <f t="shared" si="33"/>
        <v>0</v>
      </c>
      <c r="AA111" s="29">
        <v>0</v>
      </c>
      <c r="AB111" s="57">
        <v>0</v>
      </c>
      <c r="AC111" s="28">
        <f t="shared" si="34"/>
        <v>0</v>
      </c>
      <c r="AD111" s="29">
        <v>0</v>
      </c>
      <c r="AE111" s="57">
        <v>0</v>
      </c>
      <c r="AF111" s="28">
        <f t="shared" si="35"/>
        <v>0</v>
      </c>
      <c r="AG111" s="29">
        <v>0</v>
      </c>
      <c r="AH111" s="57">
        <v>0</v>
      </c>
      <c r="AI111" s="28">
        <f t="shared" si="36"/>
        <v>105000</v>
      </c>
      <c r="AJ111" s="29">
        <v>105000</v>
      </c>
      <c r="AK111" s="57">
        <v>0</v>
      </c>
      <c r="AL111" s="2">
        <v>0</v>
      </c>
      <c r="AM111" s="6" t="s">
        <v>273</v>
      </c>
      <c r="AN111" s="6"/>
      <c r="AO111" s="6"/>
      <c r="AP111" s="14"/>
      <c r="AW111" s="14" t="e">
        <f>AU111-#REF!-#REF!-Q111+AV111</f>
        <v>#REF!</v>
      </c>
      <c r="AX111" s="59"/>
      <c r="AY111" s="1"/>
      <c r="AZ111" s="2"/>
    </row>
    <row r="112" spans="1:52">
      <c r="B112" s="53">
        <v>28</v>
      </c>
      <c r="C112" s="54" t="s">
        <v>278</v>
      </c>
      <c r="D112" s="53" t="s">
        <v>107</v>
      </c>
      <c r="E112" s="53"/>
      <c r="F112" s="53"/>
      <c r="G112" s="53"/>
      <c r="H112" s="53" t="s">
        <v>279</v>
      </c>
      <c r="I112" s="53" t="s">
        <v>111</v>
      </c>
      <c r="J112" s="53" t="s">
        <v>34</v>
      </c>
      <c r="K112" s="1" t="s">
        <v>76</v>
      </c>
      <c r="L112" s="1" t="s">
        <v>280</v>
      </c>
      <c r="M112" s="23">
        <v>110</v>
      </c>
      <c r="N112" s="24" t="s">
        <v>122</v>
      </c>
      <c r="O112" s="25">
        <f t="shared" si="31"/>
        <v>450000</v>
      </c>
      <c r="P112" s="14" t="e">
        <f>+O112*#REF!</f>
        <v>#REF!</v>
      </c>
      <c r="Q112" s="26"/>
      <c r="R112" s="26"/>
      <c r="S112" s="26"/>
      <c r="T112" s="26"/>
      <c r="U112" s="26"/>
      <c r="V112" s="26"/>
      <c r="W112" s="27">
        <f t="shared" si="32"/>
        <v>0</v>
      </c>
      <c r="X112" s="29">
        <v>0</v>
      </c>
      <c r="Y112" s="57">
        <v>0</v>
      </c>
      <c r="Z112" s="27">
        <f t="shared" si="33"/>
        <v>0</v>
      </c>
      <c r="AA112" s="29">
        <v>0</v>
      </c>
      <c r="AB112" s="57">
        <v>0</v>
      </c>
      <c r="AC112" s="28">
        <f t="shared" si="34"/>
        <v>0</v>
      </c>
      <c r="AD112" s="29">
        <v>0</v>
      </c>
      <c r="AE112" s="57">
        <v>0</v>
      </c>
      <c r="AF112" s="28">
        <f t="shared" si="35"/>
        <v>450000</v>
      </c>
      <c r="AG112" s="29">
        <v>450000</v>
      </c>
      <c r="AH112" s="57">
        <v>0</v>
      </c>
      <c r="AI112" s="28">
        <f t="shared" si="36"/>
        <v>0</v>
      </c>
      <c r="AJ112" s="29">
        <v>0</v>
      </c>
      <c r="AK112" s="57">
        <v>0</v>
      </c>
      <c r="AL112" s="2">
        <v>0</v>
      </c>
      <c r="AM112" s="58" t="s">
        <v>273</v>
      </c>
      <c r="AN112" s="59"/>
      <c r="AO112" s="59"/>
      <c r="AP112" s="14"/>
      <c r="AW112" s="14" t="e">
        <f>AU112-#REF!-#REF!-Q112+AV112</f>
        <v>#REF!</v>
      </c>
      <c r="AX112" s="59"/>
    </row>
    <row r="113" spans="2:52">
      <c r="B113" s="53">
        <v>5</v>
      </c>
      <c r="C113" s="54" t="s">
        <v>283</v>
      </c>
      <c r="D113" s="53" t="s">
        <v>41</v>
      </c>
      <c r="E113" s="53"/>
      <c r="F113" s="53"/>
      <c r="G113" s="53"/>
      <c r="H113" s="53" t="s">
        <v>284</v>
      </c>
      <c r="I113" s="53" t="s">
        <v>33</v>
      </c>
      <c r="J113" s="53" t="s">
        <v>34</v>
      </c>
      <c r="K113" s="53" t="s">
        <v>103</v>
      </c>
      <c r="L113" s="53" t="s">
        <v>285</v>
      </c>
      <c r="M113" s="67">
        <v>10</v>
      </c>
      <c r="N113" s="24" t="s">
        <v>53</v>
      </c>
      <c r="O113" s="25">
        <f t="shared" si="31"/>
        <v>186000</v>
      </c>
      <c r="P113" s="14" t="e">
        <f>+O113*#REF!</f>
        <v>#REF!</v>
      </c>
      <c r="Q113" s="26"/>
      <c r="R113" s="26"/>
      <c r="S113" s="26"/>
      <c r="T113" s="26"/>
      <c r="U113" s="26"/>
      <c r="V113" s="26"/>
      <c r="W113" s="27">
        <f t="shared" si="32"/>
        <v>0</v>
      </c>
      <c r="X113" s="29">
        <v>0</v>
      </c>
      <c r="Y113" s="57">
        <v>0</v>
      </c>
      <c r="Z113" s="27">
        <f t="shared" si="33"/>
        <v>0</v>
      </c>
      <c r="AA113" s="29">
        <v>0</v>
      </c>
      <c r="AB113" s="57">
        <v>0</v>
      </c>
      <c r="AC113" s="28">
        <f t="shared" si="34"/>
        <v>0</v>
      </c>
      <c r="AD113" s="29">
        <v>0</v>
      </c>
      <c r="AE113" s="57">
        <v>0</v>
      </c>
      <c r="AF113" s="28">
        <f t="shared" si="35"/>
        <v>0</v>
      </c>
      <c r="AG113" s="29">
        <v>0</v>
      </c>
      <c r="AH113" s="57">
        <v>0</v>
      </c>
      <c r="AI113" s="28">
        <f t="shared" si="36"/>
        <v>0</v>
      </c>
      <c r="AJ113" s="29">
        <v>0</v>
      </c>
      <c r="AK113" s="57">
        <v>0</v>
      </c>
      <c r="AL113" s="2">
        <v>186000</v>
      </c>
      <c r="AM113" s="59" t="s">
        <v>286</v>
      </c>
      <c r="AN113" s="59"/>
      <c r="AO113" s="59"/>
      <c r="AP113" s="14"/>
      <c r="AS113" s="4"/>
      <c r="AT113" s="1"/>
      <c r="AU113" s="2"/>
      <c r="AV113" s="2"/>
      <c r="AW113" s="14" t="e">
        <f>AU113-#REF!-#REF!-Q113+AV113</f>
        <v>#REF!</v>
      </c>
      <c r="AX113" s="59"/>
    </row>
    <row r="114" spans="2:52">
      <c r="B114" s="53">
        <v>7</v>
      </c>
      <c r="C114" s="54" t="s">
        <v>287</v>
      </c>
      <c r="D114" s="53" t="s">
        <v>107</v>
      </c>
      <c r="E114" s="53"/>
      <c r="F114" s="53"/>
      <c r="G114" s="53"/>
      <c r="H114" s="53" t="s">
        <v>287</v>
      </c>
      <c r="I114" s="53" t="s">
        <v>111</v>
      </c>
      <c r="J114" s="53" t="s">
        <v>70</v>
      </c>
      <c r="K114" s="1" t="s">
        <v>51</v>
      </c>
      <c r="L114" s="33" t="s">
        <v>287</v>
      </c>
      <c r="M114" s="34">
        <v>100</v>
      </c>
      <c r="N114" s="24" t="s">
        <v>65</v>
      </c>
      <c r="O114" s="25">
        <f t="shared" si="31"/>
        <v>400000</v>
      </c>
      <c r="P114" s="14" t="e">
        <f>+O114*#REF!</f>
        <v>#REF!</v>
      </c>
      <c r="Q114" s="26"/>
      <c r="R114" s="26"/>
      <c r="S114" s="26"/>
      <c r="T114" s="26"/>
      <c r="U114" s="26"/>
      <c r="V114" s="26"/>
      <c r="W114" s="27">
        <f t="shared" si="32"/>
        <v>0</v>
      </c>
      <c r="X114" s="29">
        <v>0</v>
      </c>
      <c r="Y114" s="57">
        <v>0</v>
      </c>
      <c r="Z114" s="27">
        <f t="shared" si="33"/>
        <v>0</v>
      </c>
      <c r="AA114" s="29">
        <v>0</v>
      </c>
      <c r="AB114" s="57">
        <v>0</v>
      </c>
      <c r="AC114" s="28">
        <f t="shared" si="34"/>
        <v>0</v>
      </c>
      <c r="AD114" s="29">
        <v>0</v>
      </c>
      <c r="AE114" s="57">
        <v>0</v>
      </c>
      <c r="AF114" s="28">
        <f t="shared" si="35"/>
        <v>0</v>
      </c>
      <c r="AG114" s="29">
        <v>0</v>
      </c>
      <c r="AH114" s="57">
        <v>0</v>
      </c>
      <c r="AI114" s="28">
        <f t="shared" si="36"/>
        <v>0</v>
      </c>
      <c r="AJ114" s="29">
        <v>0</v>
      </c>
      <c r="AK114" s="57">
        <v>0</v>
      </c>
      <c r="AL114" s="2">
        <v>400000</v>
      </c>
      <c r="AM114" s="61">
        <v>40513</v>
      </c>
      <c r="AN114" s="72"/>
      <c r="AO114" s="72"/>
      <c r="AP114" s="14"/>
      <c r="AS114" s="1"/>
      <c r="AT114" s="1"/>
      <c r="AU114" s="2"/>
      <c r="AV114" s="2"/>
      <c r="AW114" s="14" t="e">
        <f>AU114-#REF!-#REF!-Q114+AV114</f>
        <v>#REF!</v>
      </c>
      <c r="AX114" s="59"/>
      <c r="AY114" s="1"/>
      <c r="AZ114" s="2"/>
    </row>
    <row r="115" spans="2:52">
      <c r="B115" s="53">
        <v>12</v>
      </c>
      <c r="C115" s="54" t="s">
        <v>288</v>
      </c>
      <c r="D115" s="53" t="s">
        <v>289</v>
      </c>
      <c r="E115" s="53"/>
      <c r="F115" s="53"/>
      <c r="G115" s="53"/>
      <c r="H115" s="53" t="s">
        <v>288</v>
      </c>
      <c r="I115" s="53" t="s">
        <v>50</v>
      </c>
      <c r="J115" s="53" t="s">
        <v>34</v>
      </c>
      <c r="K115" s="1" t="s">
        <v>35</v>
      </c>
      <c r="L115" s="22" t="s">
        <v>36</v>
      </c>
      <c r="M115" s="23">
        <v>5</v>
      </c>
      <c r="N115" s="45" t="s">
        <v>91</v>
      </c>
      <c r="O115" s="25">
        <f t="shared" si="31"/>
        <v>245000</v>
      </c>
      <c r="P115" s="14" t="e">
        <f>+O115*#REF!</f>
        <v>#REF!</v>
      </c>
      <c r="Q115" s="26"/>
      <c r="R115" s="26"/>
      <c r="S115" s="26"/>
      <c r="T115" s="26"/>
      <c r="U115" s="26"/>
      <c r="V115" s="26"/>
      <c r="W115" s="27">
        <f t="shared" si="32"/>
        <v>0</v>
      </c>
      <c r="X115" s="29">
        <v>0</v>
      </c>
      <c r="Y115" s="57">
        <v>0</v>
      </c>
      <c r="Z115" s="27">
        <f t="shared" si="33"/>
        <v>0</v>
      </c>
      <c r="AA115" s="29">
        <v>0</v>
      </c>
      <c r="AB115" s="57">
        <v>0</v>
      </c>
      <c r="AC115" s="28">
        <f t="shared" si="34"/>
        <v>0</v>
      </c>
      <c r="AD115" s="29">
        <v>0</v>
      </c>
      <c r="AE115" s="57">
        <v>0</v>
      </c>
      <c r="AF115" s="28">
        <f t="shared" si="35"/>
        <v>0</v>
      </c>
      <c r="AG115" s="57">
        <v>0</v>
      </c>
      <c r="AH115" s="57">
        <v>0</v>
      </c>
      <c r="AI115" s="28">
        <f t="shared" si="36"/>
        <v>245000</v>
      </c>
      <c r="AJ115" s="57">
        <v>245000</v>
      </c>
      <c r="AK115" s="57">
        <v>0</v>
      </c>
      <c r="AL115" s="2"/>
      <c r="AM115" s="61">
        <v>40513</v>
      </c>
      <c r="AN115" s="6"/>
      <c r="AO115" s="6"/>
      <c r="AP115" s="14"/>
      <c r="AS115" s="1"/>
      <c r="AT115" s="1"/>
      <c r="AU115" s="2"/>
      <c r="AV115" s="2"/>
      <c r="AW115" s="14" t="e">
        <f>AU115-#REF!-#REF!-Q115+AV115</f>
        <v>#REF!</v>
      </c>
      <c r="AX115" s="59"/>
      <c r="AY115" s="1"/>
      <c r="AZ115" s="2"/>
    </row>
    <row r="116" spans="2:52">
      <c r="B116" s="53">
        <v>33</v>
      </c>
      <c r="C116" s="54" t="s">
        <v>67</v>
      </c>
      <c r="D116" s="53" t="s">
        <v>30</v>
      </c>
      <c r="E116" s="53" t="s">
        <v>290</v>
      </c>
      <c r="F116" s="52" t="s">
        <v>172</v>
      </c>
      <c r="G116" s="52" t="s">
        <v>173</v>
      </c>
      <c r="H116" s="53" t="s">
        <v>174</v>
      </c>
      <c r="I116" s="53" t="s">
        <v>33</v>
      </c>
      <c r="J116" s="53" t="s">
        <v>70</v>
      </c>
      <c r="K116" s="66" t="s">
        <v>35</v>
      </c>
      <c r="L116" s="53" t="s">
        <v>175</v>
      </c>
      <c r="M116" s="67">
        <v>10</v>
      </c>
      <c r="N116" s="24" t="s">
        <v>164</v>
      </c>
      <c r="O116" s="25">
        <f>+AL116+AI116+AF116+AC116+Z116+W116</f>
        <v>200000</v>
      </c>
      <c r="P116" s="14" t="e">
        <f>+O116*#REF!</f>
        <v>#REF!</v>
      </c>
      <c r="Q116" s="14"/>
      <c r="R116" s="110">
        <f>+SUM(S116:V116)</f>
        <v>0</v>
      </c>
      <c r="S116" s="111"/>
      <c r="T116" s="111"/>
      <c r="U116" s="111"/>
      <c r="V116" s="112"/>
      <c r="W116" s="104">
        <f>+X116+Y116</f>
        <v>0</v>
      </c>
      <c r="X116" s="93">
        <v>0</v>
      </c>
      <c r="Y116" s="94">
        <v>0</v>
      </c>
      <c r="Z116" s="27">
        <f>+AA116+AB116</f>
        <v>0</v>
      </c>
      <c r="AA116" s="29">
        <v>0</v>
      </c>
      <c r="AB116" s="64">
        <v>0</v>
      </c>
      <c r="AC116" s="49">
        <f>+AD116+AE116</f>
        <v>200000</v>
      </c>
      <c r="AD116" s="29">
        <v>200000</v>
      </c>
      <c r="AE116" s="57">
        <v>0</v>
      </c>
      <c r="AF116" s="49">
        <f>+AG116+AH116</f>
        <v>0</v>
      </c>
      <c r="AG116" s="29">
        <v>0</v>
      </c>
      <c r="AH116" s="57">
        <v>0</v>
      </c>
      <c r="AI116" s="49">
        <f>+AJ116+AK116</f>
        <v>0</v>
      </c>
      <c r="AJ116" s="29">
        <v>0</v>
      </c>
      <c r="AK116" s="57">
        <v>0</v>
      </c>
      <c r="AL116" s="51">
        <v>0</v>
      </c>
      <c r="AM116" s="59" t="s">
        <v>273</v>
      </c>
      <c r="AN116" s="59">
        <v>40000</v>
      </c>
      <c r="AO116" s="59" t="s">
        <v>176</v>
      </c>
      <c r="AP116" s="14"/>
      <c r="AS116" s="1"/>
      <c r="AT116" s="1"/>
      <c r="AU116" s="2"/>
      <c r="AV116" s="2"/>
      <c r="AW116" s="14" t="e">
        <f>AU116-#REF!-#REF!-Q116+AV116</f>
        <v>#REF!</v>
      </c>
      <c r="AX116" s="59"/>
      <c r="AY116" s="1"/>
      <c r="AZ116" s="2"/>
    </row>
    <row r="118" spans="2:52">
      <c r="Z118" s="25" t="e">
        <f>+#REF!+Z105</f>
        <v>#REF!</v>
      </c>
    </row>
    <row r="120" spans="2:52">
      <c r="Z120" s="2"/>
    </row>
    <row r="121" spans="2:52">
      <c r="Z121" s="14"/>
    </row>
  </sheetData>
  <autoFilter ref="A3:BU107"/>
  <mergeCells count="2">
    <mergeCell ref="R2:V2"/>
    <mergeCell ref="W2:Y2"/>
  </mergeCells>
  <hyperlinks>
    <hyperlink ref="F44" r:id="rId1"/>
    <hyperlink ref="F26" r:id="rId2"/>
    <hyperlink ref="G26" r:id="rId3"/>
    <hyperlink ref="F40" r:id="rId4"/>
    <hyperlink ref="F13" r:id="rId5"/>
    <hyperlink ref="G13" r:id="rId6"/>
    <hyperlink ref="F5" r:id="rId7"/>
    <hyperlink ref="F8" r:id="rId8"/>
    <hyperlink ref="G8" r:id="rId9"/>
    <hyperlink ref="F43" r:id="rId10"/>
    <hyperlink ref="G43" r:id="rId11"/>
    <hyperlink ref="F19" r:id="rId12"/>
    <hyperlink ref="G6" r:id="rId13"/>
    <hyperlink ref="F6" r:id="rId14"/>
    <hyperlink ref="F46" r:id="rId15"/>
    <hyperlink ref="F45" r:id="rId16"/>
    <hyperlink ref="F7" r:id="rId17"/>
    <hyperlink ref="F15" r:id="rId18"/>
    <hyperlink ref="F9" r:id="rId19"/>
    <hyperlink ref="G116" r:id="rId20"/>
    <hyperlink ref="F116" r:id="rId21"/>
    <hyperlink ref="F30" r:id="rId22"/>
    <hyperlink ref="G30" r:id="rId23"/>
    <hyperlink ref="F16" r:id="rId24"/>
    <hyperlink ref="G16" r:id="rId25"/>
    <hyperlink ref="F10" r:id="rId26"/>
    <hyperlink ref="G10" r:id="rId27"/>
    <hyperlink ref="F32" r:id="rId28"/>
    <hyperlink ref="F24" r:id="rId29"/>
    <hyperlink ref="G24" r:id="rId30"/>
    <hyperlink ref="F20" r:id="rId31"/>
    <hyperlink ref="F11" r:id="rId32"/>
    <hyperlink ref="F42" r:id="rId33"/>
    <hyperlink ref="F4" r:id="rId34"/>
    <hyperlink ref="F21" r:id="rId35"/>
    <hyperlink ref="G21" r:id="rId36"/>
    <hyperlink ref="F34" r:id="rId37"/>
    <hyperlink ref="G34" r:id="rId38"/>
    <hyperlink ref="F36" r:id="rId39"/>
    <hyperlink ref="F12" r:id="rId40"/>
    <hyperlink ref="F29" r:id="rId41"/>
    <hyperlink ref="F37" r:id="rId42"/>
    <hyperlink ref="F22" r:id="rId43"/>
    <hyperlink ref="F23" r:id="rId44"/>
    <hyperlink ref="F17" r:id="rId45"/>
  </hyperlinks>
  <pageMargins left="0.7" right="0.7" top="0.75" bottom="0.75" header="0.3" footer="0.3"/>
  <pageSetup paperSize="9" orientation="portrait" r:id="rId46"/>
  <legacyDrawing r:id="rId47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workbookViewId="0">
      <selection activeCell="C4" sqref="C4"/>
    </sheetView>
  </sheetViews>
  <sheetFormatPr defaultColWidth="8.7109375" defaultRowHeight="15"/>
  <cols>
    <col min="1" max="1" width="16.42578125" style="10" bestFit="1" customWidth="1"/>
    <col min="2" max="2" width="13.7109375" style="10" bestFit="1" customWidth="1"/>
    <col min="3" max="3" width="12.85546875" style="10" bestFit="1" customWidth="1"/>
    <col min="4" max="4" width="11.28515625" style="10" bestFit="1" customWidth="1"/>
    <col min="5" max="5" width="11.42578125" style="10" bestFit="1" customWidth="1"/>
    <col min="6" max="6" width="8.7109375" style="10"/>
    <col min="7" max="7" width="11.42578125" style="10" bestFit="1" customWidth="1"/>
    <col min="8" max="8" width="25" style="10" bestFit="1" customWidth="1"/>
    <col min="9" max="16384" width="8.7109375" style="10"/>
  </cols>
  <sheetData>
    <row r="2" spans="1:9">
      <c r="A2" s="10" t="s">
        <v>384</v>
      </c>
      <c r="C2" s="11">
        <f>+'Customers 2014 Split'!W81</f>
        <v>3176430.7389871101</v>
      </c>
      <c r="D2" s="11"/>
      <c r="E2" s="11"/>
      <c r="F2" s="11"/>
    </row>
    <row r="3" spans="1:9">
      <c r="A3" s="10" t="s">
        <v>385</v>
      </c>
      <c r="C3" s="106">
        <f>1196503.91666667-92000-202500</f>
        <v>902003.91666667</v>
      </c>
      <c r="D3" s="11"/>
      <c r="E3" s="11"/>
      <c r="F3" s="11"/>
    </row>
    <row r="4" spans="1:9">
      <c r="A4" s="10" t="s">
        <v>386</v>
      </c>
      <c r="C4" s="11"/>
      <c r="D4" s="11"/>
      <c r="E4" s="11"/>
      <c r="F4" s="11"/>
      <c r="G4" s="11"/>
      <c r="H4" s="11"/>
      <c r="I4" s="11"/>
    </row>
    <row r="5" spans="1:9">
      <c r="A5" s="10" t="s">
        <v>387</v>
      </c>
      <c r="C5" s="11">
        <v>926000</v>
      </c>
      <c r="D5" s="11">
        <f>+C5+C3+175000</f>
        <v>2003003.91666667</v>
      </c>
      <c r="E5" s="11"/>
      <c r="F5" s="11"/>
      <c r="G5" s="11"/>
      <c r="H5" s="11"/>
      <c r="I5" s="11"/>
    </row>
    <row r="6" spans="1:9">
      <c r="C6" s="11"/>
      <c r="D6" s="11"/>
      <c r="E6" s="12"/>
      <c r="F6" s="11"/>
      <c r="G6" s="12"/>
      <c r="H6" s="11"/>
      <c r="I6" s="11"/>
    </row>
    <row r="7" spans="1:9">
      <c r="C7" s="11"/>
      <c r="D7" s="11"/>
      <c r="E7" s="11"/>
      <c r="F7" s="11"/>
      <c r="G7" s="11"/>
      <c r="H7" s="11"/>
      <c r="I7" s="11"/>
    </row>
    <row r="8" spans="1:9" ht="17.25">
      <c r="C8" s="11"/>
      <c r="D8" s="11"/>
      <c r="E8" s="11"/>
      <c r="F8" s="11"/>
      <c r="G8" s="13"/>
      <c r="H8" s="13"/>
    </row>
    <row r="9" spans="1:9">
      <c r="C9" s="11"/>
      <c r="D9" s="11"/>
      <c r="E9" s="11"/>
      <c r="F9" s="11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Customers 2014 Split</vt:lpstr>
      <vt:lpstr>Forecast 2014</vt:lpstr>
      <vt:lpstr>riconciliazione</vt:lpstr>
      <vt:lpstr>amount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GiancarloRusso</dc:creator>
  <cp:lastModifiedBy>Simonetta</cp:lastModifiedBy>
  <cp:lastPrinted>2014-01-31T14:24:57Z</cp:lastPrinted>
  <dcterms:created xsi:type="dcterms:W3CDTF">2013-12-10T17:26:27Z</dcterms:created>
  <dcterms:modified xsi:type="dcterms:W3CDTF">2014-10-17T16:41:22Z</dcterms:modified>
</cp:coreProperties>
</file>