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6135" windowWidth="25260" windowHeight="6195" activeTab="1"/>
  </bookViews>
  <sheets>
    <sheet name="Sheet2" sheetId="5" r:id="rId1"/>
    <sheet name="Customers 2013 Split" sheetId="1" r:id="rId2"/>
    <sheet name="riconciliazione" sheetId="3" r:id="rId3"/>
    <sheet name="Sheet1" sheetId="4" r:id="rId4"/>
  </sheets>
  <definedNames>
    <definedName name="_xlnm._FilterDatabase" localSheetId="1" hidden="1">'Customers 2013 Split'!$A$3:$AZ$82</definedName>
    <definedName name="amount">'Customers 2013 Split'!$X$39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V17" i="1"/>
  <c r="D5" i="3" l="1"/>
  <c r="X57" i="1" l="1"/>
  <c r="X39"/>
  <c r="Y43"/>
  <c r="Q43"/>
  <c r="Y29"/>
  <c r="Y15"/>
  <c r="Y36"/>
  <c r="X36"/>
  <c r="Y11" l="1"/>
  <c r="W78"/>
  <c r="O78" s="1"/>
  <c r="W77"/>
  <c r="O77" s="1"/>
  <c r="W76"/>
  <c r="O76" s="1"/>
  <c r="Z75"/>
  <c r="W75"/>
  <c r="W74"/>
  <c r="O74" s="1"/>
  <c r="W73"/>
  <c r="O73" s="1"/>
  <c r="Z72"/>
  <c r="W72"/>
  <c r="Z71"/>
  <c r="W71"/>
  <c r="W70"/>
  <c r="O70" s="1"/>
  <c r="Z69"/>
  <c r="W69"/>
  <c r="W68"/>
  <c r="O68" s="1"/>
  <c r="Z67"/>
  <c r="W67"/>
  <c r="W66"/>
  <c r="O66" s="1"/>
  <c r="Z65"/>
  <c r="W65"/>
  <c r="Z64"/>
  <c r="W64"/>
  <c r="Z63"/>
  <c r="W63"/>
  <c r="Z62"/>
  <c r="W62"/>
  <c r="Z61"/>
  <c r="W61"/>
  <c r="C9" i="5"/>
  <c r="W57" i="1"/>
  <c r="Z57"/>
  <c r="U11"/>
  <c r="V11"/>
  <c r="V80"/>
  <c r="C3" i="3"/>
  <c r="Y6" i="1"/>
  <c r="W79"/>
  <c r="W60"/>
  <c r="W59"/>
  <c r="R36"/>
  <c r="W39"/>
  <c r="W43"/>
  <c r="W26"/>
  <c r="R17"/>
  <c r="R77"/>
  <c r="Q4"/>
  <c r="Q80"/>
  <c r="Q6"/>
  <c r="Y4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7"/>
  <c r="W28"/>
  <c r="W29"/>
  <c r="W91"/>
  <c r="W30"/>
  <c r="W31"/>
  <c r="W32"/>
  <c r="W33"/>
  <c r="W34"/>
  <c r="W35"/>
  <c r="W36"/>
  <c r="W37"/>
  <c r="W38"/>
  <c r="AB40"/>
  <c r="Y40"/>
  <c r="Y80" s="1"/>
  <c r="W41"/>
  <c r="W42"/>
  <c r="W44"/>
  <c r="W45"/>
  <c r="W46"/>
  <c r="W47"/>
  <c r="W48"/>
  <c r="W49"/>
  <c r="W50"/>
  <c r="W51"/>
  <c r="W52"/>
  <c r="W53"/>
  <c r="W54"/>
  <c r="W55"/>
  <c r="W56"/>
  <c r="W58"/>
  <c r="R73"/>
  <c r="R76"/>
  <c r="R74"/>
  <c r="R75"/>
  <c r="R66"/>
  <c r="R69"/>
  <c r="R70"/>
  <c r="R45"/>
  <c r="AA54"/>
  <c r="AA42"/>
  <c r="AA41"/>
  <c r="AH80"/>
  <c r="AE80"/>
  <c r="U80"/>
  <c r="T80"/>
  <c r="S80"/>
  <c r="R78"/>
  <c r="R71"/>
  <c r="R67"/>
  <c r="R65"/>
  <c r="R57"/>
  <c r="R64"/>
  <c r="R63"/>
  <c r="R62"/>
  <c r="R61"/>
  <c r="R60"/>
  <c r="R59"/>
  <c r="R58"/>
  <c r="R56"/>
  <c r="R55"/>
  <c r="R54"/>
  <c r="R53"/>
  <c r="R52"/>
  <c r="R51"/>
  <c r="R50"/>
  <c r="R49"/>
  <c r="R48"/>
  <c r="R47"/>
  <c r="R46"/>
  <c r="R44"/>
  <c r="R43"/>
  <c r="R42"/>
  <c r="R41"/>
  <c r="R40"/>
  <c r="R39"/>
  <c r="R38"/>
  <c r="R37"/>
  <c r="R35"/>
  <c r="R34"/>
  <c r="R33"/>
  <c r="R32"/>
  <c r="R31"/>
  <c r="R30"/>
  <c r="R91"/>
  <c r="R29"/>
  <c r="R28"/>
  <c r="R27"/>
  <c r="R26"/>
  <c r="R25"/>
  <c r="R24"/>
  <c r="R23"/>
  <c r="R22"/>
  <c r="R21"/>
  <c r="R20"/>
  <c r="R19"/>
  <c r="R18"/>
  <c r="R16"/>
  <c r="R15"/>
  <c r="R14"/>
  <c r="R13"/>
  <c r="R12"/>
  <c r="R11"/>
  <c r="R10"/>
  <c r="R9"/>
  <c r="R8"/>
  <c r="R7"/>
  <c r="R6"/>
  <c r="R5"/>
  <c r="R4"/>
  <c r="Z79"/>
  <c r="AA8"/>
  <c r="Z60"/>
  <c r="Z59"/>
  <c r="Z55"/>
  <c r="Z53"/>
  <c r="Z52"/>
  <c r="Z51"/>
  <c r="Z50"/>
  <c r="Z49"/>
  <c r="Z48"/>
  <c r="Z47"/>
  <c r="Z46"/>
  <c r="Z45"/>
  <c r="Z44"/>
  <c r="Z43"/>
  <c r="Z42"/>
  <c r="Z39"/>
  <c r="Z38"/>
  <c r="Z36"/>
  <c r="Z35"/>
  <c r="Z34"/>
  <c r="Z33"/>
  <c r="Z31"/>
  <c r="Z30"/>
  <c r="Z91"/>
  <c r="Z28"/>
  <c r="Z27"/>
  <c r="Z26"/>
  <c r="Z25"/>
  <c r="Z24"/>
  <c r="Z23"/>
  <c r="Z22"/>
  <c r="Z21"/>
  <c r="Z20"/>
  <c r="Z19"/>
  <c r="Z18"/>
  <c r="Z16"/>
  <c r="Z15"/>
  <c r="Z14"/>
  <c r="Z13"/>
  <c r="Z12"/>
  <c r="Z11"/>
  <c r="Z54"/>
  <c r="AB29"/>
  <c r="Z29"/>
  <c r="AA17"/>
  <c r="Z17"/>
  <c r="AB6"/>
  <c r="Z40"/>
  <c r="Z41"/>
  <c r="AB32"/>
  <c r="Z32"/>
  <c r="Z58"/>
  <c r="AB10"/>
  <c r="Z10"/>
  <c r="AB37"/>
  <c r="Z37"/>
  <c r="Z90"/>
  <c r="Z89"/>
  <c r="Z88"/>
  <c r="Z87"/>
  <c r="Z86"/>
  <c r="Z85"/>
  <c r="Z56"/>
  <c r="Z9"/>
  <c r="Z7"/>
  <c r="Z5"/>
  <c r="Z4"/>
  <c r="AI52"/>
  <c r="AF52"/>
  <c r="AC52"/>
  <c r="AW46"/>
  <c r="AW49"/>
  <c r="AI51"/>
  <c r="AF51"/>
  <c r="AC51"/>
  <c r="AW45"/>
  <c r="W90"/>
  <c r="W89"/>
  <c r="W88"/>
  <c r="W87"/>
  <c r="W86"/>
  <c r="W85"/>
  <c r="AI90"/>
  <c r="AF90"/>
  <c r="AC90"/>
  <c r="O90"/>
  <c r="P90"/>
  <c r="AW90"/>
  <c r="AI89"/>
  <c r="AF89"/>
  <c r="AC89"/>
  <c r="O89"/>
  <c r="P89"/>
  <c r="AW89"/>
  <c r="AI88"/>
  <c r="AF88"/>
  <c r="AC88"/>
  <c r="AW88"/>
  <c r="AI27"/>
  <c r="AF27"/>
  <c r="AC27"/>
  <c r="AW14"/>
  <c r="AI87"/>
  <c r="AF87"/>
  <c r="AC87"/>
  <c r="O87"/>
  <c r="P87"/>
  <c r="AW87"/>
  <c r="AI86"/>
  <c r="AF86"/>
  <c r="AC86"/>
  <c r="O86"/>
  <c r="P86"/>
  <c r="AW86"/>
  <c r="AI85"/>
  <c r="AF85"/>
  <c r="AC85"/>
  <c r="O85"/>
  <c r="P85"/>
  <c r="AW85"/>
  <c r="AI56"/>
  <c r="AF56"/>
  <c r="AC56"/>
  <c r="AI50"/>
  <c r="AF50"/>
  <c r="AC50"/>
  <c r="AW43"/>
  <c r="AI49"/>
  <c r="AF49"/>
  <c r="AC49"/>
  <c r="AW39"/>
  <c r="AI48"/>
  <c r="AF48"/>
  <c r="AC48"/>
  <c r="AU25"/>
  <c r="AW25"/>
  <c r="AI47"/>
  <c r="AF47"/>
  <c r="AC47"/>
  <c r="AU21"/>
  <c r="AW21"/>
  <c r="AI46"/>
  <c r="AF46"/>
  <c r="AC46"/>
  <c r="AU19"/>
  <c r="AW19"/>
  <c r="AI45"/>
  <c r="AF45"/>
  <c r="AC45"/>
  <c r="AU16"/>
  <c r="AI44"/>
  <c r="AF44"/>
  <c r="AC44"/>
  <c r="AU55"/>
  <c r="AW55"/>
  <c r="AI43"/>
  <c r="AF43"/>
  <c r="AC43"/>
  <c r="AU48"/>
  <c r="AW48"/>
  <c r="AI42"/>
  <c r="AF42"/>
  <c r="AC42"/>
  <c r="AI41"/>
  <c r="AF41"/>
  <c r="AC41"/>
  <c r="AI40"/>
  <c r="AF40"/>
  <c r="AC40"/>
  <c r="AI39"/>
  <c r="AF39"/>
  <c r="AC39"/>
  <c r="AW37"/>
  <c r="AI38"/>
  <c r="AF38"/>
  <c r="AD38"/>
  <c r="AC38"/>
  <c r="AW31"/>
  <c r="AI37"/>
  <c r="AF37"/>
  <c r="AC37"/>
  <c r="AI36"/>
  <c r="AF36"/>
  <c r="AC36"/>
  <c r="AW6"/>
  <c r="AI35"/>
  <c r="AF35"/>
  <c r="AC35"/>
  <c r="AW53"/>
  <c r="AI34"/>
  <c r="AF34"/>
  <c r="AC34"/>
  <c r="AW41"/>
  <c r="AI33"/>
  <c r="AF33"/>
  <c r="AD33"/>
  <c r="AC33"/>
  <c r="AI32"/>
  <c r="AF32"/>
  <c r="AC32"/>
  <c r="AI31"/>
  <c r="AF31"/>
  <c r="AD31"/>
  <c r="AC31"/>
  <c r="AW33"/>
  <c r="AU32"/>
  <c r="AW32"/>
  <c r="AI30"/>
  <c r="AF30"/>
  <c r="AC30"/>
  <c r="AI91"/>
  <c r="AF91"/>
  <c r="AC91"/>
  <c r="AW22"/>
  <c r="AI29"/>
  <c r="AF29"/>
  <c r="AD29"/>
  <c r="AC29"/>
  <c r="AI28"/>
  <c r="AF28"/>
  <c r="AD28"/>
  <c r="AC28"/>
  <c r="AW18"/>
  <c r="AI26"/>
  <c r="AF26"/>
  <c r="AC26"/>
  <c r="AW8"/>
  <c r="AI25"/>
  <c r="AF25"/>
  <c r="AC25"/>
  <c r="AW52"/>
  <c r="AI24"/>
  <c r="AF24"/>
  <c r="AC24"/>
  <c r="AW44"/>
  <c r="AI23"/>
  <c r="AF23"/>
  <c r="AC23"/>
  <c r="AW40"/>
  <c r="AI22"/>
  <c r="AF22"/>
  <c r="AC22"/>
  <c r="AW36"/>
  <c r="AI21"/>
  <c r="AF21"/>
  <c r="AC21"/>
  <c r="AW28"/>
  <c r="AI20"/>
  <c r="AF20"/>
  <c r="AC20"/>
  <c r="AW26"/>
  <c r="AI19"/>
  <c r="AF19"/>
  <c r="AC19"/>
  <c r="AW24"/>
  <c r="AI18"/>
  <c r="AF18"/>
  <c r="AC18"/>
  <c r="AW23"/>
  <c r="AI17"/>
  <c r="AF17"/>
  <c r="AD17"/>
  <c r="AC17"/>
  <c r="AW17"/>
  <c r="AI16"/>
  <c r="AF16"/>
  <c r="AC16"/>
  <c r="AW12"/>
  <c r="AI15"/>
  <c r="AF15"/>
  <c r="AD15"/>
  <c r="AI14"/>
  <c r="AF14"/>
  <c r="AC14"/>
  <c r="AW51"/>
  <c r="AJ13"/>
  <c r="AI13"/>
  <c r="AF13"/>
  <c r="AC13"/>
  <c r="AI12"/>
  <c r="AF12"/>
  <c r="AC12"/>
  <c r="AW30"/>
  <c r="AI11"/>
  <c r="AF11"/>
  <c r="AC11"/>
  <c r="AJ10"/>
  <c r="AI10"/>
  <c r="AG10"/>
  <c r="AF10"/>
  <c r="AG80"/>
  <c r="AC10"/>
  <c r="AW29"/>
  <c r="AL9"/>
  <c r="AI9"/>
  <c r="AF9"/>
  <c r="AC9"/>
  <c r="AL8"/>
  <c r="AI8"/>
  <c r="AF8"/>
  <c r="AC8"/>
  <c r="AL7"/>
  <c r="AI7"/>
  <c r="AF7"/>
  <c r="AC7"/>
  <c r="AU9"/>
  <c r="AW9"/>
  <c r="AI6"/>
  <c r="AF6"/>
  <c r="AC6"/>
  <c r="AL5"/>
  <c r="AL80"/>
  <c r="AK5"/>
  <c r="AK80"/>
  <c r="AJ5"/>
  <c r="AI5"/>
  <c r="AF5"/>
  <c r="AC5"/>
  <c r="AW5"/>
  <c r="AI4"/>
  <c r="AF4"/>
  <c r="AC4"/>
  <c r="AC15"/>
  <c r="AW13"/>
  <c r="AW56"/>
  <c r="AW11"/>
  <c r="AW38"/>
  <c r="AW7"/>
  <c r="AW15"/>
  <c r="AW16"/>
  <c r="AW91"/>
  <c r="AW27"/>
  <c r="AW4"/>
  <c r="AW34"/>
  <c r="AW10"/>
  <c r="AW47"/>
  <c r="AW20"/>
  <c r="AW42"/>
  <c r="AW35"/>
  <c r="O88"/>
  <c r="P88"/>
  <c r="AB80"/>
  <c r="Z8"/>
  <c r="Z6"/>
  <c r="O91"/>
  <c r="P91"/>
  <c r="X80"/>
  <c r="AD80"/>
  <c r="AJ80"/>
  <c r="AA80"/>
  <c r="O59" l="1"/>
  <c r="O64"/>
  <c r="O69"/>
  <c r="O18"/>
  <c r="P18" s="1"/>
  <c r="O71"/>
  <c r="O60"/>
  <c r="O63"/>
  <c r="O7"/>
  <c r="P7" s="1"/>
  <c r="O24"/>
  <c r="P24" s="1"/>
  <c r="O53"/>
  <c r="P53" s="1"/>
  <c r="W40"/>
  <c r="O40" s="1"/>
  <c r="P40" s="1"/>
  <c r="O15"/>
  <c r="P15" s="1"/>
  <c r="O42"/>
  <c r="P42" s="1"/>
  <c r="O67"/>
  <c r="AF80"/>
  <c r="O6"/>
  <c r="P6" s="1"/>
  <c r="O10"/>
  <c r="P10" s="1"/>
  <c r="O11"/>
  <c r="P11" s="1"/>
  <c r="O12"/>
  <c r="P12" s="1"/>
  <c r="O13"/>
  <c r="P13" s="1"/>
  <c r="O14"/>
  <c r="P14" s="1"/>
  <c r="O16"/>
  <c r="P16" s="1"/>
  <c r="O19"/>
  <c r="P19" s="1"/>
  <c r="O20"/>
  <c r="P20" s="1"/>
  <c r="O21"/>
  <c r="P21" s="1"/>
  <c r="O22"/>
  <c r="P22" s="1"/>
  <c r="O23"/>
  <c r="P23" s="1"/>
  <c r="O25"/>
  <c r="P25" s="1"/>
  <c r="O26"/>
  <c r="P26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8"/>
  <c r="P38" s="1"/>
  <c r="O39"/>
  <c r="P39" s="1"/>
  <c r="O41"/>
  <c r="P41" s="1"/>
  <c r="O43"/>
  <c r="O46"/>
  <c r="O47"/>
  <c r="P47" s="1"/>
  <c r="O48"/>
  <c r="O49"/>
  <c r="P49" s="1"/>
  <c r="O50"/>
  <c r="P50" s="1"/>
  <c r="O56"/>
  <c r="O51"/>
  <c r="P51" s="1"/>
  <c r="O52"/>
  <c r="P52" s="1"/>
  <c r="O54"/>
  <c r="P54" s="1"/>
  <c r="O27"/>
  <c r="P27" s="1"/>
  <c r="O9"/>
  <c r="P9" s="1"/>
  <c r="O44"/>
  <c r="P44" s="1"/>
  <c r="O55"/>
  <c r="P55" s="1"/>
  <c r="O79"/>
  <c r="R80"/>
  <c r="O58"/>
  <c r="W80"/>
  <c r="C2" i="3" s="1"/>
  <c r="O75" i="1"/>
  <c r="Z80"/>
  <c r="Z93" s="1"/>
  <c r="O57"/>
  <c r="O65"/>
  <c r="O61"/>
  <c r="AI80"/>
  <c r="O17"/>
  <c r="P17" s="1"/>
  <c r="O37"/>
  <c r="P37" s="1"/>
  <c r="O45"/>
  <c r="O8"/>
  <c r="P8" s="1"/>
  <c r="O4"/>
  <c r="P4" s="1"/>
  <c r="O5"/>
  <c r="P5" s="1"/>
  <c r="O62"/>
  <c r="O72"/>
  <c r="AC80"/>
  <c r="O80" l="1"/>
</calcChain>
</file>

<file path=xl/comments1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U19" authorId="1">
      <text>
        <r>
          <rPr>
            <b/>
            <sz val="9"/>
            <color indexed="81"/>
            <rFont val="Tahoma"/>
            <family val="2"/>
          </rPr>
          <t xml:space="preserve">6 mesi 2014 6 2015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U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U45" authorId="1">
      <text>
        <r>
          <rPr>
            <b/>
            <sz val="12"/>
            <color indexed="81"/>
            <rFont val="Tahoma"/>
            <family val="2"/>
          </rPr>
          <t>Simonetta:</t>
        </r>
        <r>
          <rPr>
            <sz val="12"/>
            <color indexed="81"/>
            <rFont val="Tahoma"/>
            <family val="2"/>
          </rPr>
          <t xml:space="preserve">
80 k manutenzione 7 mesi</t>
        </r>
      </text>
    </comment>
    <comment ref="U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2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<sst xmlns="http://schemas.openxmlformats.org/spreadsheetml/2006/main" count="878" uniqueCount="394">
  <si>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</si>
  <si>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</si>
  <si>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</si>
  <si>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</si>
  <si>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</si>
  <si>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</si>
  <si>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</si>
  <si>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</si>
  <si>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</si>
  <si>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</si>
  <si>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</si>
  <si>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</si>
  <si>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</si>
  <si>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</si>
  <si>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License/ Upgrades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</si>
  <si>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</si>
  <si>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</si>
  <si>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</si>
  <si>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</si>
  <si>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</si>
  <si>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</si>
  <si>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</si>
  <si>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</si>
  <si>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</si>
  <si>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</si>
  <si>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</si>
  <si>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</si>
  <si>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</si>
  <si>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</si>
  <si>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</si>
  <si>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</si>
  <si>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</si>
  <si>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</si>
  <si>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</si>
  <si>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</si>
  <si>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</si>
  <si>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</si>
  <si>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</si>
  <si>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</si>
  <si>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risconto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</si>
  <si>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</si>
  <si>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</si>
  <si>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</si>
  <si>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</si>
  <si>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</si>
  <si>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</si>
  <si>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</si>
  <si>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</si>
  <si>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</si>
  <si>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</si>
  <si>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</si>
  <si>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</si>
  <si>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</si>
  <si>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</si>
  <si>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</si>
  <si>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ft 13/2013 e ft 32/2013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</si>
  <si>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</si>
  <si>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</si>
  <si>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</si>
  <si>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</si>
  <si>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</si>
  <si>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</si>
  <si>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</si>
  <si>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</si>
  <si>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</si>
  <si>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</si>
  <si>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ft 11/2013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</si>
  <si>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</si>
  <si>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</si>
  <si>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</si>
  <si>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</si>
  <si>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</si>
  <si>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</si>
  <si>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</si>
  <si>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</si>
  <si>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</si>
  <si>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</si>
  <si>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</si>
  <si>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ft 19/2013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</si>
  <si>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</si>
  <si>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</si>
  <si>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</si>
  <si>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</si>
  <si>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</si>
  <si>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</si>
  <si>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</si>
  <si>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ft 1/2013</t>
  </si>
  <si>
    <t>CC - Italy</t>
  </si>
  <si>
    <t>gabrieliraf@gmail.com</t>
  </si>
  <si>
    <t>andrea.raffaelli@carabinieri.it</t>
  </si>
  <si>
    <t>ROS</t>
  </si>
  <si>
    <t>2010</t>
  </si>
  <si>
    <t>ft 23/2013</t>
  </si>
  <si>
    <t>GIP Saudi</t>
  </si>
  <si>
    <t>Saudi</t>
  </si>
  <si>
    <t>albwardy@gmail.com</t>
  </si>
  <si>
    <t>GIP</t>
  </si>
  <si>
    <t>AECOM/Net. Rev.</t>
  </si>
  <si>
    <t>ft 3/2013</t>
  </si>
  <si>
    <t>IR Authorities (Condor)</t>
  </si>
  <si>
    <t>Luxemburg</t>
  </si>
  <si>
    <t>sith@lea-consult.de</t>
  </si>
  <si>
    <t>INTECH-CONDOR</t>
  </si>
  <si>
    <t>Channel</t>
  </si>
  <si>
    <t>Intech</t>
  </si>
  <si>
    <t>ft 28/2013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</si>
  <si>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</si>
  <si>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</si>
  <si>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</si>
  <si>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</si>
  <si>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</si>
  <si>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</si>
  <si>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</si>
  <si>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</si>
  <si>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</si>
  <si>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</si>
  <si>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</si>
  <si>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</si>
  <si>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</si>
  <si>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</si>
  <si>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</si>
  <si>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</si>
  <si>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</si>
  <si>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</si>
  <si>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</si>
  <si>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</si>
  <si>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</si>
  <si>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</si>
  <si>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</si>
  <si>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</si>
  <si>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</si>
  <si>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</si>
  <si>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</si>
  <si>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</si>
  <si>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</si>
  <si>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</si>
  <si>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</si>
  <si>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</si>
  <si>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</si>
  <si>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</si>
  <si>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ft 26/2013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</si>
  <si>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</si>
  <si>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</si>
  <si>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</si>
  <si>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</si>
  <si>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</si>
  <si>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</si>
  <si>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</si>
  <si>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</si>
  <si>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</si>
  <si>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</si>
  <si>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</si>
  <si>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</si>
  <si>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</si>
  <si>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</si>
  <si>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</si>
  <si>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</si>
  <si>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</si>
  <si>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</si>
  <si>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</si>
  <si>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</si>
  <si>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</si>
  <si>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</si>
  <si>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</si>
  <si>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</si>
  <si>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</si>
  <si>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</si>
  <si>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</si>
  <si>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</si>
  <si>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</si>
  <si>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</si>
  <si>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ft 30/2013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</si>
  <si>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</si>
  <si>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</si>
  <si>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</si>
  <si>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</si>
  <si>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</si>
  <si>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</si>
  <si>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</si>
  <si>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</si>
  <si>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</si>
  <si>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ft 14/2013 e ft 33/2013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</si>
  <si>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</si>
  <si>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</si>
  <si>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</si>
  <si>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</si>
  <si>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</si>
  <si>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</si>
  <si>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</si>
  <si>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</si>
  <si>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</si>
  <si>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</si>
  <si>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</si>
  <si>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</si>
  <si>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</si>
  <si>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</si>
  <si>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</si>
  <si>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</si>
  <si>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</si>
  <si>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</si>
  <si>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</si>
  <si>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</si>
  <si>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</si>
  <si>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</si>
  <si>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</si>
  <si>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</si>
  <si>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</si>
  <si>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</si>
  <si>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</si>
  <si>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</si>
  <si>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 xml:space="preserve">ft 7/2013 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</si>
  <si>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</si>
  <si>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</si>
  <si>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</si>
  <si>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</si>
  <si>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</si>
  <si>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</si>
  <si>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</si>
  <si>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</si>
  <si>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</si>
  <si>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ft 31/2013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</si>
  <si>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</si>
  <si>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</si>
  <si>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</si>
  <si>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</si>
  <si>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</si>
  <si>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</si>
  <si>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</si>
  <si>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</si>
  <si>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n. 04/2013 + 016/2013</t>
  </si>
  <si>
    <t>Estado de Qeretaro</t>
  </si>
  <si>
    <t>jaime@tevatec.com</t>
  </si>
  <si>
    <t>edgar@tevatec.com</t>
  </si>
  <si>
    <t>EDQ</t>
  </si>
  <si>
    <t>TEVA</t>
  </si>
  <si>
    <t>ft 2/2013 e ft 8/2013</t>
  </si>
  <si>
    <t>Azerbajan NS</t>
  </si>
  <si>
    <t>Adjerbaijan NSS</t>
  </si>
  <si>
    <t>testwizard003@gmail.com</t>
  </si>
  <si>
    <t>AZSN</t>
  </si>
  <si>
    <t>NICE / Horizon</t>
  </si>
  <si>
    <t>ft 15/2013 e ft 25/2013</t>
  </si>
  <si>
    <t>Governo de Puebla</t>
  </si>
  <si>
    <t>soporteuiamx@gmail.com</t>
  </si>
  <si>
    <t>GEDP</t>
  </si>
  <si>
    <t>SYM SERVICIOS INTEGRALES, S.A. DE C.V.</t>
  </si>
  <si>
    <t>ft 18/2013 e ft 29/2013</t>
  </si>
  <si>
    <t>Governo de Campeche</t>
  </si>
  <si>
    <t>comunicacionesmx2013@gmail.com</t>
  </si>
  <si>
    <t>SDUC</t>
  </si>
  <si>
    <t>ft 21/2013 e ft 27/2013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</si>
  <si>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</si>
  <si>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</si>
  <si>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</si>
  <si>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</si>
  <si>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</si>
  <si>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</si>
  <si>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</si>
  <si>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>n. 17/2013+ 24/2013</t>
  </si>
  <si>
    <t xml:space="preserve">Dept. of Correction Thai Police </t>
  </si>
  <si>
    <t>Thailand</t>
  </si>
  <si>
    <t>THDOC</t>
  </si>
  <si>
    <t>NICE / IT Absolute Company Limited</t>
  </si>
  <si>
    <t>ft 22/2013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</si>
  <si>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</si>
  <si>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</si>
  <si>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</si>
  <si>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</si>
  <si>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</si>
  <si>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</si>
  <si>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</si>
  <si>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</si>
  <si>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</si>
  <si>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sosp.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</si>
  <si>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</si>
  <si>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</si>
  <si>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</si>
  <si>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</si>
  <si>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</si>
  <si>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</si>
  <si>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</si>
  <si>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</si>
  <si>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</si>
  <si>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</si>
  <si>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</si>
  <si>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</si>
  <si>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tbd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</si>
  <si>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</si>
  <si>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</si>
  <si>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</si>
  <si>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</si>
  <si>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</si>
  <si>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</si>
  <si>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</si>
  <si>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</si>
  <si>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YES Solution</t>
  </si>
  <si>
    <t>Delafile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</si>
  <si>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</si>
  <si>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</si>
  <si>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</si>
  <si>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</si>
  <si>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</si>
  <si>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</si>
  <si>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</si>
  <si>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</si>
  <si>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</si>
  <si>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</si>
  <si>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</si>
  <si>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Guatemala</t>
  </si>
  <si>
    <t>MOI Guatemala</t>
  </si>
  <si>
    <t>NICE</t>
  </si>
  <si>
    <t>CNI / CNI-old, Prod, Test</t>
  </si>
  <si>
    <t>Messico SEDENA</t>
  </si>
  <si>
    <t>Messico PF</t>
  </si>
  <si>
    <t xml:space="preserve"> $</t>
  </si>
  <si>
    <t>da fatturare (al 31.12.2013)</t>
  </si>
  <si>
    <t>2014 Total</t>
  </si>
  <si>
    <t>2014 
License/ Upgrades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</si>
  <si>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</si>
  <si>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</si>
  <si>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</si>
  <si>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</si>
  <si>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</si>
  <si>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</si>
  <si>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</si>
  <si>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</si>
  <si>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</si>
  <si>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</si>
  <si>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</si>
  <si>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</si>
  <si>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2014 
expected</t>
  </si>
  <si>
    <t>2013 Total</t>
  </si>
  <si>
    <t>Svizzera</t>
  </si>
  <si>
    <t>Turk 2</t>
  </si>
  <si>
    <t>Dubai</t>
  </si>
  <si>
    <t>2014</t>
  </si>
  <si>
    <t>KAM</t>
  </si>
  <si>
    <t xml:space="preserve">Saudi GDTA </t>
  </si>
  <si>
    <t>Malyisia Cybersec</t>
  </si>
  <si>
    <t>Shehata</t>
  </si>
  <si>
    <t xml:space="preserve">Ukraine </t>
  </si>
  <si>
    <t>Israel Lasagna</t>
  </si>
  <si>
    <t>Tender UK London Police</t>
  </si>
  <si>
    <t>Croazia</t>
  </si>
  <si>
    <t>Q1</t>
  </si>
  <si>
    <t>Q2</t>
  </si>
  <si>
    <t>Q3</t>
  </si>
  <si>
    <t>Q4</t>
  </si>
  <si>
    <t>Croatia</t>
  </si>
  <si>
    <t>Guerrero Messico</t>
  </si>
  <si>
    <t>Forecast</t>
  </si>
  <si>
    <t>Se rinnovo Exploit OK</t>
  </si>
  <si>
    <t>Attesa rinnovo</t>
  </si>
  <si>
    <t>Yes (parziale)</t>
  </si>
  <si>
    <t>verifichiamo con rinnovo</t>
  </si>
  <si>
    <t>Switzerland</t>
  </si>
  <si>
    <t>Ukraine</t>
  </si>
  <si>
    <t>Israel</t>
  </si>
  <si>
    <t>Uk</t>
  </si>
  <si>
    <t>MDNP</t>
  </si>
  <si>
    <t>CIS</t>
  </si>
  <si>
    <t>SCICO</t>
  </si>
  <si>
    <t>MOD</t>
  </si>
  <si>
    <t>BHR</t>
  </si>
  <si>
    <t>Egitto  A6</t>
  </si>
  <si>
    <t>Egitto GNSE</t>
  </si>
  <si>
    <t>Lituania Criminal Police</t>
  </si>
  <si>
    <t>Lituania</t>
  </si>
  <si>
    <t>A6</t>
  </si>
  <si>
    <t>Saudi - YES Solution</t>
  </si>
  <si>
    <t>Polizia RJ</t>
  </si>
  <si>
    <t>Brazil</t>
  </si>
  <si>
    <t>Colombia DIPON Puma</t>
  </si>
  <si>
    <t>Nice</t>
  </si>
  <si>
    <t>9ISP</t>
  </si>
  <si>
    <t>Chihuahua Messico</t>
  </si>
  <si>
    <t>Grego</t>
  </si>
  <si>
    <t>Neolinx</t>
  </si>
  <si>
    <t xml:space="preserve">AREA </t>
  </si>
  <si>
    <t>Italia</t>
  </si>
  <si>
    <t>AREA</t>
  </si>
  <si>
    <t>Fatture anni precedenti</t>
  </si>
  <si>
    <t>da fatturare</t>
  </si>
  <si>
    <t>Confirmed</t>
  </si>
  <si>
    <t>Ricavi da sell recap</t>
  </si>
  <si>
    <t>Riapertura Risconti</t>
  </si>
  <si>
    <t>Fatturato 2014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</si>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</sst>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[$-409]mmm\-yy;@"/>
    <numFmt numFmtId="167" formatCode="#,##0_ ;\-#,##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/>
  </cellStyleXfs>
  <cellXfs count="146">
    <xf numFmtId="0" fontId="0" fillId="0" borderId="0" xfId="0"/>
    <xf numFmtId="0" fontId="4" fillId="2" borderId="0" xfId="0" applyFont="1" applyFill="1" applyBorder="1" applyAlignment="1">
      <alignment wrapText="1"/>
    </xf>
    <xf numFmtId="164" fontId="4" fillId="2" borderId="0" xfId="1" applyNumberFormat="1" applyFont="1" applyFill="1" applyBorder="1" applyAlignment="1">
      <alignment wrapText="1"/>
    </xf>
    <xf numFmtId="0" fontId="4" fillId="2" borderId="0" xfId="6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164" fontId="2" fillId="2" borderId="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wrapText="1"/>
    </xf>
    <xf numFmtId="0" fontId="0" fillId="2" borderId="0" xfId="0" applyFill="1"/>
    <xf numFmtId="164" fontId="0" fillId="2" borderId="0" xfId="1" applyNumberFormat="1" applyFont="1" applyFill="1"/>
    <xf numFmtId="164" fontId="22" fillId="2" borderId="0" xfId="1" applyNumberFormat="1" applyFont="1" applyFill="1"/>
    <xf numFmtId="164" fontId="23" fillId="2" borderId="0" xfId="1" applyNumberFormat="1" applyFont="1" applyFill="1"/>
    <xf numFmtId="164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165" fontId="2" fillId="2" borderId="0" xfId="4" quotePrefix="1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wrapText="1"/>
    </xf>
    <xf numFmtId="164" fontId="13" fillId="2" borderId="0" xfId="0" applyNumberFormat="1" applyFont="1" applyFill="1" applyBorder="1" applyAlignment="1">
      <alignment wrapText="1"/>
    </xf>
    <xf numFmtId="164" fontId="4" fillId="2" borderId="0" xfId="1" quotePrefix="1" applyNumberFormat="1" applyFont="1" applyFill="1" applyBorder="1" applyAlignment="1">
      <alignment horizontal="center" wrapText="1"/>
    </xf>
    <xf numFmtId="164" fontId="2" fillId="2" borderId="0" xfId="1" quotePrefix="1" applyNumberFormat="1" applyFont="1" applyFill="1" applyBorder="1" applyAlignment="1">
      <alignment horizontal="center" wrapText="1"/>
    </xf>
    <xf numFmtId="164" fontId="13" fillId="2" borderId="0" xfId="1" quotePrefix="1" applyNumberFormat="1" applyFont="1" applyFill="1" applyBorder="1" applyAlignment="1">
      <alignment horizontal="center" wrapText="1"/>
    </xf>
    <xf numFmtId="0" fontId="15" fillId="2" borderId="0" xfId="6" applyFont="1" applyFill="1" applyBorder="1" applyAlignment="1">
      <alignment wrapText="1"/>
    </xf>
    <xf numFmtId="164" fontId="3" fillId="2" borderId="0" xfId="1" quotePrefix="1" applyNumberFormat="1" applyFont="1" applyFill="1" applyBorder="1" applyAlignment="1">
      <alignment horizontal="center" wrapText="1"/>
    </xf>
    <xf numFmtId="164" fontId="27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wrapText="1"/>
    </xf>
    <xf numFmtId="164" fontId="12" fillId="2" borderId="8" xfId="1" quotePrefix="1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9" fontId="2" fillId="2" borderId="0" xfId="2" applyFont="1" applyFill="1" applyBorder="1" applyAlignment="1">
      <alignment wrapText="1"/>
    </xf>
    <xf numFmtId="165" fontId="4" fillId="2" borderId="0" xfId="4" quotePrefix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vertical="center" wrapText="1"/>
    </xf>
    <xf numFmtId="164" fontId="12" fillId="2" borderId="8" xfId="1" quotePrefix="1" applyNumberFormat="1" applyFont="1" applyFill="1" applyBorder="1" applyAlignment="1">
      <alignment horizontal="center" vertical="center" wrapText="1"/>
    </xf>
    <xf numFmtId="164" fontId="2" fillId="2" borderId="5" xfId="1" quotePrefix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wrapText="1"/>
    </xf>
    <xf numFmtId="0" fontId="11" fillId="2" borderId="0" xfId="5" applyFont="1" applyFill="1" applyBorder="1" applyAlignment="1">
      <alignment wrapText="1"/>
    </xf>
    <xf numFmtId="0" fontId="28" fillId="2" borderId="0" xfId="3" applyFont="1" applyFill="1" applyBorder="1" applyAlignment="1">
      <alignment wrapText="1"/>
    </xf>
    <xf numFmtId="0" fontId="28" fillId="2" borderId="0" xfId="4" applyFont="1" applyFill="1" applyBorder="1" applyAlignment="1">
      <alignment wrapText="1"/>
    </xf>
    <xf numFmtId="164" fontId="27" fillId="2" borderId="5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164" fontId="13" fillId="2" borderId="0" xfId="1" applyNumberFormat="1" applyFont="1" applyFill="1" applyBorder="1" applyAlignment="1">
      <alignment horizontal="center" wrapText="1"/>
    </xf>
    <xf numFmtId="166" fontId="28" fillId="2" borderId="0" xfId="1" applyNumberFormat="1" applyFont="1" applyFill="1" applyBorder="1" applyAlignment="1">
      <alignment wrapText="1"/>
    </xf>
    <xf numFmtId="164" fontId="28" fillId="2" borderId="0" xfId="1" applyNumberFormat="1" applyFont="1" applyFill="1" applyBorder="1" applyAlignment="1">
      <alignment wrapText="1"/>
    </xf>
    <xf numFmtId="164" fontId="28" fillId="2" borderId="5" xfId="1" applyNumberFormat="1" applyFont="1" applyFill="1" applyBorder="1" applyAlignment="1">
      <alignment horizontal="center" wrapText="1"/>
    </xf>
    <xf numFmtId="166" fontId="4" fillId="2" borderId="0" xfId="1" applyNumberFormat="1" applyFont="1" applyFill="1" applyBorder="1" applyAlignment="1">
      <alignment wrapText="1"/>
    </xf>
    <xf numFmtId="0" fontId="29" fillId="2" borderId="0" xfId="3" applyFont="1" applyFill="1" applyBorder="1" applyAlignment="1">
      <alignment wrapText="1"/>
    </xf>
    <xf numFmtId="0" fontId="29" fillId="2" borderId="0" xfId="3" applyFont="1" applyFill="1" applyBorder="1" applyAlignment="1">
      <alignment vertical="center" wrapText="1"/>
    </xf>
    <xf numFmtId="164" fontId="13" fillId="2" borderId="5" xfId="1" applyNumberFormat="1" applyFont="1" applyFill="1" applyBorder="1" applyAlignment="1">
      <alignment horizontal="center" wrapText="1"/>
    </xf>
    <xf numFmtId="164" fontId="27" fillId="2" borderId="0" xfId="1" applyNumberFormat="1" applyFont="1" applyFill="1" applyBorder="1" applyAlignment="1">
      <alignment horizontal="center" wrapText="1"/>
    </xf>
    <xf numFmtId="0" fontId="4" fillId="2" borderId="0" xfId="3" applyFont="1" applyFill="1" applyBorder="1" applyAlignment="1">
      <alignment wrapText="1"/>
    </xf>
    <xf numFmtId="0" fontId="28" fillId="2" borderId="0" xfId="3" applyFont="1" applyFill="1" applyBorder="1" applyAlignment="1">
      <alignment vertical="center" wrapText="1"/>
    </xf>
    <xf numFmtId="0" fontId="28" fillId="2" borderId="0" xfId="4" applyFont="1" applyFill="1" applyBorder="1" applyAlignment="1">
      <alignment vertical="center" wrapText="1"/>
    </xf>
    <xf numFmtId="0" fontId="29" fillId="2" borderId="0" xfId="4" applyFont="1" applyFill="1" applyBorder="1" applyAlignment="1">
      <alignment wrapText="1"/>
    </xf>
    <xf numFmtId="0" fontId="29" fillId="2" borderId="0" xfId="4" applyFont="1" applyFill="1" applyBorder="1" applyAlignment="1">
      <alignment vertical="center" wrapText="1"/>
    </xf>
    <xf numFmtId="166" fontId="28" fillId="2" borderId="0" xfId="1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wrapText="1"/>
    </xf>
    <xf numFmtId="0" fontId="16" fillId="2" borderId="0" xfId="3" applyFont="1" applyFill="1" applyBorder="1" applyAlignment="1">
      <alignment wrapText="1"/>
    </xf>
    <xf numFmtId="0" fontId="31" fillId="2" borderId="0" xfId="5" applyFont="1" applyFill="1" applyBorder="1" applyAlignment="1">
      <alignment wrapText="1"/>
    </xf>
    <xf numFmtId="165" fontId="30" fillId="2" borderId="0" xfId="4" quotePrefix="1" applyNumberFormat="1" applyFont="1" applyFill="1" applyBorder="1" applyAlignment="1">
      <alignment horizontal="center" wrapText="1"/>
    </xf>
    <xf numFmtId="164" fontId="32" fillId="2" borderId="0" xfId="0" applyNumberFormat="1" applyFont="1" applyFill="1" applyBorder="1" applyAlignment="1">
      <alignment wrapText="1"/>
    </xf>
    <xf numFmtId="164" fontId="16" fillId="2" borderId="0" xfId="0" applyNumberFormat="1" applyFont="1" applyFill="1" applyBorder="1" applyAlignment="1">
      <alignment wrapText="1"/>
    </xf>
    <xf numFmtId="164" fontId="33" fillId="2" borderId="0" xfId="0" applyNumberFormat="1" applyFont="1" applyFill="1" applyBorder="1" applyAlignment="1">
      <alignment wrapText="1"/>
    </xf>
    <xf numFmtId="164" fontId="16" fillId="2" borderId="0" xfId="1" quotePrefix="1" applyNumberFormat="1" applyFont="1" applyFill="1" applyBorder="1" applyAlignment="1">
      <alignment horizontal="center" wrapText="1"/>
    </xf>
    <xf numFmtId="164" fontId="33" fillId="2" borderId="0" xfId="1" quotePrefix="1" applyNumberFormat="1" applyFont="1" applyFill="1" applyBorder="1" applyAlignment="1">
      <alignment horizontal="center" wrapText="1"/>
    </xf>
    <xf numFmtId="164" fontId="33" fillId="2" borderId="5" xfId="1" applyNumberFormat="1" applyFont="1" applyFill="1" applyBorder="1" applyAlignment="1">
      <alignment horizontal="center" wrapText="1"/>
    </xf>
    <xf numFmtId="164" fontId="30" fillId="2" borderId="5" xfId="1" quotePrefix="1" applyNumberFormat="1" applyFont="1" applyFill="1" applyBorder="1" applyAlignment="1">
      <alignment horizontal="center" wrapText="1"/>
    </xf>
    <xf numFmtId="164" fontId="33" fillId="2" borderId="0" xfId="1" applyNumberFormat="1" applyFont="1" applyFill="1" applyBorder="1" applyAlignment="1">
      <alignment horizontal="center" wrapText="1"/>
    </xf>
    <xf numFmtId="164" fontId="16" fillId="2" borderId="5" xfId="1" applyNumberFormat="1" applyFont="1" applyFill="1" applyBorder="1" applyAlignment="1">
      <alignment wrapText="1"/>
    </xf>
    <xf numFmtId="166" fontId="29" fillId="2" borderId="0" xfId="1" applyNumberFormat="1" applyFont="1" applyFill="1" applyBorder="1" applyAlignment="1">
      <alignment wrapText="1"/>
    </xf>
    <xf numFmtId="164" fontId="29" fillId="2" borderId="0" xfId="1" applyNumberFormat="1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164" fontId="30" fillId="2" borderId="0" xfId="1" applyNumberFormat="1" applyFont="1" applyFill="1" applyBorder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4" fillId="4" borderId="0" xfId="1" quotePrefix="1" applyNumberFormat="1" applyFont="1" applyFill="1" applyBorder="1" applyAlignment="1">
      <alignment horizontal="center" wrapText="1"/>
    </xf>
    <xf numFmtId="164" fontId="27" fillId="4" borderId="0" xfId="1" quotePrefix="1" applyNumberFormat="1" applyFont="1" applyFill="1" applyBorder="1" applyAlignment="1">
      <alignment horizontal="center" wrapText="1"/>
    </xf>
    <xf numFmtId="164" fontId="27" fillId="4" borderId="5" xfId="1" applyNumberFormat="1" applyFont="1" applyFill="1" applyBorder="1" applyAlignment="1">
      <alignment horizontal="center" wrapText="1"/>
    </xf>
    <xf numFmtId="164" fontId="3" fillId="4" borderId="5" xfId="1" applyNumberFormat="1" applyFont="1" applyFill="1" applyBorder="1" applyAlignment="1">
      <alignment horizontal="center" wrapText="1"/>
    </xf>
    <xf numFmtId="164" fontId="27" fillId="4" borderId="0" xfId="1" applyNumberFormat="1" applyFont="1" applyFill="1" applyBorder="1" applyAlignment="1">
      <alignment horizontal="center" wrapText="1"/>
    </xf>
    <xf numFmtId="164" fontId="4" fillId="4" borderId="5" xfId="1" applyNumberFormat="1" applyFont="1" applyFill="1" applyBorder="1" applyAlignment="1">
      <alignment horizontal="center" wrapText="1"/>
    </xf>
    <xf numFmtId="164" fontId="4" fillId="4" borderId="0" xfId="1" applyNumberFormat="1" applyFont="1" applyFill="1" applyBorder="1" applyAlignment="1">
      <alignment horizontal="center" wrapText="1"/>
    </xf>
    <xf numFmtId="164" fontId="4" fillId="4" borderId="5" xfId="1" quotePrefix="1" applyNumberFormat="1" applyFont="1" applyFill="1" applyBorder="1" applyAlignment="1">
      <alignment horizontal="center" wrapText="1"/>
    </xf>
    <xf numFmtId="164" fontId="16" fillId="4" borderId="0" xfId="1" quotePrefix="1" applyNumberFormat="1" applyFont="1" applyFill="1" applyBorder="1" applyAlignment="1">
      <alignment horizontal="center" wrapText="1"/>
    </xf>
    <xf numFmtId="164" fontId="16" fillId="4" borderId="5" xfId="1" quotePrefix="1" applyNumberFormat="1" applyFont="1" applyFill="1" applyBorder="1" applyAlignment="1">
      <alignment horizontal="center" wrapText="1"/>
    </xf>
    <xf numFmtId="164" fontId="12" fillId="4" borderId="7" xfId="1" quotePrefix="1" applyNumberFormat="1" applyFont="1" applyFill="1" applyBorder="1" applyAlignment="1">
      <alignment horizontal="center" wrapText="1"/>
    </xf>
    <xf numFmtId="164" fontId="12" fillId="4" borderId="8" xfId="1" quotePrefix="1" applyNumberFormat="1" applyFont="1" applyFill="1" applyBorder="1" applyAlignment="1">
      <alignment horizontal="center" wrapText="1"/>
    </xf>
    <xf numFmtId="164" fontId="12" fillId="4" borderId="0" xfId="1" quotePrefix="1" applyNumberFormat="1" applyFont="1" applyFill="1" applyBorder="1" applyAlignment="1">
      <alignment horizontal="center" wrapText="1"/>
    </xf>
    <xf numFmtId="164" fontId="32" fillId="4" borderId="0" xfId="1" quotePrefix="1" applyNumberFormat="1" applyFont="1" applyFill="1" applyBorder="1" applyAlignment="1">
      <alignment horizontal="center" wrapText="1"/>
    </xf>
    <xf numFmtId="164" fontId="19" fillId="3" borderId="0" xfId="7" applyNumberFormat="1" applyFont="1" applyFill="1"/>
    <xf numFmtId="0" fontId="35" fillId="5" borderId="1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164" fontId="36" fillId="5" borderId="4" xfId="0" applyNumberFormat="1" applyFont="1" applyFill="1" applyBorder="1" applyAlignment="1">
      <alignment wrapText="1"/>
    </xf>
    <xf numFmtId="164" fontId="36" fillId="5" borderId="0" xfId="0" applyNumberFormat="1" applyFont="1" applyFill="1" applyBorder="1" applyAlignment="1">
      <alignment wrapText="1"/>
    </xf>
    <xf numFmtId="164" fontId="36" fillId="5" borderId="5" xfId="0" applyNumberFormat="1" applyFont="1" applyFill="1" applyBorder="1" applyAlignment="1">
      <alignment wrapText="1"/>
    </xf>
    <xf numFmtId="164" fontId="36" fillId="5" borderId="0" xfId="1" quotePrefix="1" applyNumberFormat="1" applyFont="1" applyFill="1" applyBorder="1" applyAlignment="1">
      <alignment horizontal="center" wrapText="1"/>
    </xf>
    <xf numFmtId="164" fontId="36" fillId="5" borderId="5" xfId="1" quotePrefix="1" applyNumberFormat="1" applyFont="1" applyFill="1" applyBorder="1" applyAlignment="1">
      <alignment horizontal="center" wrapText="1"/>
    </xf>
    <xf numFmtId="164" fontId="37" fillId="5" borderId="4" xfId="0" applyNumberFormat="1" applyFont="1" applyFill="1" applyBorder="1" applyAlignment="1">
      <alignment wrapText="1"/>
    </xf>
    <xf numFmtId="164" fontId="37" fillId="5" borderId="0" xfId="1" quotePrefix="1" applyNumberFormat="1" applyFont="1" applyFill="1" applyBorder="1" applyAlignment="1">
      <alignment horizontal="center" wrapText="1"/>
    </xf>
    <xf numFmtId="164" fontId="37" fillId="5" borderId="5" xfId="1" quotePrefix="1" applyNumberFormat="1" applyFont="1" applyFill="1" applyBorder="1" applyAlignment="1">
      <alignment horizontal="center" wrapText="1"/>
    </xf>
    <xf numFmtId="164" fontId="37" fillId="5" borderId="0" xfId="0" applyNumberFormat="1" applyFont="1" applyFill="1" applyBorder="1" applyAlignment="1">
      <alignment wrapText="1"/>
    </xf>
    <xf numFmtId="164" fontId="37" fillId="5" borderId="5" xfId="0" applyNumberFormat="1" applyFont="1" applyFill="1" applyBorder="1" applyAlignment="1">
      <alignment wrapText="1"/>
    </xf>
    <xf numFmtId="167" fontId="37" fillId="5" borderId="0" xfId="0" applyNumberFormat="1" applyFont="1" applyFill="1" applyBorder="1" applyAlignment="1">
      <alignment wrapText="1"/>
    </xf>
    <xf numFmtId="164" fontId="21" fillId="5" borderId="4" xfId="0" applyNumberFormat="1" applyFont="1" applyFill="1" applyBorder="1" applyAlignment="1">
      <alignment wrapText="1"/>
    </xf>
    <xf numFmtId="164" fontId="21" fillId="5" borderId="0" xfId="0" applyNumberFormat="1" applyFont="1" applyFill="1" applyBorder="1" applyAlignment="1">
      <alignment wrapText="1"/>
    </xf>
    <xf numFmtId="164" fontId="21" fillId="5" borderId="5" xfId="0" applyNumberFormat="1" applyFont="1" applyFill="1" applyBorder="1" applyAlignment="1">
      <alignment wrapText="1"/>
    </xf>
    <xf numFmtId="164" fontId="12" fillId="5" borderId="6" xfId="0" applyNumberFormat="1" applyFont="1" applyFill="1" applyBorder="1" applyAlignment="1">
      <alignment wrapText="1"/>
    </xf>
    <xf numFmtId="164" fontId="12" fillId="5" borderId="7" xfId="0" applyNumberFormat="1" applyFont="1" applyFill="1" applyBorder="1" applyAlignment="1">
      <alignment wrapText="1"/>
    </xf>
    <xf numFmtId="164" fontId="12" fillId="5" borderId="8" xfId="0" applyNumberFormat="1" applyFont="1" applyFill="1" applyBorder="1" applyAlignment="1">
      <alignment wrapText="1"/>
    </xf>
    <xf numFmtId="164" fontId="38" fillId="2" borderId="5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0" fontId="0" fillId="2" borderId="0" xfId="0" applyFill="1" applyAlignment="1">
      <alignment horizontal="left"/>
    </xf>
    <xf numFmtId="164" fontId="22" fillId="2" borderId="12" xfId="0" applyNumberFormat="1" applyFont="1" applyFill="1" applyBorder="1"/>
    <xf numFmtId="164" fontId="22" fillId="2" borderId="13" xfId="0" applyNumberFormat="1" applyFont="1" applyFill="1" applyBorder="1"/>
    <xf numFmtId="0" fontId="3" fillId="6" borderId="14" xfId="0" applyFont="1" applyFill="1" applyBorder="1" applyAlignment="1"/>
    <xf numFmtId="0" fontId="2" fillId="7" borderId="14" xfId="0" applyFont="1" applyFill="1" applyBorder="1" applyAlignment="1"/>
    <xf numFmtId="0" fontId="2" fillId="8" borderId="14" xfId="0" applyFont="1" applyFill="1" applyBorder="1" applyAlignment="1"/>
    <xf numFmtId="0" fontId="3" fillId="2" borderId="0" xfId="4" applyFont="1" applyFill="1" applyBorder="1" applyAlignment="1">
      <alignment wrapText="1"/>
    </xf>
    <xf numFmtId="0" fontId="3" fillId="2" borderId="0" xfId="3" applyFont="1" applyFill="1" applyBorder="1" applyAlignment="1">
      <alignment wrapText="1"/>
    </xf>
    <xf numFmtId="0" fontId="39" fillId="2" borderId="0" xfId="3" applyFont="1" applyFill="1" applyBorder="1" applyAlignment="1">
      <alignment wrapText="1"/>
    </xf>
    <xf numFmtId="0" fontId="4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</cellXfs>
  <cellStyles count="33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Normale_Elenco Fatture" xfId="32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3 Split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5">
      <sharedItems/>
    </cacheField>
    <cacheField name="Total _x000a_Client Revenues" numFmtId="164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4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D26" sqref="D26"/>
    </sheetView>
  </sheetViews>
  <sheetFormatPr defaultColWidth="8.85546875" defaultRowHeight="15"/>
  <cols>
    <col min="1" max="1" width="12.85546875" style="10" customWidth="1"/>
    <col min="2" max="2" width="18.42578125" style="11" customWidth="1"/>
    <col min="3" max="3" width="15.5703125" style="10" bestFit="1" customWidth="1"/>
    <col min="4" max="8" width="2" style="10" customWidth="1"/>
    <col min="9" max="55" width="3" style="10" customWidth="1"/>
    <col min="56" max="56" width="10.7109375" style="10" bestFit="1" customWidth="1"/>
    <col min="57" max="16384" width="8.85546875" style="10"/>
  </cols>
  <sheetData>
    <row r="3" spans="1:3">
      <c r="A3" s="10" t="s">
        <v>391</v>
      </c>
      <c r="B3" s="128" t="s">
        <v>390</v>
      </c>
      <c r="C3" s="130" t="s">
        <v>392</v>
      </c>
    </row>
    <row r="4" spans="1:3">
      <c r="A4" s="129" t="s">
        <v>50</v>
      </c>
      <c r="B4" s="128">
        <v>10</v>
      </c>
      <c r="C4" s="10">
        <v>1</v>
      </c>
    </row>
    <row r="5" spans="1:3">
      <c r="A5" s="129" t="s">
        <v>33</v>
      </c>
      <c r="B5" s="128">
        <v>17</v>
      </c>
      <c r="C5" s="10">
        <v>2</v>
      </c>
    </row>
    <row r="6" spans="1:3">
      <c r="A6" s="129" t="s">
        <v>111</v>
      </c>
      <c r="B6" s="128">
        <v>11</v>
      </c>
      <c r="C6" s="10">
        <v>3</v>
      </c>
    </row>
    <row r="7" spans="1:3">
      <c r="A7" s="129" t="s">
        <v>64</v>
      </c>
      <c r="B7" s="128">
        <v>13</v>
      </c>
      <c r="C7" s="10">
        <v>1</v>
      </c>
    </row>
    <row r="8" spans="1:3">
      <c r="A8" s="129" t="s">
        <v>127</v>
      </c>
      <c r="B8" s="128">
        <v>3</v>
      </c>
    </row>
    <row r="9" spans="1:3">
      <c r="A9" s="129" t="s">
        <v>389</v>
      </c>
      <c r="B9" s="128">
        <v>54</v>
      </c>
      <c r="C9" s="131">
        <f>+SUM(C4:C8)</f>
        <v>7</v>
      </c>
    </row>
    <row r="10" spans="1:3">
      <c r="B10" s="10"/>
    </row>
    <row r="11" spans="1:3">
      <c r="B11" s="10"/>
    </row>
    <row r="12" spans="1:3">
      <c r="B12" s="10"/>
    </row>
    <row r="13" spans="1:3">
      <c r="B13" s="10"/>
    </row>
    <row r="14" spans="1:3">
      <c r="B14" s="10"/>
    </row>
    <row r="15" spans="1:3">
      <c r="B15" s="10"/>
    </row>
    <row r="16" spans="1:3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  <pageSetUpPr fitToPage="1"/>
  </sheetPr>
  <dimension ref="A1:BC96"/>
  <sheetViews>
    <sheetView tabSelected="1" zoomScale="60" zoomScaleNormal="60" zoomScalePageLayoutView="60" workbookViewId="0">
      <pane xSplit="4" ySplit="3" topLeftCell="E52" activePane="bottomRight" state="frozen"/>
      <selection pane="topRight" activeCell="D1" sqref="D1"/>
      <selection pane="bottomLeft" activeCell="A4" sqref="A4"/>
      <selection pane="bottomRight" activeCell="G87" sqref="G87"/>
    </sheetView>
  </sheetViews>
  <sheetFormatPr defaultColWidth="8.7109375" defaultRowHeight="15.75" outlineLevelCol="1"/>
  <cols>
    <col min="1" max="1" width="10" style="15" customWidth="1"/>
    <col min="2" max="2" width="5.7109375" style="5" bestFit="1" customWidth="1"/>
    <col min="3" max="3" width="29.140625" style="5" customWidth="1"/>
    <col min="4" max="4" width="17.42578125" style="5" bestFit="1" customWidth="1"/>
    <col min="5" max="5" width="17.42578125" style="5" customWidth="1"/>
    <col min="6" max="6" width="45.140625" style="5" customWidth="1"/>
    <col min="7" max="7" width="37.140625" style="5" customWidth="1"/>
    <col min="8" max="8" width="28.42578125" style="5" customWidth="1"/>
    <col min="9" max="9" width="15.140625" style="5" bestFit="1" customWidth="1"/>
    <col min="10" max="10" width="12.28515625" style="5" customWidth="1"/>
    <col min="11" max="11" width="21.7109375" style="5" customWidth="1"/>
    <col min="12" max="12" width="26.7109375" style="5" customWidth="1"/>
    <col min="13" max="13" width="21.42578125" style="5" customWidth="1"/>
    <col min="14" max="14" width="19.42578125" style="8" customWidth="1"/>
    <col min="15" max="16" width="20.42578125" style="5" customWidth="1"/>
    <col min="17" max="17" width="15.7109375" style="5" bestFit="1" customWidth="1"/>
    <col min="18" max="18" width="22" style="5" bestFit="1" customWidth="1"/>
    <col min="19" max="19" width="14.42578125" style="5" bestFit="1" customWidth="1"/>
    <col min="20" max="20" width="16.7109375" style="5" bestFit="1" customWidth="1"/>
    <col min="21" max="21" width="18.42578125" style="5" bestFit="1" customWidth="1"/>
    <col min="22" max="22" width="16.7109375" style="5" bestFit="1" customWidth="1"/>
    <col min="23" max="23" width="20.28515625" style="1" bestFit="1" customWidth="1"/>
    <col min="24" max="24" width="30.42578125" style="5" bestFit="1" customWidth="1"/>
    <col min="25" max="25" width="24" style="5" bestFit="1" customWidth="1"/>
    <col min="26" max="26" width="17.28515625" style="1" bestFit="1" customWidth="1"/>
    <col min="27" max="27" width="29.140625" style="5" bestFit="1" customWidth="1"/>
    <col min="28" max="28" width="16.140625" style="5" bestFit="1" customWidth="1"/>
    <col min="29" max="29" width="13.7109375" style="5" customWidth="1"/>
    <col min="30" max="30" width="23.140625" style="5" customWidth="1" outlineLevel="1"/>
    <col min="31" max="31" width="16.140625" style="5" customWidth="1" outlineLevel="1"/>
    <col min="32" max="32" width="12.7109375" style="5" customWidth="1"/>
    <col min="33" max="33" width="23.140625" style="5" customWidth="1" outlineLevel="1"/>
    <col min="34" max="34" width="16.140625" style="5" customWidth="1" outlineLevel="1"/>
    <col min="35" max="35" width="12.7109375" style="5" customWidth="1"/>
    <col min="36" max="36" width="23.140625" style="5" customWidth="1" outlineLevel="1"/>
    <col min="37" max="37" width="16.140625" style="5" customWidth="1" outlineLevel="1"/>
    <col min="38" max="38" width="12.7109375" style="5" customWidth="1"/>
    <col min="39" max="39" width="27" style="5" bestFit="1" customWidth="1" collapsed="1"/>
    <col min="40" max="40" width="28.140625" style="5" customWidth="1"/>
    <col min="41" max="41" width="14.7109375" style="5" customWidth="1"/>
    <col min="42" max="42" width="6.42578125" style="5" customWidth="1" outlineLevel="1" collapsed="1"/>
    <col min="43" max="43" width="19" style="5" customWidth="1" outlineLevel="1"/>
    <col min="44" max="44" width="16" style="5" customWidth="1" outlineLevel="1"/>
    <col min="45" max="45" width="34.140625" style="5" customWidth="1" outlineLevel="1"/>
    <col min="46" max="46" width="22.7109375" style="5" customWidth="1" outlineLevel="1"/>
    <col min="47" max="47" width="19.140625" style="6" customWidth="1" outlineLevel="1"/>
    <col min="48" max="48" width="21" style="6" customWidth="1" outlineLevel="1"/>
    <col min="49" max="49" width="13.42578125" style="5" customWidth="1" outlineLevel="1"/>
    <col min="50" max="50" width="8.140625" style="6" customWidth="1" outlineLevel="1"/>
    <col min="51" max="51" width="8.7109375" style="5" customWidth="1"/>
    <col min="52" max="52" width="25" style="5" bestFit="1" customWidth="1"/>
    <col min="53" max="53" width="24.28515625" style="5" customWidth="1"/>
    <col min="54" max="16384" width="8.7109375" style="5"/>
  </cols>
  <sheetData>
    <row r="1" spans="1:55" ht="16.5" thickBot="1"/>
    <row r="2" spans="1:55" ht="32.25" thickBot="1">
      <c r="C2" s="7"/>
      <c r="R2" s="140" t="s">
        <v>350</v>
      </c>
      <c r="S2" s="141"/>
      <c r="T2" s="141"/>
      <c r="U2" s="141"/>
      <c r="V2" s="142"/>
      <c r="W2" s="143" t="s">
        <v>383</v>
      </c>
      <c r="X2" s="144"/>
      <c r="Y2" s="145"/>
      <c r="Z2" s="5"/>
      <c r="AA2" s="7" t="s">
        <v>306</v>
      </c>
      <c r="AB2" s="9" t="s">
        <v>315</v>
      </c>
    </row>
    <row r="3" spans="1:55" ht="39" customHeight="1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 ht="19.899999999999999" customHeight="1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34" si="0">+AL4+AI4+AF4+AC4+Z4+W4</f>
        <v>800166.2</v>
      </c>
      <c r="P4" s="14" t="e">
        <f>+O4*#REF!</f>
        <v>#REF!</v>
      </c>
      <c r="Q4" s="32">
        <f>43333/5*1</f>
        <v>8666.6</v>
      </c>
      <c r="R4" s="110">
        <f t="shared" ref="R4:R42" si="1">+SUM(S4:V4)</f>
        <v>0</v>
      </c>
      <c r="S4" s="111"/>
      <c r="T4" s="111"/>
      <c r="U4" s="111"/>
      <c r="V4" s="112"/>
      <c r="W4" s="104">
        <f t="shared" ref="W4:W34" si="2">+X4+Y4</f>
        <v>17333.2</v>
      </c>
      <c r="X4" s="93">
        <v>0</v>
      </c>
      <c r="Y4" s="94">
        <f>43333/5*2</f>
        <v>17333.2</v>
      </c>
      <c r="Z4" s="27">
        <f t="shared" ref="Z4:Z34" si="3">+AA4+AB4</f>
        <v>17333</v>
      </c>
      <c r="AA4" s="28"/>
      <c r="AB4" s="56">
        <v>17333</v>
      </c>
      <c r="AC4" s="49">
        <f t="shared" ref="AC4:AC34" si="4">+AD4+AE4</f>
        <v>229000</v>
      </c>
      <c r="AD4" s="29">
        <v>133667</v>
      </c>
      <c r="AE4" s="57">
        <v>95333</v>
      </c>
      <c r="AF4" s="49">
        <f t="shared" ref="AF4:AF34" si="5">+AG4+AH4</f>
        <v>0</v>
      </c>
      <c r="AG4" s="29">
        <v>0</v>
      </c>
      <c r="AH4" s="57">
        <v>0</v>
      </c>
      <c r="AI4" s="49">
        <f t="shared" ref="AI4:AI34" si="6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 ht="19.899999999999999" customHeight="1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10">
        <f t="shared" si="1"/>
        <v>0</v>
      </c>
      <c r="S5" s="111"/>
      <c r="T5" s="111"/>
      <c r="U5" s="111"/>
      <c r="V5" s="112"/>
      <c r="W5" s="104">
        <f t="shared" si="2"/>
        <v>0</v>
      </c>
      <c r="X5" s="93">
        <v>0</v>
      </c>
      <c r="Y5" s="94">
        <v>0</v>
      </c>
      <c r="Z5" s="27">
        <f t="shared" si="3"/>
        <v>0</v>
      </c>
      <c r="AA5" s="28"/>
      <c r="AB5" s="60"/>
      <c r="AC5" s="49">
        <f t="shared" si="4"/>
        <v>0</v>
      </c>
      <c r="AD5" s="29">
        <v>0</v>
      </c>
      <c r="AE5" s="57">
        <v>0</v>
      </c>
      <c r="AF5" s="49">
        <f t="shared" si="5"/>
        <v>67500</v>
      </c>
      <c r="AG5" s="57">
        <v>27500</v>
      </c>
      <c r="AH5" s="57">
        <v>40000</v>
      </c>
      <c r="AI5" s="49">
        <f t="shared" si="6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 ht="19.899999999999999" customHeight="1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>+AL6+AI6+AF6+AC6+Z6+W6</f>
        <v>1107800.3333333333</v>
      </c>
      <c r="P6" s="14" t="e">
        <f>+O6*#REF!</f>
        <v>#REF!</v>
      </c>
      <c r="Q6" s="32">
        <f>(45000/12*2) + (28000/12*2)</f>
        <v>12166.666666666668</v>
      </c>
      <c r="R6" s="110">
        <f t="shared" si="1"/>
        <v>11333</v>
      </c>
      <c r="S6" s="111"/>
      <c r="T6" s="111"/>
      <c r="U6" s="111">
        <v>11333</v>
      </c>
      <c r="V6" s="112"/>
      <c r="W6" s="104">
        <f t="shared" si="2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3"/>
        <v>126500</v>
      </c>
      <c r="AA6" s="29"/>
      <c r="AB6" s="64">
        <f>119000+9000/12*10</f>
        <v>126500</v>
      </c>
      <c r="AC6" s="49">
        <f t="shared" si="4"/>
        <v>99600</v>
      </c>
      <c r="AD6" s="29">
        <v>0</v>
      </c>
      <c r="AE6" s="57">
        <v>99600</v>
      </c>
      <c r="AF6" s="49">
        <f t="shared" si="5"/>
        <v>180700</v>
      </c>
      <c r="AG6" s="29">
        <v>49500</v>
      </c>
      <c r="AH6" s="57">
        <v>131200</v>
      </c>
      <c r="AI6" s="49">
        <f t="shared" si="6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 ht="19.899999999999999" customHeight="1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10">
        <f t="shared" si="1"/>
        <v>0</v>
      </c>
      <c r="S7" s="111"/>
      <c r="T7" s="111"/>
      <c r="U7" s="111"/>
      <c r="V7" s="112"/>
      <c r="W7" s="104">
        <f t="shared" si="2"/>
        <v>63000</v>
      </c>
      <c r="X7" s="92">
        <v>22000</v>
      </c>
      <c r="Y7" s="94">
        <v>41000</v>
      </c>
      <c r="Z7" s="27">
        <f t="shared" si="3"/>
        <v>156000</v>
      </c>
      <c r="AA7" s="29">
        <v>115000</v>
      </c>
      <c r="AB7" s="56">
        <v>41000</v>
      </c>
      <c r="AC7" s="49">
        <f t="shared" si="4"/>
        <v>0</v>
      </c>
      <c r="AD7" s="29">
        <v>0</v>
      </c>
      <c r="AE7" s="57">
        <v>0</v>
      </c>
      <c r="AF7" s="49">
        <f t="shared" si="5"/>
        <v>41000</v>
      </c>
      <c r="AG7" s="29">
        <v>0</v>
      </c>
      <c r="AH7" s="57">
        <v>41000</v>
      </c>
      <c r="AI7" s="49">
        <f t="shared" si="6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 ht="19.899999999999999" customHeight="1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1796050</v>
      </c>
      <c r="P8" s="14" t="e">
        <f>+O8*#REF!</f>
        <v>#REF!</v>
      </c>
      <c r="Q8" s="36">
        <v>140000</v>
      </c>
      <c r="R8" s="110">
        <f t="shared" si="1"/>
        <v>0</v>
      </c>
      <c r="S8" s="111"/>
      <c r="T8" s="111"/>
      <c r="U8" s="111"/>
      <c r="V8" s="112"/>
      <c r="W8" s="104">
        <f t="shared" si="2"/>
        <v>74800</v>
      </c>
      <c r="X8" s="96">
        <v>74800</v>
      </c>
      <c r="Y8" s="94"/>
      <c r="Z8" s="27">
        <f t="shared" si="3"/>
        <v>961250</v>
      </c>
      <c r="AA8" s="29">
        <f>861250+25000</f>
        <v>886250</v>
      </c>
      <c r="AB8" s="64">
        <v>75000</v>
      </c>
      <c r="AC8" s="49">
        <f t="shared" si="4"/>
        <v>0</v>
      </c>
      <c r="AD8" s="29">
        <v>0</v>
      </c>
      <c r="AE8" s="57">
        <v>0</v>
      </c>
      <c r="AF8" s="49">
        <f t="shared" si="5"/>
        <v>100000</v>
      </c>
      <c r="AG8" s="57">
        <v>65000</v>
      </c>
      <c r="AH8" s="57">
        <v>35000</v>
      </c>
      <c r="AI8" s="49">
        <f t="shared" si="6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ht="19.899999999999999" customHeight="1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10">
        <f t="shared" si="1"/>
        <v>0</v>
      </c>
      <c r="S9" s="111"/>
      <c r="T9" s="111"/>
      <c r="U9" s="111"/>
      <c r="V9" s="112"/>
      <c r="W9" s="104">
        <f t="shared" si="2"/>
        <v>45000</v>
      </c>
      <c r="X9" s="93">
        <v>0</v>
      </c>
      <c r="Y9" s="97">
        <v>45000</v>
      </c>
      <c r="Z9" s="27">
        <f t="shared" si="3"/>
        <v>45000</v>
      </c>
      <c r="AA9" s="31"/>
      <c r="AB9" s="64">
        <v>45000</v>
      </c>
      <c r="AC9" s="49">
        <f t="shared" si="4"/>
        <v>0</v>
      </c>
      <c r="AD9" s="29">
        <v>0</v>
      </c>
      <c r="AE9" s="57">
        <v>0</v>
      </c>
      <c r="AF9" s="49">
        <f t="shared" si="5"/>
        <v>50000</v>
      </c>
      <c r="AG9" s="29">
        <v>0</v>
      </c>
      <c r="AH9" s="57">
        <v>50000</v>
      </c>
      <c r="AI9" s="49">
        <f t="shared" si="6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 ht="19.899999999999999" customHeight="1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10">
        <f t="shared" si="1"/>
        <v>77000</v>
      </c>
      <c r="S10" s="111"/>
      <c r="T10" s="111"/>
      <c r="U10" s="111">
        <v>77000</v>
      </c>
      <c r="V10" s="112"/>
      <c r="W10" s="104">
        <f t="shared" si="2"/>
        <v>0</v>
      </c>
      <c r="X10" s="93">
        <v>0</v>
      </c>
      <c r="Y10" s="95"/>
      <c r="Z10" s="27">
        <f t="shared" si="3"/>
        <v>77000</v>
      </c>
      <c r="AA10" s="29"/>
      <c r="AB10" s="64">
        <f>38500*2</f>
        <v>77000</v>
      </c>
      <c r="AC10" s="49">
        <f t="shared" si="4"/>
        <v>0</v>
      </c>
      <c r="AD10" s="29">
        <v>0</v>
      </c>
      <c r="AE10" s="57">
        <v>0</v>
      </c>
      <c r="AF10" s="49">
        <f t="shared" si="5"/>
        <v>102123</v>
      </c>
      <c r="AG10" s="29">
        <f>52123</f>
        <v>52123</v>
      </c>
      <c r="AH10" s="57">
        <v>50000</v>
      </c>
      <c r="AI10" s="49">
        <f t="shared" si="6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 ht="19.899999999999999" customHeight="1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688736.48</v>
      </c>
      <c r="P11" s="14" t="e">
        <f>+O11*#REF!</f>
        <v>#REF!</v>
      </c>
      <c r="Q11" s="14"/>
      <c r="R11" s="110">
        <f t="shared" si="1"/>
        <v>125122.95999999999</v>
      </c>
      <c r="S11" s="111"/>
      <c r="T11" s="111"/>
      <c r="U11" s="111">
        <f>70000+27561.48</f>
        <v>97561.48</v>
      </c>
      <c r="V11" s="112">
        <f>27561.48</f>
        <v>27561.48</v>
      </c>
      <c r="W11" s="104">
        <f t="shared" si="2"/>
        <v>55122</v>
      </c>
      <c r="X11" s="93">
        <v>0</v>
      </c>
      <c r="Y11" s="97">
        <f>27561+27561</f>
        <v>55122</v>
      </c>
      <c r="Z11" s="27">
        <f t="shared" si="3"/>
        <v>27561.48</v>
      </c>
      <c r="AA11" s="29"/>
      <c r="AB11" s="127">
        <v>27561.48</v>
      </c>
      <c r="AC11" s="49">
        <f t="shared" si="4"/>
        <v>197720</v>
      </c>
      <c r="AD11" s="29">
        <v>197720</v>
      </c>
      <c r="AE11" s="57">
        <v>0</v>
      </c>
      <c r="AF11" s="49">
        <f t="shared" si="5"/>
        <v>33333</v>
      </c>
      <c r="AG11" s="29">
        <v>0</v>
      </c>
      <c r="AH11" s="57">
        <v>33333</v>
      </c>
      <c r="AI11" s="49">
        <f t="shared" si="6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 ht="19.899999999999999" customHeight="1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10">
        <f t="shared" si="1"/>
        <v>0</v>
      </c>
      <c r="S12" s="111"/>
      <c r="T12" s="111"/>
      <c r="U12" s="111"/>
      <c r="V12" s="112"/>
      <c r="W12" s="104">
        <f t="shared" si="2"/>
        <v>64000</v>
      </c>
      <c r="X12" s="93">
        <v>0</v>
      </c>
      <c r="Y12" s="94">
        <v>64000</v>
      </c>
      <c r="Z12" s="27">
        <f t="shared" si="3"/>
        <v>64000</v>
      </c>
      <c r="AA12" s="29"/>
      <c r="AB12" s="64">
        <v>64000</v>
      </c>
      <c r="AC12" s="49">
        <f t="shared" si="4"/>
        <v>116000</v>
      </c>
      <c r="AD12" s="29">
        <v>116000</v>
      </c>
      <c r="AE12" s="57">
        <v>0</v>
      </c>
      <c r="AF12" s="49">
        <f t="shared" si="5"/>
        <v>91000</v>
      </c>
      <c r="AG12" s="29">
        <v>32000</v>
      </c>
      <c r="AH12" s="57">
        <v>59000</v>
      </c>
      <c r="AI12" s="49">
        <f t="shared" si="6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 ht="19.899999999999999" customHeight="1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>+AL13+AI13+AF13+AC13+Z13+W13</f>
        <v>437271.68</v>
      </c>
      <c r="P13" s="14" t="e">
        <f>+O13*#REF!</f>
        <v>#REF!</v>
      </c>
      <c r="Q13" s="32">
        <v>45057.17</v>
      </c>
      <c r="R13" s="110">
        <f t="shared" si="1"/>
        <v>0</v>
      </c>
      <c r="S13" s="111"/>
      <c r="T13" s="111"/>
      <c r="U13" s="111"/>
      <c r="V13" s="112"/>
      <c r="W13" s="104">
        <f t="shared" si="2"/>
        <v>45057.17</v>
      </c>
      <c r="X13" s="93">
        <v>0</v>
      </c>
      <c r="Y13" s="97">
        <v>45057.17</v>
      </c>
      <c r="Z13" s="27">
        <f t="shared" si="3"/>
        <v>133709.51</v>
      </c>
      <c r="AA13" s="31">
        <v>103671.4</v>
      </c>
      <c r="AB13" s="56">
        <v>30038.11</v>
      </c>
      <c r="AC13" s="49">
        <f t="shared" si="4"/>
        <v>25000</v>
      </c>
      <c r="AD13" s="29">
        <v>0</v>
      </c>
      <c r="AE13" s="57">
        <v>25000</v>
      </c>
      <c r="AF13" s="49">
        <f t="shared" si="5"/>
        <v>65505</v>
      </c>
      <c r="AG13" s="57">
        <v>65505</v>
      </c>
      <c r="AH13" s="57">
        <v>0</v>
      </c>
      <c r="AI13" s="49">
        <f t="shared" si="6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 ht="19.899999999999999" customHeight="1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570000</v>
      </c>
      <c r="P14" s="14" t="e">
        <f>+O14*#REF!</f>
        <v>#REF!</v>
      </c>
      <c r="Q14" s="32">
        <v>30000</v>
      </c>
      <c r="R14" s="110">
        <f t="shared" si="1"/>
        <v>0</v>
      </c>
      <c r="S14" s="111"/>
      <c r="T14" s="111"/>
      <c r="U14" s="111"/>
      <c r="V14" s="112"/>
      <c r="W14" s="104">
        <f t="shared" si="2"/>
        <v>30000</v>
      </c>
      <c r="X14" s="93"/>
      <c r="Y14" s="94">
        <v>30000</v>
      </c>
      <c r="Z14" s="27">
        <f t="shared" si="3"/>
        <v>115000</v>
      </c>
      <c r="AA14" s="29">
        <v>115000</v>
      </c>
      <c r="AB14" s="64"/>
      <c r="AC14" s="49">
        <f t="shared" si="4"/>
        <v>0</v>
      </c>
      <c r="AD14" s="29">
        <v>0</v>
      </c>
      <c r="AE14" s="57">
        <v>0</v>
      </c>
      <c r="AF14" s="49">
        <f t="shared" si="5"/>
        <v>0</v>
      </c>
      <c r="AG14" s="29">
        <v>0</v>
      </c>
      <c r="AH14" s="57">
        <v>0</v>
      </c>
      <c r="AI14" s="49">
        <f t="shared" si="6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 ht="19.899999999999999" customHeight="1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430167</v>
      </c>
      <c r="P15" s="14" t="e">
        <f>+O15*#REF!</f>
        <v>#REF!</v>
      </c>
      <c r="Q15" s="32">
        <v>15833</v>
      </c>
      <c r="R15" s="110">
        <f t="shared" si="1"/>
        <v>0</v>
      </c>
      <c r="S15" s="111"/>
      <c r="T15" s="111"/>
      <c r="U15" s="111"/>
      <c r="V15" s="112"/>
      <c r="W15" s="104">
        <f t="shared" si="2"/>
        <v>51453</v>
      </c>
      <c r="X15" s="93">
        <v>0</v>
      </c>
      <c r="Y15" s="94">
        <f>29286+22167</f>
        <v>51453</v>
      </c>
      <c r="Z15" s="27">
        <f t="shared" si="3"/>
        <v>20714</v>
      </c>
      <c r="AA15" s="29"/>
      <c r="AB15" s="64">
        <v>20714</v>
      </c>
      <c r="AC15" s="49">
        <f t="shared" si="4"/>
        <v>168000</v>
      </c>
      <c r="AD15" s="29">
        <f>75000+55000</f>
        <v>130000</v>
      </c>
      <c r="AE15" s="57">
        <v>38000</v>
      </c>
      <c r="AF15" s="49">
        <f t="shared" si="5"/>
        <v>0</v>
      </c>
      <c r="AG15" s="29">
        <v>0</v>
      </c>
      <c r="AH15" s="57">
        <v>0</v>
      </c>
      <c r="AI15" s="49">
        <f t="shared" si="6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ht="19.899999999999999" customHeight="1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10">
        <f t="shared" si="1"/>
        <v>0</v>
      </c>
      <c r="S16" s="111"/>
      <c r="T16" s="111"/>
      <c r="U16" s="111"/>
      <c r="V16" s="112"/>
      <c r="W16" s="104">
        <f t="shared" si="2"/>
        <v>205000</v>
      </c>
      <c r="X16" s="92">
        <v>65000</v>
      </c>
      <c r="Y16" s="97">
        <v>140000</v>
      </c>
      <c r="Z16" s="27">
        <f t="shared" si="3"/>
        <v>0</v>
      </c>
      <c r="AA16" s="31"/>
      <c r="AB16" s="64"/>
      <c r="AC16" s="49">
        <f t="shared" si="4"/>
        <v>325000</v>
      </c>
      <c r="AD16" s="29">
        <v>195000</v>
      </c>
      <c r="AE16" s="57">
        <v>130000</v>
      </c>
      <c r="AF16" s="49">
        <f t="shared" si="5"/>
        <v>415000</v>
      </c>
      <c r="AG16" s="29">
        <v>375000</v>
      </c>
      <c r="AH16" s="57">
        <v>40000</v>
      </c>
      <c r="AI16" s="49">
        <f t="shared" si="6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 ht="19.899999999999999" customHeight="1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569879</v>
      </c>
      <c r="P17" s="14" t="e">
        <f>+O17*#REF!</f>
        <v>#REF!</v>
      </c>
      <c r="Q17" s="14"/>
      <c r="R17" s="110">
        <f t="shared" si="1"/>
        <v>183000</v>
      </c>
      <c r="S17" s="111"/>
      <c r="T17" s="111"/>
      <c r="U17" s="111"/>
      <c r="V17" s="112">
        <f>130000+53000</f>
        <v>183000</v>
      </c>
      <c r="W17" s="104">
        <f t="shared" si="2"/>
        <v>47252</v>
      </c>
      <c r="X17" s="93"/>
      <c r="Y17" s="94">
        <v>47252</v>
      </c>
      <c r="Z17" s="27">
        <f t="shared" si="3"/>
        <v>65000</v>
      </c>
      <c r="AA17" s="29">
        <f>25000+40000</f>
        <v>65000</v>
      </c>
      <c r="AB17" s="56"/>
      <c r="AC17" s="49">
        <f t="shared" si="4"/>
        <v>131717</v>
      </c>
      <c r="AD17" s="29">
        <f>61749.5+69967.5</f>
        <v>131717</v>
      </c>
      <c r="AE17" s="57">
        <v>0</v>
      </c>
      <c r="AF17" s="49">
        <f t="shared" si="5"/>
        <v>158110</v>
      </c>
      <c r="AG17" s="29">
        <v>102510</v>
      </c>
      <c r="AH17" s="57">
        <v>55600</v>
      </c>
      <c r="AI17" s="49">
        <f t="shared" si="6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 ht="19.899999999999999" customHeight="1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10">
        <f t="shared" si="1"/>
        <v>0</v>
      </c>
      <c r="S18" s="111"/>
      <c r="T18" s="111"/>
      <c r="U18" s="111"/>
      <c r="V18" s="112"/>
      <c r="W18" s="104">
        <f t="shared" si="2"/>
        <v>38334</v>
      </c>
      <c r="X18" s="93">
        <v>0</v>
      </c>
      <c r="Y18" s="94">
        <v>38334</v>
      </c>
      <c r="Z18" s="27">
        <f t="shared" si="3"/>
        <v>76666</v>
      </c>
      <c r="AA18" s="29">
        <v>76666</v>
      </c>
      <c r="AB18" s="64"/>
      <c r="AC18" s="49">
        <f t="shared" si="4"/>
        <v>58000</v>
      </c>
      <c r="AD18" s="29">
        <v>58000</v>
      </c>
      <c r="AE18" s="57">
        <v>0</v>
      </c>
      <c r="AF18" s="49">
        <f t="shared" si="5"/>
        <v>295000</v>
      </c>
      <c r="AG18" s="29">
        <v>295000</v>
      </c>
      <c r="AH18" s="57">
        <v>0</v>
      </c>
      <c r="AI18" s="49">
        <f t="shared" si="6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19.899999999999999" customHeight="1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578000</v>
      </c>
      <c r="P19" s="14" t="e">
        <f>+O19*#REF!</f>
        <v>#REF!</v>
      </c>
      <c r="Q19" s="14"/>
      <c r="R19" s="110">
        <f t="shared" si="1"/>
        <v>60000</v>
      </c>
      <c r="S19" s="111"/>
      <c r="T19" s="111"/>
      <c r="U19" s="111">
        <v>60000</v>
      </c>
      <c r="V19" s="112"/>
      <c r="W19" s="104">
        <f t="shared" si="2"/>
        <v>0</v>
      </c>
      <c r="X19" s="93">
        <v>0</v>
      </c>
      <c r="Y19" s="94">
        <v>0</v>
      </c>
      <c r="Z19" s="27">
        <f t="shared" si="3"/>
        <v>0</v>
      </c>
      <c r="AA19" s="29"/>
      <c r="AB19" s="64"/>
      <c r="AC19" s="49">
        <f t="shared" si="4"/>
        <v>310000</v>
      </c>
      <c r="AD19" s="29">
        <v>310000</v>
      </c>
      <c r="AE19" s="57">
        <v>0</v>
      </c>
      <c r="AF19" s="49">
        <f t="shared" si="5"/>
        <v>268000</v>
      </c>
      <c r="AG19" s="29">
        <v>268000</v>
      </c>
      <c r="AH19" s="57">
        <v>0</v>
      </c>
      <c r="AI19" s="49">
        <f t="shared" si="6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 ht="19.899999999999999" customHeight="1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10">
        <f t="shared" si="1"/>
        <v>0</v>
      </c>
      <c r="S20" s="111"/>
      <c r="T20" s="111"/>
      <c r="U20" s="111"/>
      <c r="V20" s="112"/>
      <c r="W20" s="104">
        <f t="shared" si="2"/>
        <v>0</v>
      </c>
      <c r="X20" s="93">
        <v>0</v>
      </c>
      <c r="Y20" s="94">
        <v>0</v>
      </c>
      <c r="Z20" s="27">
        <f t="shared" si="3"/>
        <v>40000</v>
      </c>
      <c r="AA20" s="29">
        <v>0</v>
      </c>
      <c r="AB20" s="64">
        <v>40000</v>
      </c>
      <c r="AC20" s="49">
        <f t="shared" si="4"/>
        <v>90000</v>
      </c>
      <c r="AD20" s="29">
        <v>30000</v>
      </c>
      <c r="AE20" s="57">
        <v>60000</v>
      </c>
      <c r="AF20" s="49">
        <f t="shared" si="5"/>
        <v>270000</v>
      </c>
      <c r="AG20" s="29">
        <v>270000</v>
      </c>
      <c r="AH20" s="57">
        <v>0</v>
      </c>
      <c r="AI20" s="49">
        <f t="shared" si="6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ht="19.899999999999999" customHeight="1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10">
        <f t="shared" si="1"/>
        <v>140000</v>
      </c>
      <c r="S21" s="111"/>
      <c r="T21" s="111"/>
      <c r="U21" s="111">
        <v>140000</v>
      </c>
      <c r="V21" s="112"/>
      <c r="W21" s="104">
        <f t="shared" si="2"/>
        <v>0</v>
      </c>
      <c r="X21" s="93">
        <v>0</v>
      </c>
      <c r="Y21" s="94">
        <v>0</v>
      </c>
      <c r="Z21" s="27">
        <f t="shared" si="3"/>
        <v>20000</v>
      </c>
      <c r="AA21" s="29">
        <v>20000</v>
      </c>
      <c r="AB21" s="64">
        <v>0</v>
      </c>
      <c r="AC21" s="49">
        <f t="shared" si="4"/>
        <v>50000</v>
      </c>
      <c r="AD21" s="29">
        <v>50000</v>
      </c>
      <c r="AE21" s="57">
        <v>0</v>
      </c>
      <c r="AF21" s="49">
        <f t="shared" si="5"/>
        <v>680000</v>
      </c>
      <c r="AG21" s="29">
        <v>680000</v>
      </c>
      <c r="AH21" s="57">
        <v>0</v>
      </c>
      <c r="AI21" s="49">
        <f t="shared" si="6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 ht="19.899999999999999" customHeight="1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10">
        <f t="shared" si="1"/>
        <v>150000</v>
      </c>
      <c r="S22" s="111"/>
      <c r="T22" s="111"/>
      <c r="U22" s="111">
        <v>150000</v>
      </c>
      <c r="V22" s="112"/>
      <c r="W22" s="104">
        <f t="shared" si="2"/>
        <v>0</v>
      </c>
      <c r="X22" s="93"/>
      <c r="Y22" s="94">
        <v>0</v>
      </c>
      <c r="Z22" s="27">
        <f t="shared" si="3"/>
        <v>150000</v>
      </c>
      <c r="AA22" s="29">
        <v>150000</v>
      </c>
      <c r="AB22" s="64">
        <v>0</v>
      </c>
      <c r="AC22" s="49">
        <f t="shared" si="4"/>
        <v>140000</v>
      </c>
      <c r="AD22" s="29">
        <v>140000</v>
      </c>
      <c r="AE22" s="57">
        <v>0</v>
      </c>
      <c r="AF22" s="49">
        <f t="shared" si="5"/>
        <v>150000</v>
      </c>
      <c r="AG22" s="29">
        <v>150000</v>
      </c>
      <c r="AH22" s="57">
        <v>0</v>
      </c>
      <c r="AI22" s="49">
        <f t="shared" si="6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 ht="19.899999999999999" customHeight="1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10">
        <f t="shared" si="1"/>
        <v>0</v>
      </c>
      <c r="S23" s="111"/>
      <c r="T23" s="111"/>
      <c r="U23" s="111"/>
      <c r="V23" s="112"/>
      <c r="W23" s="104">
        <f t="shared" si="2"/>
        <v>130000</v>
      </c>
      <c r="X23" s="92">
        <v>40000</v>
      </c>
      <c r="Y23" s="97">
        <v>90000</v>
      </c>
      <c r="Z23" s="27">
        <f t="shared" si="3"/>
        <v>0</v>
      </c>
      <c r="AA23" s="29">
        <v>0</v>
      </c>
      <c r="AB23" s="64">
        <v>0</v>
      </c>
      <c r="AC23" s="49">
        <f t="shared" si="4"/>
        <v>124500</v>
      </c>
      <c r="AD23" s="29">
        <v>67500</v>
      </c>
      <c r="AE23" s="57">
        <v>57000</v>
      </c>
      <c r="AF23" s="49">
        <f t="shared" si="5"/>
        <v>380000</v>
      </c>
      <c r="AG23" s="29">
        <v>380000</v>
      </c>
      <c r="AH23" s="57">
        <v>0</v>
      </c>
      <c r="AI23" s="49">
        <f t="shared" si="6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 ht="19.899999999999999" customHeight="1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486800</v>
      </c>
      <c r="P24" s="14" t="e">
        <f>+O24*#REF!</f>
        <v>#REF!</v>
      </c>
      <c r="Q24" s="14"/>
      <c r="R24" s="110">
        <f t="shared" si="1"/>
        <v>410000</v>
      </c>
      <c r="S24" s="111"/>
      <c r="T24" s="111"/>
      <c r="U24" s="111">
        <v>410000</v>
      </c>
      <c r="V24" s="112"/>
      <c r="W24" s="104">
        <f t="shared" si="2"/>
        <v>60000</v>
      </c>
      <c r="X24" s="92">
        <v>60000</v>
      </c>
      <c r="Y24" s="94">
        <v>0</v>
      </c>
      <c r="Z24" s="27">
        <f t="shared" si="3"/>
        <v>0</v>
      </c>
      <c r="AA24" s="29">
        <v>0</v>
      </c>
      <c r="AB24" s="64">
        <v>0</v>
      </c>
      <c r="AC24" s="49">
        <f t="shared" si="4"/>
        <v>0</v>
      </c>
      <c r="AD24" s="29">
        <v>0</v>
      </c>
      <c r="AE24" s="57">
        <v>0</v>
      </c>
      <c r="AF24" s="49">
        <f t="shared" si="5"/>
        <v>426800</v>
      </c>
      <c r="AG24" s="29">
        <v>426800</v>
      </c>
      <c r="AH24" s="57">
        <v>0</v>
      </c>
      <c r="AI24" s="49">
        <f t="shared" si="6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19.899999999999999" customHeight="1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10">
        <f t="shared" si="1"/>
        <v>0</v>
      </c>
      <c r="S25" s="111"/>
      <c r="T25" s="111"/>
      <c r="U25" s="111"/>
      <c r="V25" s="112"/>
      <c r="W25" s="104">
        <f t="shared" si="2"/>
        <v>0</v>
      </c>
      <c r="X25" s="93">
        <v>0</v>
      </c>
      <c r="Y25" s="94">
        <v>0</v>
      </c>
      <c r="Z25" s="27">
        <f t="shared" si="3"/>
        <v>0</v>
      </c>
      <c r="AA25" s="29">
        <v>0</v>
      </c>
      <c r="AB25" s="64">
        <v>0</v>
      </c>
      <c r="AC25" s="49">
        <f t="shared" si="4"/>
        <v>0</v>
      </c>
      <c r="AD25" s="29">
        <v>0</v>
      </c>
      <c r="AE25" s="57">
        <v>0</v>
      </c>
      <c r="AF25" s="49">
        <f t="shared" si="5"/>
        <v>190000</v>
      </c>
      <c r="AG25" s="29">
        <v>190000</v>
      </c>
      <c r="AH25" s="57">
        <v>0</v>
      </c>
      <c r="AI25" s="49">
        <f t="shared" si="6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 ht="19.899999999999999" customHeight="1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10">
        <f t="shared" si="1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3"/>
        <v>0</v>
      </c>
      <c r="AA26" s="29">
        <v>0</v>
      </c>
      <c r="AB26" s="64">
        <v>0</v>
      </c>
      <c r="AC26" s="49">
        <f t="shared" si="4"/>
        <v>450000</v>
      </c>
      <c r="AD26" s="29">
        <v>450000</v>
      </c>
      <c r="AE26" s="57">
        <v>0</v>
      </c>
      <c r="AF26" s="49">
        <f t="shared" si="5"/>
        <v>0</v>
      </c>
      <c r="AG26" s="57">
        <v>0</v>
      </c>
      <c r="AH26" s="57">
        <v>0</v>
      </c>
      <c r="AI26" s="49">
        <f t="shared" si="6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 ht="19.899999999999999" customHeight="1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10">
        <f t="shared" si="1"/>
        <v>0</v>
      </c>
      <c r="S27" s="111"/>
      <c r="T27" s="111"/>
      <c r="U27" s="111"/>
      <c r="V27" s="112"/>
      <c r="W27" s="104">
        <f t="shared" si="2"/>
        <v>0</v>
      </c>
      <c r="X27" s="93">
        <v>0</v>
      </c>
      <c r="Y27" s="94">
        <v>0</v>
      </c>
      <c r="Z27" s="27">
        <f t="shared" si="3"/>
        <v>273000</v>
      </c>
      <c r="AA27" s="29">
        <v>273000</v>
      </c>
      <c r="AB27" s="64">
        <v>0</v>
      </c>
      <c r="AC27" s="49">
        <f t="shared" si="4"/>
        <v>510000</v>
      </c>
      <c r="AD27" s="29">
        <v>510000</v>
      </c>
      <c r="AE27" s="57">
        <v>0</v>
      </c>
      <c r="AF27" s="49">
        <f t="shared" si="5"/>
        <v>0</v>
      </c>
      <c r="AG27" s="29">
        <v>0</v>
      </c>
      <c r="AH27" s="57">
        <v>0</v>
      </c>
      <c r="AI27" s="49">
        <f t="shared" si="6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19.899999999999999" customHeight="1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710000</v>
      </c>
      <c r="P28" s="25" t="e">
        <f>+O28*#REF!</f>
        <v>#REF!</v>
      </c>
      <c r="Q28" s="55">
        <v>40000</v>
      </c>
      <c r="R28" s="110">
        <f t="shared" si="1"/>
        <v>0</v>
      </c>
      <c r="S28" s="111"/>
      <c r="T28" s="111"/>
      <c r="U28" s="111"/>
      <c r="V28" s="112"/>
      <c r="W28" s="104">
        <f t="shared" si="2"/>
        <v>80000</v>
      </c>
      <c r="X28" s="93">
        <v>0</v>
      </c>
      <c r="Y28" s="94">
        <v>80000</v>
      </c>
      <c r="Z28" s="27">
        <f t="shared" si="3"/>
        <v>40000</v>
      </c>
      <c r="AA28" s="29"/>
      <c r="AB28" s="64">
        <v>40000</v>
      </c>
      <c r="AC28" s="49">
        <f t="shared" si="4"/>
        <v>590000</v>
      </c>
      <c r="AD28" s="29">
        <f>750000-160000</f>
        <v>590000</v>
      </c>
      <c r="AE28" s="57">
        <v>0</v>
      </c>
      <c r="AF28" s="49">
        <f t="shared" si="5"/>
        <v>0</v>
      </c>
      <c r="AG28" s="29">
        <v>0</v>
      </c>
      <c r="AH28" s="57">
        <v>0</v>
      </c>
      <c r="AI28" s="49">
        <f t="shared" si="6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 ht="19.899999999999999" customHeight="1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252999.66666666666</v>
      </c>
      <c r="P29" s="14" t="e">
        <f>+O29*#REF!</f>
        <v>#REF!</v>
      </c>
      <c r="Q29" s="32">
        <v>25000</v>
      </c>
      <c r="R29" s="110">
        <f t="shared" si="1"/>
        <v>0</v>
      </c>
      <c r="S29" s="111"/>
      <c r="T29" s="111"/>
      <c r="U29" s="111"/>
      <c r="V29" s="112"/>
      <c r="W29" s="104">
        <f t="shared" si="2"/>
        <v>40833</v>
      </c>
      <c r="X29" s="93">
        <v>0</v>
      </c>
      <c r="Y29" s="94">
        <f>15833+25000</f>
        <v>40833</v>
      </c>
      <c r="Z29" s="27">
        <f t="shared" si="3"/>
        <v>22166.666666666664</v>
      </c>
      <c r="AA29" s="29"/>
      <c r="AB29" s="64">
        <f>38000/12*7</f>
        <v>22166.666666666664</v>
      </c>
      <c r="AC29" s="49">
        <f t="shared" si="4"/>
        <v>190000</v>
      </c>
      <c r="AD29" s="29">
        <f>190000</f>
        <v>190000</v>
      </c>
      <c r="AE29" s="57">
        <v>0</v>
      </c>
      <c r="AF29" s="49">
        <f t="shared" si="5"/>
        <v>0</v>
      </c>
      <c r="AG29" s="29">
        <v>0</v>
      </c>
      <c r="AH29" s="57">
        <v>0</v>
      </c>
      <c r="AI29" s="49">
        <f t="shared" si="6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 ht="19.899999999999999" customHeight="1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10">
        <f t="shared" si="1"/>
        <v>0</v>
      </c>
      <c r="S30" s="111"/>
      <c r="T30" s="111"/>
      <c r="U30" s="111"/>
      <c r="V30" s="112"/>
      <c r="W30" s="104">
        <f t="shared" si="2"/>
        <v>59000</v>
      </c>
      <c r="X30" s="93">
        <v>0</v>
      </c>
      <c r="Y30" s="94">
        <v>59000</v>
      </c>
      <c r="Z30" s="27">
        <f t="shared" si="3"/>
        <v>79000</v>
      </c>
      <c r="AA30" s="29">
        <v>65000</v>
      </c>
      <c r="AB30" s="64">
        <v>14000</v>
      </c>
      <c r="AC30" s="49">
        <f t="shared" si="4"/>
        <v>305000</v>
      </c>
      <c r="AD30" s="29">
        <v>305000</v>
      </c>
      <c r="AE30" s="57">
        <v>0</v>
      </c>
      <c r="AF30" s="49">
        <f t="shared" si="5"/>
        <v>0</v>
      </c>
      <c r="AG30" s="29">
        <v>0</v>
      </c>
      <c r="AH30" s="57">
        <v>0</v>
      </c>
      <c r="AI30" s="49">
        <f t="shared" si="6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 ht="19.899999999999999" customHeight="1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10">
        <f t="shared" si="1"/>
        <v>0</v>
      </c>
      <c r="S31" s="111"/>
      <c r="T31" s="111"/>
      <c r="U31" s="111"/>
      <c r="V31" s="112"/>
      <c r="W31" s="104">
        <f t="shared" si="2"/>
        <v>77000</v>
      </c>
      <c r="X31" s="93">
        <v>0</v>
      </c>
      <c r="Y31" s="94">
        <v>77000</v>
      </c>
      <c r="Z31" s="27">
        <f t="shared" si="3"/>
        <v>0</v>
      </c>
      <c r="AA31" s="29">
        <v>0</v>
      </c>
      <c r="AB31" s="64">
        <v>0</v>
      </c>
      <c r="AC31" s="49">
        <f t="shared" si="4"/>
        <v>383000</v>
      </c>
      <c r="AD31" s="29">
        <f>383000</f>
        <v>383000</v>
      </c>
      <c r="AE31" s="57">
        <v>0</v>
      </c>
      <c r="AF31" s="49">
        <f t="shared" si="5"/>
        <v>0</v>
      </c>
      <c r="AG31" s="29">
        <v>0</v>
      </c>
      <c r="AH31" s="57">
        <v>0</v>
      </c>
      <c r="AI31" s="49">
        <f t="shared" si="6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ht="19.899999999999999" customHeight="1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1077500</v>
      </c>
      <c r="P32" s="14" t="e">
        <f>+O32*#REF!</f>
        <v>#REF!</v>
      </c>
      <c r="Q32" s="14"/>
      <c r="R32" s="110">
        <f t="shared" si="1"/>
        <v>80000</v>
      </c>
      <c r="S32" s="111"/>
      <c r="T32" s="111"/>
      <c r="U32" s="111">
        <v>40000</v>
      </c>
      <c r="V32" s="112">
        <v>40000</v>
      </c>
      <c r="W32" s="104">
        <f t="shared" si="2"/>
        <v>80000</v>
      </c>
      <c r="X32" s="93">
        <v>0</v>
      </c>
      <c r="Y32" s="97">
        <v>80000</v>
      </c>
      <c r="Z32" s="27">
        <f t="shared" si="3"/>
        <v>160000</v>
      </c>
      <c r="AA32" s="29"/>
      <c r="AB32" s="64">
        <f>120000+40000</f>
        <v>160000</v>
      </c>
      <c r="AC32" s="49">
        <f t="shared" si="4"/>
        <v>837500</v>
      </c>
      <c r="AD32" s="29">
        <v>837500</v>
      </c>
      <c r="AE32" s="57">
        <v>0</v>
      </c>
      <c r="AF32" s="49">
        <f t="shared" si="5"/>
        <v>0</v>
      </c>
      <c r="AG32" s="29">
        <v>0</v>
      </c>
      <c r="AH32" s="57">
        <v>0</v>
      </c>
      <c r="AI32" s="49">
        <f t="shared" si="6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19.899999999999999" customHeight="1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10">
        <f t="shared" si="1"/>
        <v>0</v>
      </c>
      <c r="S33" s="111"/>
      <c r="T33" s="111"/>
      <c r="U33" s="111"/>
      <c r="V33" s="112"/>
      <c r="W33" s="104">
        <f t="shared" si="2"/>
        <v>76000</v>
      </c>
      <c r="X33" s="93">
        <v>0</v>
      </c>
      <c r="Y33" s="94">
        <v>76000</v>
      </c>
      <c r="Z33" s="27">
        <f t="shared" si="3"/>
        <v>15000</v>
      </c>
      <c r="AA33" s="29"/>
      <c r="AB33" s="56">
        <v>15000</v>
      </c>
      <c r="AC33" s="49">
        <f t="shared" si="4"/>
        <v>869000</v>
      </c>
      <c r="AD33" s="29">
        <f>960000-91000</f>
        <v>869000</v>
      </c>
      <c r="AE33" s="57">
        <v>0</v>
      </c>
      <c r="AF33" s="49">
        <f t="shared" si="5"/>
        <v>0</v>
      </c>
      <c r="AG33" s="29">
        <v>0</v>
      </c>
      <c r="AH33" s="57">
        <v>0</v>
      </c>
      <c r="AI33" s="49">
        <f t="shared" si="6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 ht="19.899999999999999" customHeight="1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10">
        <f t="shared" si="1"/>
        <v>0</v>
      </c>
      <c r="S34" s="111"/>
      <c r="T34" s="111"/>
      <c r="U34" s="111"/>
      <c r="V34" s="112"/>
      <c r="W34" s="104">
        <f t="shared" si="2"/>
        <v>55932</v>
      </c>
      <c r="X34" s="93">
        <v>0</v>
      </c>
      <c r="Y34" s="94">
        <v>55932</v>
      </c>
      <c r="Z34" s="27">
        <f t="shared" si="3"/>
        <v>5085</v>
      </c>
      <c r="AA34" s="31"/>
      <c r="AB34" s="64">
        <v>5085</v>
      </c>
      <c r="AC34" s="49">
        <f t="shared" si="4"/>
        <v>390000</v>
      </c>
      <c r="AD34" s="29">
        <v>390000</v>
      </c>
      <c r="AE34" s="57">
        <v>0</v>
      </c>
      <c r="AF34" s="49">
        <f t="shared" si="5"/>
        <v>0</v>
      </c>
      <c r="AG34" s="29">
        <v>0</v>
      </c>
      <c r="AH34" s="57">
        <v>0</v>
      </c>
      <c r="AI34" s="49">
        <f t="shared" si="6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 ht="19.899999999999999" customHeight="1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ref="O35:O78" si="7">+AL35+AI35+AF35+AC35+Z35+W35</f>
        <v>773000</v>
      </c>
      <c r="P35" s="14" t="e">
        <f>+O35*#REF!</f>
        <v>#REF!</v>
      </c>
      <c r="Q35" s="55"/>
      <c r="R35" s="110">
        <f t="shared" si="1"/>
        <v>0</v>
      </c>
      <c r="S35" s="111"/>
      <c r="T35" s="111"/>
      <c r="U35" s="111"/>
      <c r="V35" s="112"/>
      <c r="W35" s="104">
        <f t="shared" ref="W35:W79" si="8">+X35+Y35</f>
        <v>164000</v>
      </c>
      <c r="X35" s="92">
        <v>50000</v>
      </c>
      <c r="Y35" s="92">
        <v>114000</v>
      </c>
      <c r="Z35" s="27">
        <f t="shared" ref="Z35:Z65" si="9">+AA35+AB35</f>
        <v>39000</v>
      </c>
      <c r="AA35" s="29">
        <v>39000</v>
      </c>
      <c r="AB35" s="64">
        <v>0</v>
      </c>
      <c r="AC35" s="49">
        <f t="shared" ref="AC35:AC52" si="10">+AD35+AE35</f>
        <v>570000</v>
      </c>
      <c r="AD35" s="29">
        <v>570000</v>
      </c>
      <c r="AE35" s="57">
        <v>0</v>
      </c>
      <c r="AF35" s="49">
        <f t="shared" ref="AF35:AF52" si="11">+AG35+AH35</f>
        <v>0</v>
      </c>
      <c r="AG35" s="29">
        <v>0</v>
      </c>
      <c r="AH35" s="57">
        <v>0</v>
      </c>
      <c r="AI35" s="49">
        <f t="shared" ref="AI35:AI52" si="12">+AJ35+AK35</f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 ht="19.899999999999999" customHeight="1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7"/>
        <v>832500</v>
      </c>
      <c r="P36" s="14" t="e">
        <f>+O36*#REF!</f>
        <v>#REF!</v>
      </c>
      <c r="Q36" s="14"/>
      <c r="R36" s="110">
        <f t="shared" si="1"/>
        <v>67500</v>
      </c>
      <c r="S36" s="111"/>
      <c r="T36" s="111"/>
      <c r="U36" s="111">
        <v>33750</v>
      </c>
      <c r="V36" s="112">
        <v>33750</v>
      </c>
      <c r="W36" s="104">
        <f t="shared" si="8"/>
        <v>122500</v>
      </c>
      <c r="X36" s="92">
        <f>5000+50000</f>
        <v>55000</v>
      </c>
      <c r="Y36" s="92">
        <f>33750+33750</f>
        <v>67500</v>
      </c>
      <c r="Z36" s="27">
        <f t="shared" si="9"/>
        <v>0</v>
      </c>
      <c r="AA36" s="29">
        <v>0</v>
      </c>
      <c r="AB36" s="64">
        <v>0</v>
      </c>
      <c r="AC36" s="49">
        <f t="shared" si="10"/>
        <v>710000</v>
      </c>
      <c r="AD36" s="29">
        <v>710000</v>
      </c>
      <c r="AE36" s="57">
        <v>0</v>
      </c>
      <c r="AF36" s="49">
        <f t="shared" si="11"/>
        <v>0</v>
      </c>
      <c r="AG36" s="29">
        <v>0</v>
      </c>
      <c r="AH36" s="57">
        <v>0</v>
      </c>
      <c r="AI36" s="49">
        <f t="shared" si="12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 ht="19.899999999999999" customHeight="1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7"/>
        <v>540700</v>
      </c>
      <c r="P37" s="14" t="e">
        <f>+O37*#REF!</f>
        <v>#REF!</v>
      </c>
      <c r="Q37" s="14"/>
      <c r="R37" s="110">
        <f t="shared" si="1"/>
        <v>33850</v>
      </c>
      <c r="S37" s="111"/>
      <c r="T37" s="111"/>
      <c r="U37" s="111">
        <v>33850</v>
      </c>
      <c r="V37" s="112"/>
      <c r="W37" s="104">
        <f t="shared" si="8"/>
        <v>33850</v>
      </c>
      <c r="X37" s="92">
        <v>0</v>
      </c>
      <c r="Y37" s="97">
        <v>33850</v>
      </c>
      <c r="Z37" s="27">
        <f t="shared" si="9"/>
        <v>58850</v>
      </c>
      <c r="AA37" s="31"/>
      <c r="AB37" s="64">
        <f>29425*2</f>
        <v>58850</v>
      </c>
      <c r="AC37" s="49">
        <f t="shared" si="10"/>
        <v>448000</v>
      </c>
      <c r="AD37" s="29">
        <v>448000</v>
      </c>
      <c r="AE37" s="57">
        <v>0</v>
      </c>
      <c r="AF37" s="49">
        <f t="shared" si="11"/>
        <v>0</v>
      </c>
      <c r="AG37" s="29">
        <v>0</v>
      </c>
      <c r="AH37" s="57">
        <v>0</v>
      </c>
      <c r="AI37" s="49">
        <f t="shared" si="12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 ht="19.899999999999999" customHeight="1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7"/>
        <v>1112500</v>
      </c>
      <c r="P38" s="35" t="e">
        <f>+O38*#REF!</f>
        <v>#REF!</v>
      </c>
      <c r="Q38" s="32">
        <v>87500</v>
      </c>
      <c r="R38" s="110">
        <f t="shared" si="1"/>
        <v>0</v>
      </c>
      <c r="S38" s="111"/>
      <c r="T38" s="111"/>
      <c r="U38" s="111"/>
      <c r="V38" s="112"/>
      <c r="W38" s="104">
        <f t="shared" si="8"/>
        <v>150000</v>
      </c>
      <c r="X38" s="93">
        <v>0</v>
      </c>
      <c r="Y38" s="94">
        <v>150000</v>
      </c>
      <c r="Z38" s="27">
        <f t="shared" si="9"/>
        <v>62500</v>
      </c>
      <c r="AA38" s="29"/>
      <c r="AB38" s="56">
        <v>62500</v>
      </c>
      <c r="AC38" s="49">
        <f t="shared" si="10"/>
        <v>900000</v>
      </c>
      <c r="AD38" s="29">
        <f>1200000-300000</f>
        <v>900000</v>
      </c>
      <c r="AE38" s="57">
        <v>0</v>
      </c>
      <c r="AF38" s="49">
        <f t="shared" si="11"/>
        <v>0</v>
      </c>
      <c r="AG38" s="29">
        <v>0</v>
      </c>
      <c r="AH38" s="57">
        <v>0</v>
      </c>
      <c r="AI38" s="49">
        <f t="shared" si="12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 ht="19.899999999999999" customHeight="1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7"/>
        <v>473411.62492201535</v>
      </c>
      <c r="P39" s="14" t="e">
        <f>+O39*#REF!</f>
        <v>#REF!</v>
      </c>
      <c r="Q39" s="14"/>
      <c r="R39" s="110">
        <f t="shared" si="1"/>
        <v>0</v>
      </c>
      <c r="S39" s="111"/>
      <c r="T39" s="111"/>
      <c r="U39" s="111"/>
      <c r="V39" s="112"/>
      <c r="W39" s="104">
        <f t="shared" si="8"/>
        <v>14375.044922015382</v>
      </c>
      <c r="X39" s="98">
        <f>20000/1.3913</f>
        <v>14375.044922015382</v>
      </c>
      <c r="Y39" s="94">
        <v>0</v>
      </c>
      <c r="Z39" s="27">
        <f t="shared" si="9"/>
        <v>109036.57999999999</v>
      </c>
      <c r="AA39" s="29">
        <v>43506.63</v>
      </c>
      <c r="AB39" s="64">
        <v>65529.95</v>
      </c>
      <c r="AC39" s="49">
        <f t="shared" si="10"/>
        <v>350000</v>
      </c>
      <c r="AD39" s="29">
        <v>350000</v>
      </c>
      <c r="AE39" s="57">
        <v>0</v>
      </c>
      <c r="AF39" s="49">
        <f t="shared" si="11"/>
        <v>0</v>
      </c>
      <c r="AG39" s="29">
        <v>0</v>
      </c>
      <c r="AH39" s="57">
        <v>0</v>
      </c>
      <c r="AI39" s="49">
        <f t="shared" si="12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 ht="19.899999999999999" customHeight="1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7"/>
        <v>213600</v>
      </c>
      <c r="P40" s="14" t="e">
        <f>+O40*#REF!</f>
        <v>#REF!</v>
      </c>
      <c r="Q40" s="14"/>
      <c r="R40" s="110">
        <f t="shared" si="1"/>
        <v>0</v>
      </c>
      <c r="S40" s="111"/>
      <c r="T40" s="111"/>
      <c r="U40" s="111"/>
      <c r="V40" s="112"/>
      <c r="W40" s="104">
        <f t="shared" si="8"/>
        <v>23733.333333333336</v>
      </c>
      <c r="X40" s="93">
        <v>0</v>
      </c>
      <c r="Y40" s="94">
        <f>35600-AB40</f>
        <v>23733.333333333336</v>
      </c>
      <c r="Z40" s="27">
        <f t="shared" si="9"/>
        <v>11866.666666666666</v>
      </c>
      <c r="AA40" s="29"/>
      <c r="AB40" s="64">
        <f>35600/12*4</f>
        <v>11866.666666666666</v>
      </c>
      <c r="AC40" s="49">
        <f t="shared" si="10"/>
        <v>178000</v>
      </c>
      <c r="AD40" s="29">
        <v>178000</v>
      </c>
      <c r="AE40" s="57">
        <v>0</v>
      </c>
      <c r="AF40" s="49">
        <f t="shared" si="11"/>
        <v>0</v>
      </c>
      <c r="AG40" s="29">
        <v>0</v>
      </c>
      <c r="AH40" s="57">
        <v>0</v>
      </c>
      <c r="AI40" s="49">
        <f t="shared" si="12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19.899999999999999" customHeight="1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7"/>
        <v>1108687</v>
      </c>
      <c r="P41" s="14" t="e">
        <f>+O41*#REF!</f>
        <v>#REF!</v>
      </c>
      <c r="Q41" s="14"/>
      <c r="R41" s="110">
        <f t="shared" si="1"/>
        <v>0</v>
      </c>
      <c r="S41" s="111"/>
      <c r="T41" s="111"/>
      <c r="U41" s="111"/>
      <c r="V41" s="112"/>
      <c r="W41" s="104">
        <f t="shared" si="8"/>
        <v>9487</v>
      </c>
      <c r="X41" s="92">
        <v>9487</v>
      </c>
      <c r="Y41" s="94"/>
      <c r="Z41" s="27">
        <f t="shared" si="9"/>
        <v>1099200</v>
      </c>
      <c r="AA41" s="29">
        <f>343500+572500+183200</f>
        <v>1099200</v>
      </c>
      <c r="AB41" s="64"/>
      <c r="AC41" s="49">
        <f t="shared" si="10"/>
        <v>0</v>
      </c>
      <c r="AD41" s="29">
        <v>0</v>
      </c>
      <c r="AE41" s="57">
        <v>0</v>
      </c>
      <c r="AF41" s="49">
        <f t="shared" si="11"/>
        <v>0</v>
      </c>
      <c r="AG41" s="29">
        <v>0</v>
      </c>
      <c r="AH41" s="57">
        <v>0</v>
      </c>
      <c r="AI41" s="49">
        <f t="shared" si="12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 ht="19.899999999999999" customHeight="1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7"/>
        <v>520000</v>
      </c>
      <c r="P42" s="14" t="e">
        <f>+O42*#REF!</f>
        <v>#REF!</v>
      </c>
      <c r="Q42" s="14"/>
      <c r="R42" s="110">
        <f t="shared" si="1"/>
        <v>70000</v>
      </c>
      <c r="S42" s="111"/>
      <c r="T42" s="111"/>
      <c r="U42" s="111">
        <v>70000</v>
      </c>
      <c r="V42" s="112"/>
      <c r="W42" s="104">
        <f t="shared" si="8"/>
        <v>0</v>
      </c>
      <c r="X42" s="93">
        <v>0</v>
      </c>
      <c r="Y42" s="94"/>
      <c r="Z42" s="27">
        <f t="shared" si="9"/>
        <v>520000</v>
      </c>
      <c r="AA42" s="29">
        <f>434000+64500+21500</f>
        <v>520000</v>
      </c>
      <c r="AB42" s="64"/>
      <c r="AC42" s="49">
        <f t="shared" si="10"/>
        <v>0</v>
      </c>
      <c r="AD42" s="29">
        <v>0</v>
      </c>
      <c r="AE42" s="57">
        <v>0</v>
      </c>
      <c r="AF42" s="49">
        <f t="shared" si="11"/>
        <v>0</v>
      </c>
      <c r="AG42" s="29">
        <v>0</v>
      </c>
      <c r="AH42" s="57">
        <v>0</v>
      </c>
      <c r="AI42" s="49">
        <f t="shared" si="12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 ht="19.899999999999999" customHeight="1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7"/>
        <v>303873.14058837976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9"/>
        <v>234500.32</v>
      </c>
      <c r="AA43" s="29">
        <v>234500.32</v>
      </c>
      <c r="AB43" s="64"/>
      <c r="AC43" s="49">
        <f t="shared" si="10"/>
        <v>0</v>
      </c>
      <c r="AD43" s="29">
        <v>0</v>
      </c>
      <c r="AE43" s="57">
        <v>0</v>
      </c>
      <c r="AF43" s="49">
        <f t="shared" si="11"/>
        <v>0</v>
      </c>
      <c r="AG43" s="29">
        <v>0</v>
      </c>
      <c r="AH43" s="57">
        <v>0</v>
      </c>
      <c r="AI43" s="49">
        <f t="shared" si="12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 ht="19.899999999999999" customHeight="1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7"/>
        <v>336571</v>
      </c>
      <c r="P44" s="14" t="e">
        <f>+O44*#REF!</f>
        <v>#REF!</v>
      </c>
      <c r="Q44" s="32">
        <v>12429</v>
      </c>
      <c r="R44" s="110">
        <f t="shared" ref="R44:R71" si="13">+SUM(S44:V44)</f>
        <v>0</v>
      </c>
      <c r="S44" s="111"/>
      <c r="T44" s="111"/>
      <c r="U44" s="111"/>
      <c r="V44" s="112"/>
      <c r="W44" s="104">
        <f t="shared" si="8"/>
        <v>16571</v>
      </c>
      <c r="X44" s="92">
        <v>0</v>
      </c>
      <c r="Y44" s="97">
        <v>16571</v>
      </c>
      <c r="Z44" s="27">
        <f t="shared" si="9"/>
        <v>320000</v>
      </c>
      <c r="AA44" s="29">
        <v>320000</v>
      </c>
      <c r="AB44" s="64"/>
      <c r="AC44" s="49">
        <f t="shared" si="10"/>
        <v>0</v>
      </c>
      <c r="AD44" s="29"/>
      <c r="AE44" s="57"/>
      <c r="AF44" s="49">
        <f t="shared" si="11"/>
        <v>0</v>
      </c>
      <c r="AG44" s="29"/>
      <c r="AH44" s="57"/>
      <c r="AI44" s="49">
        <f t="shared" si="12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19.899999999999999" customHeight="1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7"/>
        <v>313301.27</v>
      </c>
      <c r="P45" s="25">
        <v>415000</v>
      </c>
      <c r="Q45" s="27"/>
      <c r="R45" s="110">
        <f>+SUM(T45:V45)</f>
        <v>270000</v>
      </c>
      <c r="S45" s="113"/>
      <c r="T45" s="113"/>
      <c r="U45" s="111">
        <v>270000</v>
      </c>
      <c r="V45" s="114"/>
      <c r="W45" s="104">
        <f t="shared" si="8"/>
        <v>0</v>
      </c>
      <c r="X45" s="92">
        <v>0</v>
      </c>
      <c r="Y45" s="99">
        <v>0</v>
      </c>
      <c r="Z45" s="27">
        <f t="shared" si="9"/>
        <v>313301.27</v>
      </c>
      <c r="AA45" s="29">
        <v>313301.27</v>
      </c>
      <c r="AB45" s="64"/>
      <c r="AC45" s="49">
        <f t="shared" si="10"/>
        <v>0</v>
      </c>
      <c r="AD45" s="29"/>
      <c r="AE45" s="57"/>
      <c r="AF45" s="49">
        <f t="shared" si="11"/>
        <v>0</v>
      </c>
      <c r="AG45" s="29"/>
      <c r="AH45" s="57"/>
      <c r="AI45" s="49">
        <f t="shared" si="12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19.899999999999999" customHeight="1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7"/>
        <v>386296.3</v>
      </c>
      <c r="P46" s="25">
        <v>509000</v>
      </c>
      <c r="Q46" s="27"/>
      <c r="R46" s="110">
        <f t="shared" si="13"/>
        <v>120000</v>
      </c>
      <c r="S46" s="113"/>
      <c r="T46" s="113"/>
      <c r="U46" s="111">
        <v>120000</v>
      </c>
      <c r="V46" s="114"/>
      <c r="W46" s="104">
        <f t="shared" si="8"/>
        <v>0</v>
      </c>
      <c r="X46" s="92">
        <v>0</v>
      </c>
      <c r="Y46" s="99">
        <v>0</v>
      </c>
      <c r="Z46" s="27">
        <f t="shared" si="9"/>
        <v>386296.3</v>
      </c>
      <c r="AA46" s="29">
        <v>386296.3</v>
      </c>
      <c r="AB46" s="64"/>
      <c r="AC46" s="49">
        <f t="shared" si="10"/>
        <v>0</v>
      </c>
      <c r="AD46" s="29"/>
      <c r="AE46" s="57"/>
      <c r="AF46" s="49">
        <f t="shared" si="11"/>
        <v>0</v>
      </c>
      <c r="AG46" s="29"/>
      <c r="AH46" s="57"/>
      <c r="AI46" s="49">
        <f t="shared" si="12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19.899999999999999" customHeight="1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7"/>
        <v>650000</v>
      </c>
      <c r="P47" s="14" t="e">
        <f>+O47*#REF!</f>
        <v>#REF!</v>
      </c>
      <c r="Q47" s="27"/>
      <c r="R47" s="110">
        <f t="shared" si="13"/>
        <v>0</v>
      </c>
      <c r="S47" s="113"/>
      <c r="T47" s="113"/>
      <c r="U47" s="111"/>
      <c r="V47" s="114"/>
      <c r="W47" s="104">
        <f t="shared" si="8"/>
        <v>0</v>
      </c>
      <c r="X47" s="92">
        <v>0</v>
      </c>
      <c r="Y47" s="99">
        <v>0</v>
      </c>
      <c r="Z47" s="27">
        <f t="shared" si="9"/>
        <v>650000</v>
      </c>
      <c r="AA47" s="29">
        <v>650000</v>
      </c>
      <c r="AB47" s="64"/>
      <c r="AC47" s="49">
        <f t="shared" si="10"/>
        <v>0</v>
      </c>
      <c r="AD47" s="29"/>
      <c r="AE47" s="57"/>
      <c r="AF47" s="49">
        <f t="shared" si="11"/>
        <v>0</v>
      </c>
      <c r="AG47" s="29"/>
      <c r="AH47" s="57"/>
      <c r="AI47" s="49">
        <f t="shared" si="12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19.899999999999999" customHeight="1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7"/>
        <v>286482.27</v>
      </c>
      <c r="P48" s="25">
        <v>375000</v>
      </c>
      <c r="Q48" s="27"/>
      <c r="R48" s="110">
        <f t="shared" si="13"/>
        <v>0</v>
      </c>
      <c r="S48" s="113"/>
      <c r="T48" s="113"/>
      <c r="U48" s="113"/>
      <c r="V48" s="114"/>
      <c r="W48" s="104">
        <f t="shared" si="8"/>
        <v>0</v>
      </c>
      <c r="X48" s="92">
        <v>0</v>
      </c>
      <c r="Y48" s="99">
        <v>0</v>
      </c>
      <c r="Z48" s="27">
        <f t="shared" si="9"/>
        <v>286482.27</v>
      </c>
      <c r="AA48" s="29">
        <v>286482.27</v>
      </c>
      <c r="AB48" s="64"/>
      <c r="AC48" s="49">
        <f t="shared" si="10"/>
        <v>0</v>
      </c>
      <c r="AD48" s="29"/>
      <c r="AE48" s="57"/>
      <c r="AF48" s="49">
        <f t="shared" si="11"/>
        <v>0</v>
      </c>
      <c r="AG48" s="29"/>
      <c r="AH48" s="57"/>
      <c r="AI48" s="49">
        <f t="shared" si="12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52" ht="19.899999999999999" customHeight="1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7"/>
        <v>460000</v>
      </c>
      <c r="P49" s="14" t="e">
        <f>+O49*#REF!</f>
        <v>#REF!</v>
      </c>
      <c r="Q49" s="31">
        <v>75000</v>
      </c>
      <c r="R49" s="110">
        <f t="shared" si="13"/>
        <v>20000</v>
      </c>
      <c r="S49" s="113"/>
      <c r="T49" s="113"/>
      <c r="U49" s="113"/>
      <c r="V49" s="114">
        <v>20000</v>
      </c>
      <c r="W49" s="104">
        <f t="shared" si="8"/>
        <v>0</v>
      </c>
      <c r="X49" s="92">
        <v>0</v>
      </c>
      <c r="Y49" s="99">
        <v>0</v>
      </c>
      <c r="Z49" s="27">
        <f t="shared" si="9"/>
        <v>460000</v>
      </c>
      <c r="AA49" s="29">
        <v>460000</v>
      </c>
      <c r="AB49" s="64"/>
      <c r="AC49" s="49">
        <f t="shared" si="10"/>
        <v>0</v>
      </c>
      <c r="AD49" s="29"/>
      <c r="AE49" s="57"/>
      <c r="AF49" s="49">
        <f t="shared" si="11"/>
        <v>0</v>
      </c>
      <c r="AG49" s="29"/>
      <c r="AH49" s="57"/>
      <c r="AI49" s="49">
        <f t="shared" si="12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52" ht="19.899999999999999" customHeight="1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7"/>
        <v>335000</v>
      </c>
      <c r="P50" s="14" t="e">
        <f>+O50*#REF!</f>
        <v>#REF!</v>
      </c>
      <c r="Q50" s="27"/>
      <c r="R50" s="110">
        <f t="shared" si="13"/>
        <v>0</v>
      </c>
      <c r="S50" s="113"/>
      <c r="T50" s="113"/>
      <c r="U50" s="113"/>
      <c r="V50" s="114"/>
      <c r="W50" s="104">
        <f t="shared" si="8"/>
        <v>0</v>
      </c>
      <c r="X50" s="92">
        <v>0</v>
      </c>
      <c r="Y50" s="99">
        <v>0</v>
      </c>
      <c r="Z50" s="27">
        <f t="shared" si="9"/>
        <v>335000</v>
      </c>
      <c r="AA50" s="29">
        <v>335000</v>
      </c>
      <c r="AB50" s="64"/>
      <c r="AC50" s="49">
        <f t="shared" si="10"/>
        <v>0</v>
      </c>
      <c r="AD50" s="29"/>
      <c r="AE50" s="57"/>
      <c r="AF50" s="49">
        <f t="shared" si="11"/>
        <v>0</v>
      </c>
      <c r="AG50" s="29"/>
      <c r="AH50" s="57"/>
      <c r="AI50" s="49">
        <f t="shared" si="12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52" ht="19.899999999999999" customHeight="1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7"/>
        <v>400000</v>
      </c>
      <c r="P51" s="14" t="e">
        <f>+O51*#REF!</f>
        <v>#REF!</v>
      </c>
      <c r="Q51" s="27"/>
      <c r="R51" s="110">
        <f t="shared" si="13"/>
        <v>50000</v>
      </c>
      <c r="S51" s="113"/>
      <c r="T51" s="113"/>
      <c r="U51" s="113"/>
      <c r="V51" s="114">
        <v>50000</v>
      </c>
      <c r="W51" s="104">
        <f t="shared" si="8"/>
        <v>0</v>
      </c>
      <c r="X51" s="92">
        <v>0</v>
      </c>
      <c r="Y51" s="99">
        <v>0</v>
      </c>
      <c r="Z51" s="27">
        <f t="shared" si="9"/>
        <v>400000</v>
      </c>
      <c r="AA51" s="29">
        <v>400000</v>
      </c>
      <c r="AB51" s="64"/>
      <c r="AC51" s="49">
        <f t="shared" si="10"/>
        <v>0</v>
      </c>
      <c r="AD51" s="29"/>
      <c r="AE51" s="57"/>
      <c r="AF51" s="49">
        <f t="shared" si="11"/>
        <v>0</v>
      </c>
      <c r="AG51" s="29"/>
      <c r="AH51" s="57"/>
      <c r="AI51" s="49">
        <f t="shared" si="12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52" ht="19.899999999999999" customHeight="1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7"/>
        <v>255000</v>
      </c>
      <c r="P52" s="14" t="e">
        <f>+O52*#REF!</f>
        <v>#REF!</v>
      </c>
      <c r="Q52" s="27"/>
      <c r="R52" s="110">
        <f t="shared" si="13"/>
        <v>0</v>
      </c>
      <c r="S52" s="113"/>
      <c r="T52" s="113"/>
      <c r="U52" s="113"/>
      <c r="V52" s="114"/>
      <c r="W52" s="104">
        <f t="shared" si="8"/>
        <v>0</v>
      </c>
      <c r="X52" s="92">
        <v>0</v>
      </c>
      <c r="Y52" s="99">
        <v>0</v>
      </c>
      <c r="Z52" s="27">
        <f t="shared" si="9"/>
        <v>255000</v>
      </c>
      <c r="AA52" s="29">
        <v>255000</v>
      </c>
      <c r="AB52" s="64"/>
      <c r="AC52" s="49">
        <f t="shared" si="10"/>
        <v>0</v>
      </c>
      <c r="AD52" s="29"/>
      <c r="AE52" s="57"/>
      <c r="AF52" s="49">
        <f t="shared" si="11"/>
        <v>0</v>
      </c>
      <c r="AG52" s="29"/>
      <c r="AH52" s="57"/>
      <c r="AI52" s="49">
        <f t="shared" si="12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52" ht="19.899999999999999" customHeight="1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7"/>
        <v>210000</v>
      </c>
      <c r="P53" s="14" t="e">
        <f>+O53*#REF!</f>
        <v>#REF!</v>
      </c>
      <c r="Q53" s="27"/>
      <c r="R53" s="110">
        <f t="shared" si="13"/>
        <v>450000</v>
      </c>
      <c r="S53" s="113"/>
      <c r="T53" s="113"/>
      <c r="U53" s="113"/>
      <c r="V53" s="114">
        <v>450000</v>
      </c>
      <c r="W53" s="104">
        <f t="shared" si="8"/>
        <v>0</v>
      </c>
      <c r="X53" s="92">
        <v>0</v>
      </c>
      <c r="Y53" s="99">
        <v>0</v>
      </c>
      <c r="Z53" s="27">
        <f t="shared" si="9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52" ht="19.899999999999999" customHeight="1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/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7"/>
        <v>321120</v>
      </c>
      <c r="P54" s="14" t="e">
        <f>+O54*#REF!</f>
        <v>#REF!</v>
      </c>
      <c r="Q54" s="27"/>
      <c r="R54" s="110">
        <f t="shared" si="13"/>
        <v>0</v>
      </c>
      <c r="S54" s="113"/>
      <c r="T54" s="113"/>
      <c r="U54" s="113"/>
      <c r="V54" s="114"/>
      <c r="W54" s="104">
        <f t="shared" si="8"/>
        <v>0</v>
      </c>
      <c r="X54" s="92">
        <v>0</v>
      </c>
      <c r="Y54" s="99">
        <v>0</v>
      </c>
      <c r="Z54" s="27">
        <f t="shared" si="9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52" ht="19.899999999999999" customHeight="1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76">
        <f t="shared" si="7"/>
        <v>0</v>
      </c>
      <c r="P55" s="77" t="e">
        <f>+O55*#REF!</f>
        <v>#REF!</v>
      </c>
      <c r="Q55" s="79"/>
      <c r="R55" s="115">
        <f t="shared" si="13"/>
        <v>440000</v>
      </c>
      <c r="S55" s="116"/>
      <c r="T55" s="116"/>
      <c r="U55" s="116">
        <v>440000</v>
      </c>
      <c r="V55" s="117"/>
      <c r="W55" s="104">
        <f t="shared" si="8"/>
        <v>0</v>
      </c>
      <c r="X55" s="92">
        <v>0</v>
      </c>
      <c r="Y55" s="99">
        <v>0</v>
      </c>
      <c r="Z55" s="27">
        <f t="shared" si="9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52" ht="20.45" customHeight="1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7"/>
        <v>355000</v>
      </c>
      <c r="P56" s="14"/>
      <c r="Q56" s="27"/>
      <c r="R56" s="110">
        <f t="shared" si="13"/>
        <v>0</v>
      </c>
      <c r="S56" s="113">
        <v>0</v>
      </c>
      <c r="T56" s="113"/>
      <c r="U56" s="113"/>
      <c r="V56" s="114"/>
      <c r="W56" s="104">
        <f t="shared" si="8"/>
        <v>355000</v>
      </c>
      <c r="X56" s="92">
        <v>355000</v>
      </c>
      <c r="Y56" s="99">
        <v>0</v>
      </c>
      <c r="Z56" s="27">
        <f t="shared" si="9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52" ht="20.45" customHeight="1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ref="O57" si="14">+AL57+AI57+AF57+AC57+Z57+W57</f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>+X57+Y57</f>
        <v>322900.35681004828</v>
      </c>
      <c r="X57" s="92">
        <f>(220000/1.3635)+(220000/1.3618)</f>
        <v>322900.35681004828</v>
      </c>
      <c r="Y57" s="99">
        <v>0</v>
      </c>
      <c r="Z57" s="27">
        <f>+AA57+AB57</f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52" s="87" customFormat="1" ht="20.45" customHeight="1">
      <c r="A58" s="132"/>
      <c r="B58" s="73"/>
      <c r="C58" s="73" t="s">
        <v>309</v>
      </c>
      <c r="D58" s="62" t="s">
        <v>308</v>
      </c>
      <c r="E58" s="62" t="s">
        <v>294</v>
      </c>
      <c r="F58" s="74"/>
      <c r="G58" s="74"/>
      <c r="H58" s="62"/>
      <c r="I58" s="62" t="s">
        <v>111</v>
      </c>
      <c r="J58" s="62" t="s">
        <v>34</v>
      </c>
      <c r="K58" s="33" t="s">
        <v>103</v>
      </c>
      <c r="L58" s="33" t="s">
        <v>296</v>
      </c>
      <c r="M58" s="34"/>
      <c r="N58" s="75"/>
      <c r="O58" s="76">
        <f t="shared" si="7"/>
        <v>0</v>
      </c>
      <c r="P58" s="77"/>
      <c r="Q58" s="77"/>
      <c r="R58" s="115">
        <f t="shared" si="13"/>
        <v>405000</v>
      </c>
      <c r="S58" s="116"/>
      <c r="T58" s="116"/>
      <c r="U58" s="111">
        <v>405000</v>
      </c>
      <c r="V58" s="117"/>
      <c r="W58" s="105">
        <f t="shared" si="8"/>
        <v>0</v>
      </c>
      <c r="X58" s="100">
        <v>0</v>
      </c>
      <c r="Y58" s="101">
        <v>0</v>
      </c>
      <c r="Z58" s="79">
        <f t="shared" si="9"/>
        <v>0</v>
      </c>
      <c r="AA58" s="80"/>
      <c r="AB58" s="81"/>
      <c r="AC58" s="82"/>
      <c r="AD58" s="80"/>
      <c r="AE58" s="83"/>
      <c r="AF58" s="82"/>
      <c r="AG58" s="80"/>
      <c r="AH58" s="83"/>
      <c r="AI58" s="82"/>
      <c r="AJ58" s="80"/>
      <c r="AK58" s="83"/>
      <c r="AL58" s="84"/>
      <c r="AM58" s="85"/>
      <c r="AN58" s="86"/>
      <c r="AO58" s="86"/>
      <c r="AP58" s="77"/>
      <c r="AU58" s="88"/>
      <c r="AV58" s="88"/>
      <c r="AW58" s="77"/>
      <c r="AX58" s="86"/>
    </row>
    <row r="59" spans="1:52" s="87" customFormat="1" ht="20.45" customHeight="1">
      <c r="A59" s="133"/>
      <c r="B59" s="73"/>
      <c r="C59" s="73" t="s">
        <v>312</v>
      </c>
      <c r="D59" s="62" t="s">
        <v>107</v>
      </c>
      <c r="E59" s="62" t="s">
        <v>291</v>
      </c>
      <c r="F59" s="74"/>
      <c r="G59" s="74"/>
      <c r="H59" s="62"/>
      <c r="I59" s="62" t="s">
        <v>111</v>
      </c>
      <c r="J59" s="62" t="s">
        <v>43</v>
      </c>
      <c r="K59" s="33"/>
      <c r="L59" s="33" t="s">
        <v>377</v>
      </c>
      <c r="M59" s="34"/>
      <c r="N59" s="75"/>
      <c r="O59" s="76">
        <f t="shared" si="7"/>
        <v>0</v>
      </c>
      <c r="P59" s="77"/>
      <c r="Q59" s="77"/>
      <c r="R59" s="115">
        <f t="shared" si="13"/>
        <v>510000</v>
      </c>
      <c r="S59" s="116"/>
      <c r="T59" s="116"/>
      <c r="U59" s="111">
        <v>510000</v>
      </c>
      <c r="V59" s="117"/>
      <c r="W59" s="105">
        <f t="shared" si="8"/>
        <v>0</v>
      </c>
      <c r="X59" s="100">
        <v>0</v>
      </c>
      <c r="Y59" s="101">
        <v>0</v>
      </c>
      <c r="Z59" s="79">
        <f t="shared" si="9"/>
        <v>0</v>
      </c>
      <c r="AA59" s="80"/>
      <c r="AB59" s="81"/>
      <c r="AC59" s="82"/>
      <c r="AD59" s="80"/>
      <c r="AE59" s="83"/>
      <c r="AF59" s="82"/>
      <c r="AG59" s="80"/>
      <c r="AH59" s="83"/>
      <c r="AI59" s="82"/>
      <c r="AJ59" s="80"/>
      <c r="AK59" s="83"/>
      <c r="AL59" s="84"/>
      <c r="AM59" s="85"/>
      <c r="AN59" s="86"/>
      <c r="AO59" s="86"/>
      <c r="AP59" s="77"/>
      <c r="AU59" s="88"/>
      <c r="AV59" s="88"/>
      <c r="AW59" s="77"/>
      <c r="AX59" s="86"/>
    </row>
    <row r="60" spans="1:52" s="87" customFormat="1" ht="20.45" customHeight="1">
      <c r="A60" s="134"/>
      <c r="B60" s="73"/>
      <c r="C60" s="73" t="s">
        <v>313</v>
      </c>
      <c r="D60" s="62" t="s">
        <v>107</v>
      </c>
      <c r="E60" s="62" t="s">
        <v>291</v>
      </c>
      <c r="F60" s="74"/>
      <c r="G60" s="74"/>
      <c r="H60" s="62"/>
      <c r="I60" s="62" t="s">
        <v>111</v>
      </c>
      <c r="J60" s="62" t="s">
        <v>34</v>
      </c>
      <c r="K60" s="33"/>
      <c r="L60" s="33" t="s">
        <v>377</v>
      </c>
      <c r="M60" s="34"/>
      <c r="N60" s="75"/>
      <c r="O60" s="76">
        <f t="shared" si="7"/>
        <v>0</v>
      </c>
      <c r="P60" s="77"/>
      <c r="Q60" s="77"/>
      <c r="R60" s="115">
        <f t="shared" si="13"/>
        <v>420000</v>
      </c>
      <c r="S60" s="116"/>
      <c r="T60" s="116"/>
      <c r="U60" s="111">
        <v>420000</v>
      </c>
      <c r="V60" s="117"/>
      <c r="W60" s="105">
        <f t="shared" si="8"/>
        <v>0</v>
      </c>
      <c r="X60" s="100">
        <v>0</v>
      </c>
      <c r="Y60" s="101">
        <v>0</v>
      </c>
      <c r="Z60" s="79">
        <f t="shared" si="9"/>
        <v>0</v>
      </c>
      <c r="AA60" s="80"/>
      <c r="AB60" s="81"/>
      <c r="AC60" s="82"/>
      <c r="AD60" s="80"/>
      <c r="AE60" s="83"/>
      <c r="AF60" s="82"/>
      <c r="AG60" s="80"/>
      <c r="AH60" s="83"/>
      <c r="AI60" s="82"/>
      <c r="AJ60" s="80"/>
      <c r="AK60" s="83"/>
      <c r="AL60" s="84"/>
      <c r="AM60" s="85"/>
      <c r="AN60" s="86"/>
      <c r="AO60" s="86"/>
      <c r="AP60" s="77"/>
      <c r="AU60" s="88"/>
      <c r="AV60" s="88"/>
      <c r="AW60" s="77"/>
      <c r="AX60" s="86"/>
    </row>
    <row r="61" spans="1:52" s="87" customFormat="1" ht="20.45" customHeight="1">
      <c r="A61" s="132"/>
      <c r="B61" s="73"/>
      <c r="C61" s="73" t="s">
        <v>332</v>
      </c>
      <c r="D61" s="62" t="s">
        <v>355</v>
      </c>
      <c r="E61" s="62" t="s">
        <v>339</v>
      </c>
      <c r="F61" s="74"/>
      <c r="G61" s="74"/>
      <c r="H61" s="62"/>
      <c r="I61" s="62" t="s">
        <v>33</v>
      </c>
      <c r="J61" s="62" t="s">
        <v>34</v>
      </c>
      <c r="K61" s="33"/>
      <c r="L61" s="33"/>
      <c r="M61" s="34"/>
      <c r="N61" s="75"/>
      <c r="O61" s="76">
        <f t="shared" si="7"/>
        <v>0</v>
      </c>
      <c r="P61" s="77"/>
      <c r="Q61" s="77"/>
      <c r="R61" s="115">
        <f t="shared" si="13"/>
        <v>486000</v>
      </c>
      <c r="S61" s="116"/>
      <c r="T61" s="116"/>
      <c r="U61" s="111">
        <v>486000</v>
      </c>
      <c r="V61" s="117"/>
      <c r="W61" s="105">
        <f t="shared" si="8"/>
        <v>0</v>
      </c>
      <c r="X61" s="100">
        <v>0</v>
      </c>
      <c r="Y61" s="101">
        <v>0</v>
      </c>
      <c r="Z61" s="79">
        <f t="shared" si="9"/>
        <v>0</v>
      </c>
      <c r="AA61" s="80"/>
      <c r="AB61" s="81"/>
      <c r="AC61" s="82"/>
      <c r="AD61" s="80"/>
      <c r="AE61" s="83"/>
      <c r="AF61" s="82"/>
      <c r="AG61" s="80"/>
      <c r="AH61" s="83"/>
      <c r="AI61" s="82"/>
      <c r="AJ61" s="80"/>
      <c r="AK61" s="83"/>
      <c r="AL61" s="84"/>
      <c r="AM61" s="85"/>
      <c r="AN61" s="86"/>
      <c r="AO61" s="86"/>
      <c r="AP61" s="77"/>
      <c r="AU61" s="88"/>
      <c r="AV61" s="88"/>
      <c r="AW61" s="77"/>
      <c r="AX61" s="86"/>
    </row>
    <row r="62" spans="1:52" s="87" customFormat="1" ht="20.45" customHeight="1">
      <c r="A62" s="133"/>
      <c r="B62" s="73"/>
      <c r="C62" s="73" t="s">
        <v>343</v>
      </c>
      <c r="D62" s="62" t="s">
        <v>348</v>
      </c>
      <c r="E62" s="62" t="s">
        <v>294</v>
      </c>
      <c r="F62" s="74"/>
      <c r="G62" s="74"/>
      <c r="H62" s="62"/>
      <c r="I62" s="62" t="s">
        <v>33</v>
      </c>
      <c r="J62" s="62"/>
      <c r="K62" s="33"/>
      <c r="L62" s="33"/>
      <c r="M62" s="34"/>
      <c r="N62" s="75"/>
      <c r="O62" s="76">
        <f t="shared" si="7"/>
        <v>0</v>
      </c>
      <c r="P62" s="77"/>
      <c r="Q62" s="77"/>
      <c r="R62" s="115">
        <f t="shared" si="13"/>
        <v>300000</v>
      </c>
      <c r="S62" s="116"/>
      <c r="T62" s="116"/>
      <c r="U62" s="111">
        <v>300000</v>
      </c>
      <c r="V62" s="117"/>
      <c r="W62" s="105">
        <f t="shared" si="8"/>
        <v>0</v>
      </c>
      <c r="X62" s="100">
        <v>0</v>
      </c>
      <c r="Y62" s="101">
        <v>0</v>
      </c>
      <c r="Z62" s="79">
        <f t="shared" si="9"/>
        <v>0</v>
      </c>
      <c r="AA62" s="80"/>
      <c r="AB62" s="81"/>
      <c r="AC62" s="82"/>
      <c r="AD62" s="80"/>
      <c r="AE62" s="83"/>
      <c r="AF62" s="82"/>
      <c r="AG62" s="80"/>
      <c r="AH62" s="83"/>
      <c r="AI62" s="82"/>
      <c r="AJ62" s="80"/>
      <c r="AK62" s="83"/>
      <c r="AL62" s="84"/>
      <c r="AM62" s="85"/>
      <c r="AN62" s="86"/>
      <c r="AO62" s="86"/>
      <c r="AP62" s="77"/>
      <c r="AU62" s="88"/>
      <c r="AV62" s="88"/>
      <c r="AW62" s="77"/>
      <c r="AX62" s="86"/>
    </row>
    <row r="63" spans="1:52" s="87" customFormat="1" ht="20.45" customHeight="1">
      <c r="A63" s="134"/>
      <c r="B63" s="73"/>
      <c r="C63" s="73" t="s">
        <v>337</v>
      </c>
      <c r="D63" s="62" t="s">
        <v>94</v>
      </c>
      <c r="E63" s="62" t="s">
        <v>292</v>
      </c>
      <c r="F63" s="74"/>
      <c r="G63" s="74"/>
      <c r="H63" s="62"/>
      <c r="I63" s="62" t="s">
        <v>64</v>
      </c>
      <c r="J63" s="62"/>
      <c r="K63" s="33"/>
      <c r="L63" s="33"/>
      <c r="M63" s="34"/>
      <c r="N63" s="75"/>
      <c r="O63" s="76">
        <f t="shared" si="7"/>
        <v>0</v>
      </c>
      <c r="P63" s="77"/>
      <c r="Q63" s="77"/>
      <c r="R63" s="115">
        <f t="shared" si="13"/>
        <v>350000</v>
      </c>
      <c r="S63" s="116"/>
      <c r="T63" s="116"/>
      <c r="U63" s="111">
        <v>350000</v>
      </c>
      <c r="V63" s="117"/>
      <c r="W63" s="105">
        <f t="shared" si="8"/>
        <v>0</v>
      </c>
      <c r="X63" s="100">
        <v>0</v>
      </c>
      <c r="Y63" s="101">
        <v>0</v>
      </c>
      <c r="Z63" s="79">
        <f t="shared" si="9"/>
        <v>0</v>
      </c>
      <c r="AA63" s="80"/>
      <c r="AB63" s="81"/>
      <c r="AC63" s="82"/>
      <c r="AD63" s="80"/>
      <c r="AE63" s="83"/>
      <c r="AF63" s="82"/>
      <c r="AG63" s="80"/>
      <c r="AH63" s="83"/>
      <c r="AI63" s="82"/>
      <c r="AJ63" s="80"/>
      <c r="AK63" s="83"/>
      <c r="AL63" s="84"/>
      <c r="AM63" s="85"/>
      <c r="AN63" s="86"/>
      <c r="AO63" s="86"/>
      <c r="AP63" s="77"/>
      <c r="AU63" s="88"/>
      <c r="AV63" s="88"/>
      <c r="AW63" s="77"/>
      <c r="AX63" s="86"/>
    </row>
    <row r="64" spans="1:52" s="87" customFormat="1" ht="20.45" customHeight="1">
      <c r="A64" s="132"/>
      <c r="B64" s="73"/>
      <c r="C64" s="73" t="s">
        <v>333</v>
      </c>
      <c r="D64" s="62" t="s">
        <v>142</v>
      </c>
      <c r="E64" s="62" t="s">
        <v>292</v>
      </c>
      <c r="F64" s="74"/>
      <c r="G64" s="74"/>
      <c r="H64" s="62"/>
      <c r="I64" s="62" t="s">
        <v>33</v>
      </c>
      <c r="J64" s="62"/>
      <c r="K64" s="33"/>
      <c r="L64" s="33"/>
      <c r="M64" s="34"/>
      <c r="N64" s="75"/>
      <c r="O64" s="76">
        <f t="shared" si="7"/>
        <v>0</v>
      </c>
      <c r="P64" s="77"/>
      <c r="Q64" s="77"/>
      <c r="R64" s="115">
        <f t="shared" si="13"/>
        <v>300000</v>
      </c>
      <c r="S64" s="116"/>
      <c r="T64" s="116"/>
      <c r="U64" s="111">
        <v>300000</v>
      </c>
      <c r="V64" s="117"/>
      <c r="W64" s="105">
        <f t="shared" si="8"/>
        <v>0</v>
      </c>
      <c r="X64" s="100">
        <v>0</v>
      </c>
      <c r="Y64" s="101">
        <v>0</v>
      </c>
      <c r="Z64" s="79">
        <f t="shared" si="9"/>
        <v>0</v>
      </c>
      <c r="AA64" s="80"/>
      <c r="AB64" s="81"/>
      <c r="AC64" s="82"/>
      <c r="AD64" s="80"/>
      <c r="AE64" s="83"/>
      <c r="AF64" s="82"/>
      <c r="AG64" s="80"/>
      <c r="AH64" s="83"/>
      <c r="AI64" s="82"/>
      <c r="AJ64" s="80"/>
      <c r="AK64" s="83"/>
      <c r="AL64" s="84"/>
      <c r="AM64" s="85"/>
      <c r="AN64" s="86"/>
      <c r="AO64" s="86"/>
      <c r="AP64" s="77"/>
      <c r="AU64" s="88"/>
      <c r="AV64" s="88"/>
      <c r="AW64" s="77"/>
      <c r="AX64" s="86"/>
    </row>
    <row r="65" spans="1:50" s="87" customFormat="1" ht="20.45" customHeight="1">
      <c r="A65" s="133"/>
      <c r="B65" s="73"/>
      <c r="C65" s="73" t="s">
        <v>364</v>
      </c>
      <c r="D65" s="62" t="s">
        <v>118</v>
      </c>
      <c r="E65" s="62" t="s">
        <v>292</v>
      </c>
      <c r="F65" s="74"/>
      <c r="G65" s="74"/>
      <c r="H65" s="62"/>
      <c r="I65" s="62" t="s">
        <v>64</v>
      </c>
      <c r="J65" s="62"/>
      <c r="K65" s="33"/>
      <c r="L65" s="33" t="s">
        <v>368</v>
      </c>
      <c r="M65" s="34"/>
      <c r="N65" s="75"/>
      <c r="O65" s="76">
        <f t="shared" si="7"/>
        <v>0</v>
      </c>
      <c r="P65" s="77"/>
      <c r="Q65" s="77"/>
      <c r="R65" s="115">
        <f t="shared" si="13"/>
        <v>600000</v>
      </c>
      <c r="S65" s="116"/>
      <c r="T65" s="116"/>
      <c r="U65" s="111">
        <v>600000</v>
      </c>
      <c r="V65" s="117"/>
      <c r="W65" s="105">
        <f t="shared" si="8"/>
        <v>0</v>
      </c>
      <c r="X65" s="100">
        <v>0</v>
      </c>
      <c r="Y65" s="101">
        <v>0</v>
      </c>
      <c r="Z65" s="79">
        <f t="shared" si="9"/>
        <v>0</v>
      </c>
      <c r="AA65" s="80"/>
      <c r="AB65" s="81"/>
      <c r="AC65" s="82"/>
      <c r="AD65" s="80"/>
      <c r="AE65" s="83"/>
      <c r="AF65" s="82"/>
      <c r="AG65" s="80"/>
      <c r="AH65" s="83"/>
      <c r="AI65" s="82"/>
      <c r="AJ65" s="80"/>
      <c r="AK65" s="83"/>
      <c r="AL65" s="84"/>
      <c r="AM65" s="85"/>
      <c r="AN65" s="86"/>
      <c r="AO65" s="86"/>
      <c r="AP65" s="77"/>
      <c r="AU65" s="88"/>
      <c r="AV65" s="88"/>
      <c r="AW65" s="77"/>
      <c r="AX65" s="86"/>
    </row>
    <row r="66" spans="1:50" s="87" customFormat="1" ht="20.45" customHeight="1">
      <c r="A66" s="134"/>
      <c r="B66" s="73"/>
      <c r="C66" s="73" t="s">
        <v>365</v>
      </c>
      <c r="D66" s="62" t="s">
        <v>118</v>
      </c>
      <c r="E66" s="62"/>
      <c r="F66" s="74"/>
      <c r="G66" s="74"/>
      <c r="H66" s="62"/>
      <c r="I66" s="62" t="s">
        <v>64</v>
      </c>
      <c r="J66" s="62"/>
      <c r="K66" s="33"/>
      <c r="L66" s="33" t="s">
        <v>120</v>
      </c>
      <c r="M66" s="34"/>
      <c r="N66" s="75"/>
      <c r="O66" s="76">
        <f t="shared" si="7"/>
        <v>0</v>
      </c>
      <c r="P66" s="77"/>
      <c r="Q66" s="77"/>
      <c r="R66" s="115">
        <f t="shared" si="13"/>
        <v>280000</v>
      </c>
      <c r="S66" s="116"/>
      <c r="T66" s="116"/>
      <c r="U66" s="111">
        <v>280000</v>
      </c>
      <c r="V66" s="117"/>
      <c r="W66" s="105">
        <f t="shared" si="8"/>
        <v>0</v>
      </c>
      <c r="X66" s="100">
        <v>0</v>
      </c>
      <c r="Y66" s="101">
        <v>0</v>
      </c>
      <c r="Z66" s="79"/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 ht="20.45" customHeight="1">
      <c r="A67" s="132"/>
      <c r="B67" s="73"/>
      <c r="C67" s="73" t="s">
        <v>334</v>
      </c>
      <c r="D67" s="62" t="s">
        <v>146</v>
      </c>
      <c r="E67" s="62" t="s">
        <v>292</v>
      </c>
      <c r="F67" s="74"/>
      <c r="G67" s="74"/>
      <c r="H67" s="62"/>
      <c r="I67" s="62" t="s">
        <v>64</v>
      </c>
      <c r="J67" s="62"/>
      <c r="K67" s="33"/>
      <c r="L67" s="33"/>
      <c r="M67" s="34"/>
      <c r="N67" s="75"/>
      <c r="O67" s="76">
        <f t="shared" si="7"/>
        <v>0</v>
      </c>
      <c r="P67" s="77"/>
      <c r="Q67" s="77"/>
      <c r="R67" s="115">
        <f t="shared" si="13"/>
        <v>500000</v>
      </c>
      <c r="S67" s="116"/>
      <c r="T67" s="116"/>
      <c r="U67" s="111">
        <v>500000</v>
      </c>
      <c r="V67" s="117"/>
      <c r="W67" s="105">
        <f t="shared" si="8"/>
        <v>0</v>
      </c>
      <c r="X67" s="100">
        <v>0</v>
      </c>
      <c r="Y67" s="101">
        <v>0</v>
      </c>
      <c r="Z67" s="79">
        <f t="shared" ref="Z67:Z75" si="15">+AA67+AB67</f>
        <v>0</v>
      </c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 ht="20.45" customHeight="1">
      <c r="A68" s="133"/>
      <c r="B68" s="73"/>
      <c r="C68" s="73" t="s">
        <v>369</v>
      </c>
      <c r="D68" s="62" t="s">
        <v>94</v>
      </c>
      <c r="E68" s="62"/>
      <c r="F68" s="74"/>
      <c r="G68" s="74"/>
      <c r="H68" s="62"/>
      <c r="I68" s="62" t="s">
        <v>64</v>
      </c>
      <c r="J68" s="62"/>
      <c r="K68" s="33"/>
      <c r="L68" s="33" t="s">
        <v>295</v>
      </c>
      <c r="M68" s="34"/>
      <c r="N68" s="75"/>
      <c r="O68" s="76">
        <f t="shared" si="7"/>
        <v>0</v>
      </c>
      <c r="P68" s="77"/>
      <c r="Q68" s="77"/>
      <c r="R68" s="115">
        <v>500000</v>
      </c>
      <c r="S68" s="116"/>
      <c r="T68" s="116"/>
      <c r="U68" s="111">
        <v>500000</v>
      </c>
      <c r="V68" s="117"/>
      <c r="W68" s="105">
        <f t="shared" si="8"/>
        <v>0</v>
      </c>
      <c r="X68" s="100">
        <v>0</v>
      </c>
      <c r="Y68" s="101">
        <v>0</v>
      </c>
      <c r="Z68" s="79"/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 ht="20.45" customHeight="1">
      <c r="A69" s="134"/>
      <c r="B69" s="73"/>
      <c r="C69" s="73" t="s">
        <v>338</v>
      </c>
      <c r="D69" s="62" t="s">
        <v>73</v>
      </c>
      <c r="E69" s="62" t="s">
        <v>293</v>
      </c>
      <c r="F69" s="74"/>
      <c r="G69" s="74"/>
      <c r="H69" s="62"/>
      <c r="I69" s="62" t="s">
        <v>50</v>
      </c>
      <c r="J69" s="62"/>
      <c r="K69" s="33"/>
      <c r="L69" s="33" t="s">
        <v>77</v>
      </c>
      <c r="M69" s="34"/>
      <c r="N69" s="75"/>
      <c r="O69" s="76">
        <f t="shared" si="7"/>
        <v>0</v>
      </c>
      <c r="P69" s="77"/>
      <c r="Q69" s="77"/>
      <c r="R69" s="115">
        <f>+SUM(T69:V69)</f>
        <v>380000</v>
      </c>
      <c r="S69" s="116"/>
      <c r="T69" s="116"/>
      <c r="U69" s="111">
        <v>380000</v>
      </c>
      <c r="V69" s="117"/>
      <c r="W69" s="105">
        <f t="shared" si="8"/>
        <v>0</v>
      </c>
      <c r="X69" s="100">
        <v>0</v>
      </c>
      <c r="Y69" s="101">
        <v>0</v>
      </c>
      <c r="Z69" s="79">
        <f t="shared" si="15"/>
        <v>0</v>
      </c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 ht="20.45" customHeight="1">
      <c r="A70" s="132"/>
      <c r="B70" s="73"/>
      <c r="C70" s="73" t="s">
        <v>366</v>
      </c>
      <c r="D70" s="62" t="s">
        <v>367</v>
      </c>
      <c r="E70" s="62"/>
      <c r="F70" s="74"/>
      <c r="G70" s="74"/>
      <c r="H70" s="62"/>
      <c r="I70" s="62" t="s">
        <v>33</v>
      </c>
      <c r="J70" s="62"/>
      <c r="K70" s="33"/>
      <c r="L70" s="33"/>
      <c r="M70" s="34"/>
      <c r="N70" s="75"/>
      <c r="O70" s="76">
        <f t="shared" si="7"/>
        <v>0</v>
      </c>
      <c r="P70" s="77"/>
      <c r="Q70" s="78"/>
      <c r="R70" s="115">
        <f t="shared" si="13"/>
        <v>250000</v>
      </c>
      <c r="S70" s="116"/>
      <c r="T70" s="116"/>
      <c r="U70" s="111">
        <v>250000</v>
      </c>
      <c r="V70" s="117"/>
      <c r="W70" s="105">
        <f t="shared" si="8"/>
        <v>0</v>
      </c>
      <c r="X70" s="100">
        <v>0</v>
      </c>
      <c r="Y70" s="101">
        <v>0</v>
      </c>
      <c r="Z70" s="79"/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 ht="20.45" customHeight="1">
      <c r="A71" s="133"/>
      <c r="B71" s="73"/>
      <c r="C71" s="73" t="s">
        <v>340</v>
      </c>
      <c r="D71" s="62" t="s">
        <v>356</v>
      </c>
      <c r="E71" s="62" t="s">
        <v>339</v>
      </c>
      <c r="F71" s="74"/>
      <c r="G71" s="74"/>
      <c r="H71" s="62"/>
      <c r="I71" s="62" t="s">
        <v>33</v>
      </c>
      <c r="J71" s="62"/>
      <c r="K71" s="33"/>
      <c r="L71" s="33"/>
      <c r="M71" s="34"/>
      <c r="N71" s="75"/>
      <c r="O71" s="76">
        <f t="shared" si="7"/>
        <v>0</v>
      </c>
      <c r="P71" s="77"/>
      <c r="Q71" s="78"/>
      <c r="R71" s="115">
        <f t="shared" si="13"/>
        <v>300000</v>
      </c>
      <c r="S71" s="116"/>
      <c r="T71" s="118"/>
      <c r="U71" s="111"/>
      <c r="V71" s="119">
        <v>300000</v>
      </c>
      <c r="W71" s="105">
        <f t="shared" si="8"/>
        <v>0</v>
      </c>
      <c r="X71" s="100">
        <v>0</v>
      </c>
      <c r="Y71" s="101">
        <v>0</v>
      </c>
      <c r="Z71" s="79">
        <f t="shared" si="15"/>
        <v>0</v>
      </c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 ht="20.45" customHeight="1">
      <c r="A72" s="134"/>
      <c r="B72" s="73"/>
      <c r="C72" s="73" t="s">
        <v>341</v>
      </c>
      <c r="D72" s="62" t="s">
        <v>357</v>
      </c>
      <c r="E72" s="62" t="s">
        <v>294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76">
        <f t="shared" si="7"/>
        <v>0</v>
      </c>
      <c r="P72" s="77"/>
      <c r="Q72" s="78"/>
      <c r="R72" s="115"/>
      <c r="S72" s="118"/>
      <c r="T72" s="118"/>
      <c r="U72" s="111"/>
      <c r="V72" s="119"/>
      <c r="W72" s="105">
        <f t="shared" si="8"/>
        <v>0</v>
      </c>
      <c r="X72" s="100">
        <v>0</v>
      </c>
      <c r="Y72" s="101">
        <v>0</v>
      </c>
      <c r="Z72" s="79">
        <f t="shared" si="15"/>
        <v>0</v>
      </c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 ht="20.45" customHeight="1">
      <c r="A73" s="132"/>
      <c r="B73" s="73"/>
      <c r="C73" s="73" t="s">
        <v>372</v>
      </c>
      <c r="D73" s="62" t="s">
        <v>267</v>
      </c>
      <c r="E73" s="62"/>
      <c r="F73" s="74"/>
      <c r="G73" s="74"/>
      <c r="H73" s="62"/>
      <c r="I73" s="62" t="s">
        <v>111</v>
      </c>
      <c r="J73" s="62"/>
      <c r="K73" s="33"/>
      <c r="L73" s="33" t="s">
        <v>373</v>
      </c>
      <c r="M73" s="34"/>
      <c r="N73" s="75"/>
      <c r="O73" s="76">
        <f t="shared" si="7"/>
        <v>0</v>
      </c>
      <c r="P73" s="77"/>
      <c r="Q73" s="78"/>
      <c r="R73" s="115">
        <f t="shared" ref="R73:R78" si="16">+SUM(S73:V73)</f>
        <v>608000</v>
      </c>
      <c r="S73" s="118"/>
      <c r="T73" s="118"/>
      <c r="U73" s="111">
        <v>608000</v>
      </c>
      <c r="V73" s="119"/>
      <c r="W73" s="105">
        <f t="shared" si="8"/>
        <v>0</v>
      </c>
      <c r="X73" s="100">
        <v>0</v>
      </c>
      <c r="Y73" s="101">
        <v>0</v>
      </c>
      <c r="Z73" s="79"/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 ht="20.45" customHeight="1">
      <c r="A74" s="133"/>
      <c r="B74" s="73"/>
      <c r="C74" s="73" t="s">
        <v>370</v>
      </c>
      <c r="D74" s="62" t="s">
        <v>371</v>
      </c>
      <c r="E74" s="62"/>
      <c r="F74" s="74"/>
      <c r="G74" s="74"/>
      <c r="H74" s="62"/>
      <c r="I74" s="62" t="s">
        <v>111</v>
      </c>
      <c r="J74" s="62"/>
      <c r="K74" s="33"/>
      <c r="L74" s="33" t="s">
        <v>374</v>
      </c>
      <c r="M74" s="34"/>
      <c r="N74" s="75"/>
      <c r="O74" s="76">
        <f t="shared" si="7"/>
        <v>0</v>
      </c>
      <c r="P74" s="77"/>
      <c r="Q74" s="78"/>
      <c r="R74" s="115">
        <f t="shared" si="16"/>
        <v>690000</v>
      </c>
      <c r="S74" s="118"/>
      <c r="T74" s="118"/>
      <c r="U74" s="111">
        <v>690000</v>
      </c>
      <c r="V74" s="119"/>
      <c r="W74" s="105">
        <f t="shared" si="8"/>
        <v>0</v>
      </c>
      <c r="X74" s="100">
        <v>0</v>
      </c>
      <c r="Y74" s="101">
        <v>0</v>
      </c>
      <c r="Z74" s="79"/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 ht="20.45" customHeight="1">
      <c r="A75" s="134"/>
      <c r="B75" s="73"/>
      <c r="C75" s="73" t="s">
        <v>342</v>
      </c>
      <c r="D75" s="62" t="s">
        <v>358</v>
      </c>
      <c r="E75" s="62" t="s">
        <v>294</v>
      </c>
      <c r="F75" s="74"/>
      <c r="G75" s="74"/>
      <c r="H75" s="62"/>
      <c r="I75" s="62" t="s">
        <v>33</v>
      </c>
      <c r="J75" s="62"/>
      <c r="K75" s="33"/>
      <c r="L75" s="33"/>
      <c r="M75" s="34"/>
      <c r="N75" s="75"/>
      <c r="O75" s="76">
        <f t="shared" si="7"/>
        <v>0</v>
      </c>
      <c r="P75" s="77"/>
      <c r="Q75" s="78"/>
      <c r="R75" s="115">
        <f t="shared" si="16"/>
        <v>300000</v>
      </c>
      <c r="S75" s="116"/>
      <c r="T75" s="118"/>
      <c r="U75" s="111">
        <v>300000</v>
      </c>
      <c r="V75" s="119"/>
      <c r="W75" s="105">
        <f t="shared" si="8"/>
        <v>0</v>
      </c>
      <c r="X75" s="100">
        <v>0</v>
      </c>
      <c r="Y75" s="101">
        <v>0</v>
      </c>
      <c r="Z75" s="79">
        <f t="shared" si="15"/>
        <v>0</v>
      </c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 ht="20.45" customHeight="1">
      <c r="A76" s="132"/>
      <c r="B76" s="73"/>
      <c r="C76" s="73" t="s">
        <v>375</v>
      </c>
      <c r="D76" s="62" t="s">
        <v>107</v>
      </c>
      <c r="E76" s="62"/>
      <c r="F76" s="74"/>
      <c r="G76" s="74"/>
      <c r="H76" s="62"/>
      <c r="I76" s="62" t="s">
        <v>111</v>
      </c>
      <c r="J76" s="62"/>
      <c r="K76" s="33"/>
      <c r="L76" s="33" t="s">
        <v>376</v>
      </c>
      <c r="M76" s="34"/>
      <c r="N76" s="75"/>
      <c r="O76" s="76">
        <f t="shared" si="7"/>
        <v>0</v>
      </c>
      <c r="P76" s="77"/>
      <c r="Q76" s="78"/>
      <c r="R76" s="115">
        <f t="shared" si="16"/>
        <v>450000</v>
      </c>
      <c r="S76" s="116"/>
      <c r="T76" s="118"/>
      <c r="U76" s="111">
        <v>450000</v>
      </c>
      <c r="V76" s="119"/>
      <c r="W76" s="105">
        <f t="shared" si="8"/>
        <v>0</v>
      </c>
      <c r="X76" s="100">
        <v>0</v>
      </c>
      <c r="Y76" s="101">
        <v>0</v>
      </c>
      <c r="Z76" s="79"/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 ht="20.45" customHeight="1">
      <c r="A77" s="133"/>
      <c r="B77" s="73"/>
      <c r="C77" s="73" t="s">
        <v>378</v>
      </c>
      <c r="D77" s="62" t="s">
        <v>379</v>
      </c>
      <c r="E77" s="62"/>
      <c r="F77" s="74"/>
      <c r="G77" s="74"/>
      <c r="H77" s="62"/>
      <c r="I77" s="62" t="s">
        <v>33</v>
      </c>
      <c r="J77" s="62"/>
      <c r="K77" s="33"/>
      <c r="L77" s="33" t="s">
        <v>380</v>
      </c>
      <c r="M77" s="34"/>
      <c r="N77" s="75"/>
      <c r="O77" s="76">
        <f t="shared" si="7"/>
        <v>0</v>
      </c>
      <c r="P77" s="77"/>
      <c r="Q77" s="78"/>
      <c r="R77" s="115">
        <f t="shared" si="16"/>
        <v>350000</v>
      </c>
      <c r="S77" s="116"/>
      <c r="T77" s="120"/>
      <c r="U77" s="111">
        <v>350000</v>
      </c>
      <c r="V77" s="119"/>
      <c r="W77" s="105">
        <f t="shared" si="8"/>
        <v>0</v>
      </c>
      <c r="X77" s="100">
        <v>0</v>
      </c>
      <c r="Y77" s="101">
        <v>0</v>
      </c>
      <c r="Z77" s="79"/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 ht="20.45" customHeight="1">
      <c r="A78" s="134"/>
      <c r="B78" s="73"/>
      <c r="C78" s="73" t="s">
        <v>349</v>
      </c>
      <c r="D78" s="62" t="s">
        <v>107</v>
      </c>
      <c r="E78" s="62" t="s">
        <v>291</v>
      </c>
      <c r="F78" s="74"/>
      <c r="G78" s="74"/>
      <c r="H78" s="62"/>
      <c r="I78" s="62" t="s">
        <v>111</v>
      </c>
      <c r="J78" s="62"/>
      <c r="K78" s="33"/>
      <c r="L78" s="33" t="s">
        <v>377</v>
      </c>
      <c r="M78" s="34"/>
      <c r="N78" s="75"/>
      <c r="O78" s="76">
        <f t="shared" si="7"/>
        <v>0</v>
      </c>
      <c r="P78" s="77"/>
      <c r="Q78" s="78"/>
      <c r="R78" s="115">
        <f t="shared" si="16"/>
        <v>350000</v>
      </c>
      <c r="S78" s="116"/>
      <c r="T78" s="120"/>
      <c r="U78" s="111">
        <v>350000</v>
      </c>
      <c r="V78" s="119"/>
      <c r="W78" s="105">
        <f t="shared" si="8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>
      <c r="B79" s="53"/>
      <c r="C79" s="54"/>
      <c r="D79" s="53"/>
      <c r="E79" s="53"/>
      <c r="F79" s="52"/>
      <c r="G79" s="52"/>
      <c r="H79" s="53"/>
      <c r="I79" s="53"/>
      <c r="J79" s="53"/>
      <c r="K79" s="1"/>
      <c r="L79" s="1"/>
      <c r="M79" s="23"/>
      <c r="N79" s="24"/>
      <c r="O79" s="25">
        <f>+AL79+AI79+AF79+AC79+Z79+W79</f>
        <v>0</v>
      </c>
      <c r="P79" s="14"/>
      <c r="Q79" s="26"/>
      <c r="R79" s="121"/>
      <c r="S79" s="122"/>
      <c r="T79" s="122"/>
      <c r="U79" s="122"/>
      <c r="V79" s="123"/>
      <c r="W79" s="104">
        <f t="shared" si="8"/>
        <v>0</v>
      </c>
      <c r="X79" s="92">
        <v>0</v>
      </c>
      <c r="Y79" s="99">
        <v>0</v>
      </c>
      <c r="Z79" s="27">
        <f>+AA79+AB79</f>
        <v>0</v>
      </c>
      <c r="AA79" s="29"/>
      <c r="AB79" s="64"/>
      <c r="AC79" s="49"/>
      <c r="AD79" s="29"/>
      <c r="AE79" s="57"/>
      <c r="AF79" s="49"/>
      <c r="AG79" s="29"/>
      <c r="AH79" s="57"/>
      <c r="AI79" s="49"/>
      <c r="AJ79" s="29"/>
      <c r="AK79" s="57"/>
      <c r="AL79" s="51"/>
      <c r="AM79" s="58"/>
      <c r="AN79" s="59"/>
      <c r="AO79" s="59"/>
      <c r="AP79" s="14"/>
      <c r="AW79" s="14"/>
      <c r="AX79" s="59"/>
    </row>
    <row r="80" spans="1:50" ht="16.5" thickBot="1">
      <c r="B80" s="66"/>
      <c r="C80" s="66"/>
      <c r="D80" s="53"/>
      <c r="E80" s="53"/>
      <c r="F80" s="52"/>
      <c r="G80" s="52"/>
      <c r="H80" s="53"/>
      <c r="I80" s="53"/>
      <c r="J80" s="53"/>
      <c r="K80" s="1"/>
      <c r="L80" s="1"/>
      <c r="M80" s="23"/>
      <c r="N80" s="24"/>
      <c r="O80" s="25">
        <f>+AL80+AI80+AF80+AC80+Z80+W80</f>
        <v>31031203.322320443</v>
      </c>
      <c r="P80" s="14"/>
      <c r="Q80" s="25">
        <f t="shared" ref="Q80:AL80" si="17">+SUM(Q4:Q79)</f>
        <v>505527.00078434258</v>
      </c>
      <c r="R80" s="124">
        <f t="shared" si="17"/>
        <v>11086805.960000001</v>
      </c>
      <c r="S80" s="125">
        <f t="shared" si="17"/>
        <v>0</v>
      </c>
      <c r="T80" s="125">
        <f t="shared" si="17"/>
        <v>0</v>
      </c>
      <c r="U80" s="125">
        <f t="shared" si="17"/>
        <v>9982494.4800000004</v>
      </c>
      <c r="V80" s="126">
        <f t="shared" si="17"/>
        <v>1104311.48</v>
      </c>
      <c r="W80" s="102">
        <f t="shared" si="17"/>
        <v>2765906.2589871101</v>
      </c>
      <c r="X80" s="102">
        <f t="shared" si="17"/>
        <v>1068562.4017320636</v>
      </c>
      <c r="Y80" s="103">
        <f t="shared" si="17"/>
        <v>1697343.8572550463</v>
      </c>
      <c r="Z80" s="47">
        <f t="shared" si="17"/>
        <v>8762139.0633333344</v>
      </c>
      <c r="AA80" s="47">
        <f t="shared" si="17"/>
        <v>7742994.1899999995</v>
      </c>
      <c r="AB80" s="48">
        <f t="shared" si="17"/>
        <v>1019144.8733333332</v>
      </c>
      <c r="AC80" s="40">
        <f t="shared" si="17"/>
        <v>9745037</v>
      </c>
      <c r="AD80" s="39">
        <f t="shared" si="17"/>
        <v>9240104</v>
      </c>
      <c r="AE80" s="39">
        <f t="shared" si="17"/>
        <v>504933</v>
      </c>
      <c r="AF80" s="40">
        <f t="shared" si="17"/>
        <v>3964071</v>
      </c>
      <c r="AG80" s="39">
        <f t="shared" si="17"/>
        <v>3428938</v>
      </c>
      <c r="AH80" s="39">
        <f t="shared" si="17"/>
        <v>535133</v>
      </c>
      <c r="AI80" s="40">
        <f t="shared" si="17"/>
        <v>2201300</v>
      </c>
      <c r="AJ80" s="39">
        <f t="shared" si="17"/>
        <v>1991300</v>
      </c>
      <c r="AK80" s="39">
        <f t="shared" si="17"/>
        <v>210000</v>
      </c>
      <c r="AL80" s="40">
        <f t="shared" si="17"/>
        <v>3592750</v>
      </c>
      <c r="AM80" s="58"/>
      <c r="AN80" s="59"/>
      <c r="AO80" s="59"/>
      <c r="AP80" s="14"/>
      <c r="AW80" s="14"/>
      <c r="AX80" s="59"/>
    </row>
    <row r="81" spans="2:52">
      <c r="O81" s="41"/>
      <c r="P81" s="41"/>
      <c r="R81" s="41"/>
      <c r="S81" s="41"/>
      <c r="T81" s="41"/>
      <c r="U81" s="41"/>
      <c r="V81" s="41"/>
      <c r="W81" s="5"/>
      <c r="Y81" s="42" t="s">
        <v>381</v>
      </c>
      <c r="Z81" s="43"/>
      <c r="AA81" s="43"/>
      <c r="AB81" s="43"/>
      <c r="AC81" s="43"/>
      <c r="AD81" s="6"/>
      <c r="AF81" s="6"/>
      <c r="AG81" s="6"/>
      <c r="AI81" s="6"/>
      <c r="AJ81" s="6"/>
    </row>
    <row r="82" spans="2:52">
      <c r="O82" s="41"/>
      <c r="P82" s="41"/>
      <c r="Q82" s="44"/>
      <c r="R82" s="41"/>
      <c r="S82" s="41"/>
      <c r="T82" s="41"/>
      <c r="U82" s="41"/>
      <c r="V82" s="41"/>
      <c r="X82" s="6"/>
      <c r="Y82" s="36" t="s">
        <v>382</v>
      </c>
      <c r="Z82" s="43"/>
      <c r="AA82" s="43"/>
      <c r="AB82" s="43"/>
      <c r="AC82" s="43"/>
    </row>
    <row r="83" spans="2:52">
      <c r="Y83" s="43"/>
      <c r="Z83" s="43"/>
      <c r="AA83" s="43"/>
      <c r="AB83" s="43"/>
      <c r="AC83" s="43"/>
    </row>
    <row r="84" spans="2:52" ht="31.5">
      <c r="B84" s="16" t="s">
        <v>0</v>
      </c>
      <c r="C84" s="16" t="s">
        <v>1</v>
      </c>
      <c r="D84" s="16" t="s">
        <v>2</v>
      </c>
      <c r="E84" s="16"/>
      <c r="F84" s="16"/>
      <c r="G84" s="16"/>
      <c r="H84" s="16" t="s">
        <v>5</v>
      </c>
      <c r="I84" s="16" t="s">
        <v>6</v>
      </c>
      <c r="J84" s="16" t="s">
        <v>7</v>
      </c>
      <c r="K84" s="16" t="s">
        <v>8</v>
      </c>
      <c r="L84" s="16" t="s">
        <v>9</v>
      </c>
      <c r="M84" s="17" t="s">
        <v>10</v>
      </c>
      <c r="N84" s="16" t="s">
        <v>11</v>
      </c>
      <c r="O84" s="18" t="s">
        <v>12</v>
      </c>
      <c r="P84" s="18" t="s">
        <v>12</v>
      </c>
      <c r="Q84" s="18"/>
      <c r="R84" s="18"/>
      <c r="S84" s="18"/>
      <c r="T84" s="18"/>
      <c r="U84" s="18"/>
      <c r="V84" s="18"/>
      <c r="W84" s="20" t="s">
        <v>13</v>
      </c>
      <c r="X84" s="16" t="s">
        <v>14</v>
      </c>
      <c r="Y84" s="16" t="s">
        <v>15</v>
      </c>
      <c r="Z84" s="20" t="s">
        <v>13</v>
      </c>
      <c r="AA84" s="16" t="s">
        <v>14</v>
      </c>
      <c r="AB84" s="16" t="s">
        <v>15</v>
      </c>
      <c r="AC84" s="16" t="s">
        <v>13</v>
      </c>
      <c r="AD84" s="16" t="s">
        <v>14</v>
      </c>
      <c r="AE84" s="16" t="s">
        <v>15</v>
      </c>
      <c r="AF84" s="16" t="s">
        <v>13</v>
      </c>
      <c r="AG84" s="16" t="s">
        <v>14</v>
      </c>
      <c r="AH84" s="16" t="s">
        <v>15</v>
      </c>
      <c r="AI84" s="16" t="s">
        <v>13</v>
      </c>
      <c r="AJ84" s="16" t="s">
        <v>14</v>
      </c>
      <c r="AK84" s="16" t="s">
        <v>15</v>
      </c>
      <c r="AL84" s="18" t="s">
        <v>16</v>
      </c>
      <c r="AM84" s="18" t="s">
        <v>17</v>
      </c>
      <c r="AN84" s="18" t="s">
        <v>18</v>
      </c>
      <c r="AO84" s="18"/>
      <c r="AP84" s="18" t="s">
        <v>20</v>
      </c>
      <c r="AQ84" s="18" t="s">
        <v>21</v>
      </c>
      <c r="AR84" s="18" t="s">
        <v>22</v>
      </c>
      <c r="AS84" s="18" t="s">
        <v>23</v>
      </c>
      <c r="AT84" s="18" t="s">
        <v>24</v>
      </c>
      <c r="AU84" s="21" t="s">
        <v>25</v>
      </c>
      <c r="AV84" s="21" t="s">
        <v>26</v>
      </c>
      <c r="AW84" s="18" t="s">
        <v>27</v>
      </c>
      <c r="AX84" s="21" t="s">
        <v>28</v>
      </c>
    </row>
    <row r="85" spans="2:52">
      <c r="B85" s="53">
        <v>17</v>
      </c>
      <c r="C85" s="54" t="s">
        <v>270</v>
      </c>
      <c r="D85" s="53" t="s">
        <v>107</v>
      </c>
      <c r="E85" s="53"/>
      <c r="F85" s="53"/>
      <c r="G85" s="53"/>
      <c r="H85" s="53" t="s">
        <v>271</v>
      </c>
      <c r="I85" s="53" t="s">
        <v>111</v>
      </c>
      <c r="J85" s="53" t="s">
        <v>34</v>
      </c>
      <c r="K85" s="1" t="s">
        <v>103</v>
      </c>
      <c r="L85" s="1" t="s">
        <v>272</v>
      </c>
      <c r="M85" s="23">
        <v>100</v>
      </c>
      <c r="N85" s="24" t="s">
        <v>91</v>
      </c>
      <c r="O85" s="25">
        <f t="shared" ref="O85:O90" si="18">+Q85+AC85+AF85+AI85+AL85</f>
        <v>350000</v>
      </c>
      <c r="P85" s="14" t="e">
        <f>+O85*#REF!</f>
        <v>#REF!</v>
      </c>
      <c r="Q85" s="26"/>
      <c r="R85" s="26"/>
      <c r="S85" s="26"/>
      <c r="T85" s="26"/>
      <c r="U85" s="26"/>
      <c r="V85" s="26"/>
      <c r="W85" s="27">
        <f t="shared" ref="W85:W90" si="19">+X85+Y85</f>
        <v>0</v>
      </c>
      <c r="X85" s="29">
        <v>0</v>
      </c>
      <c r="Y85" s="57">
        <v>0</v>
      </c>
      <c r="Z85" s="27">
        <f t="shared" ref="Z85:Z90" si="20">+AA85+AB85</f>
        <v>0</v>
      </c>
      <c r="AA85" s="29">
        <v>0</v>
      </c>
      <c r="AB85" s="57">
        <v>0</v>
      </c>
      <c r="AC85" s="28">
        <f t="shared" ref="AC85:AC90" si="21">+AD85+AE85</f>
        <v>0</v>
      </c>
      <c r="AD85" s="29">
        <v>0</v>
      </c>
      <c r="AE85" s="57">
        <v>0</v>
      </c>
      <c r="AF85" s="28">
        <f t="shared" ref="AF85:AF90" si="22">+AG85+AH85</f>
        <v>0</v>
      </c>
      <c r="AG85" s="29">
        <v>0</v>
      </c>
      <c r="AH85" s="57">
        <v>0</v>
      </c>
      <c r="AI85" s="28">
        <f t="shared" ref="AI85:AI90" si="23">+AJ85+AK85</f>
        <v>350000</v>
      </c>
      <c r="AJ85" s="29">
        <v>350000</v>
      </c>
      <c r="AK85" s="57">
        <v>0</v>
      </c>
      <c r="AL85" s="2">
        <v>0</v>
      </c>
      <c r="AM85" s="59" t="s">
        <v>273</v>
      </c>
      <c r="AN85" s="59"/>
      <c r="AO85" s="59"/>
      <c r="AP85" s="14"/>
      <c r="AS85" s="1"/>
      <c r="AT85" s="1"/>
      <c r="AU85" s="2"/>
      <c r="AV85" s="2"/>
      <c r="AW85" s="14" t="e">
        <f>AU85-#REF!-#REF!-Q85+AV85</f>
        <v>#REF!</v>
      </c>
      <c r="AX85" s="59"/>
      <c r="AY85" s="1"/>
      <c r="AZ85" s="2"/>
    </row>
    <row r="86" spans="2:52">
      <c r="B86" s="53">
        <v>18</v>
      </c>
      <c r="C86" s="54" t="s">
        <v>274</v>
      </c>
      <c r="D86" s="53" t="s">
        <v>275</v>
      </c>
      <c r="E86" s="53"/>
      <c r="F86" s="53"/>
      <c r="G86" s="53"/>
      <c r="H86" s="53" t="s">
        <v>276</v>
      </c>
      <c r="I86" s="53" t="s">
        <v>64</v>
      </c>
      <c r="J86" s="53" t="s">
        <v>70</v>
      </c>
      <c r="K86" s="1" t="s">
        <v>76</v>
      </c>
      <c r="L86" s="1" t="s">
        <v>277</v>
      </c>
      <c r="M86" s="23">
        <v>5</v>
      </c>
      <c r="N86" s="24" t="s">
        <v>91</v>
      </c>
      <c r="O86" s="25">
        <f t="shared" si="18"/>
        <v>105000</v>
      </c>
      <c r="P86" s="14" t="e">
        <f>+O86*#REF!</f>
        <v>#REF!</v>
      </c>
      <c r="Q86" s="26"/>
      <c r="R86" s="26"/>
      <c r="S86" s="26"/>
      <c r="T86" s="26"/>
      <c r="U86" s="26"/>
      <c r="V86" s="26"/>
      <c r="W86" s="27">
        <f t="shared" si="19"/>
        <v>0</v>
      </c>
      <c r="X86" s="29">
        <v>0</v>
      </c>
      <c r="Y86" s="57">
        <v>0</v>
      </c>
      <c r="Z86" s="27">
        <f t="shared" si="20"/>
        <v>0</v>
      </c>
      <c r="AA86" s="29">
        <v>0</v>
      </c>
      <c r="AB86" s="57">
        <v>0</v>
      </c>
      <c r="AC86" s="28">
        <f t="shared" si="21"/>
        <v>0</v>
      </c>
      <c r="AD86" s="29">
        <v>0</v>
      </c>
      <c r="AE86" s="57">
        <v>0</v>
      </c>
      <c r="AF86" s="28">
        <f t="shared" si="22"/>
        <v>0</v>
      </c>
      <c r="AG86" s="29">
        <v>0</v>
      </c>
      <c r="AH86" s="57">
        <v>0</v>
      </c>
      <c r="AI86" s="28">
        <f t="shared" si="23"/>
        <v>105000</v>
      </c>
      <c r="AJ86" s="29">
        <v>105000</v>
      </c>
      <c r="AK86" s="57">
        <v>0</v>
      </c>
      <c r="AL86" s="2">
        <v>0</v>
      </c>
      <c r="AM86" s="6" t="s">
        <v>273</v>
      </c>
      <c r="AN86" s="6"/>
      <c r="AO86" s="6"/>
      <c r="AP86" s="14"/>
      <c r="AW86" s="14" t="e">
        <f>AU86-#REF!-#REF!-Q86+AV86</f>
        <v>#REF!</v>
      </c>
      <c r="AX86" s="59"/>
      <c r="AY86" s="1"/>
      <c r="AZ86" s="2"/>
    </row>
    <row r="87" spans="2:52">
      <c r="B87" s="53">
        <v>28</v>
      </c>
      <c r="C87" s="54" t="s">
        <v>278</v>
      </c>
      <c r="D87" s="53" t="s">
        <v>107</v>
      </c>
      <c r="E87" s="53"/>
      <c r="F87" s="53"/>
      <c r="G87" s="53"/>
      <c r="H87" s="53" t="s">
        <v>279</v>
      </c>
      <c r="I87" s="53" t="s">
        <v>111</v>
      </c>
      <c r="J87" s="53" t="s">
        <v>34</v>
      </c>
      <c r="K87" s="1" t="s">
        <v>76</v>
      </c>
      <c r="L87" s="1" t="s">
        <v>280</v>
      </c>
      <c r="M87" s="23">
        <v>110</v>
      </c>
      <c r="N87" s="24" t="s">
        <v>122</v>
      </c>
      <c r="O87" s="25">
        <f t="shared" si="18"/>
        <v>450000</v>
      </c>
      <c r="P87" s="14" t="e">
        <f>+O87*#REF!</f>
        <v>#REF!</v>
      </c>
      <c r="Q87" s="26"/>
      <c r="R87" s="26"/>
      <c r="S87" s="26"/>
      <c r="T87" s="26"/>
      <c r="U87" s="26"/>
      <c r="V87" s="26"/>
      <c r="W87" s="27">
        <f t="shared" si="19"/>
        <v>0</v>
      </c>
      <c r="X87" s="29">
        <v>0</v>
      </c>
      <c r="Y87" s="57">
        <v>0</v>
      </c>
      <c r="Z87" s="27">
        <f t="shared" si="20"/>
        <v>0</v>
      </c>
      <c r="AA87" s="29">
        <v>0</v>
      </c>
      <c r="AB87" s="57">
        <v>0</v>
      </c>
      <c r="AC87" s="28">
        <f t="shared" si="21"/>
        <v>0</v>
      </c>
      <c r="AD87" s="29">
        <v>0</v>
      </c>
      <c r="AE87" s="57">
        <v>0</v>
      </c>
      <c r="AF87" s="28">
        <f t="shared" si="22"/>
        <v>450000</v>
      </c>
      <c r="AG87" s="29">
        <v>450000</v>
      </c>
      <c r="AH87" s="57">
        <v>0</v>
      </c>
      <c r="AI87" s="28">
        <f t="shared" si="23"/>
        <v>0</v>
      </c>
      <c r="AJ87" s="29">
        <v>0</v>
      </c>
      <c r="AK87" s="57">
        <v>0</v>
      </c>
      <c r="AL87" s="2">
        <v>0</v>
      </c>
      <c r="AM87" s="58" t="s">
        <v>273</v>
      </c>
      <c r="AN87" s="59"/>
      <c r="AO87" s="59"/>
      <c r="AP87" s="14"/>
      <c r="AW87" s="14" t="e">
        <f>AU87-#REF!-#REF!-Q87+AV87</f>
        <v>#REF!</v>
      </c>
      <c r="AX87" s="59"/>
    </row>
    <row r="88" spans="2:52">
      <c r="B88" s="53">
        <v>5</v>
      </c>
      <c r="C88" s="54" t="s">
        <v>283</v>
      </c>
      <c r="D88" s="53" t="s">
        <v>41</v>
      </c>
      <c r="E88" s="53"/>
      <c r="F88" s="53"/>
      <c r="G88" s="53"/>
      <c r="H88" s="53" t="s">
        <v>284</v>
      </c>
      <c r="I88" s="53" t="s">
        <v>33</v>
      </c>
      <c r="J88" s="53" t="s">
        <v>34</v>
      </c>
      <c r="K88" s="53" t="s">
        <v>103</v>
      </c>
      <c r="L88" s="53" t="s">
        <v>285</v>
      </c>
      <c r="M88" s="67">
        <v>10</v>
      </c>
      <c r="N88" s="24" t="s">
        <v>53</v>
      </c>
      <c r="O88" s="25">
        <f t="shared" si="18"/>
        <v>186000</v>
      </c>
      <c r="P88" s="14" t="e">
        <f>+O88*#REF!</f>
        <v>#REF!</v>
      </c>
      <c r="Q88" s="26"/>
      <c r="R88" s="26"/>
      <c r="S88" s="26"/>
      <c r="T88" s="26"/>
      <c r="U88" s="26"/>
      <c r="V88" s="26"/>
      <c r="W88" s="27">
        <f t="shared" si="19"/>
        <v>0</v>
      </c>
      <c r="X88" s="29">
        <v>0</v>
      </c>
      <c r="Y88" s="57">
        <v>0</v>
      </c>
      <c r="Z88" s="27">
        <f t="shared" si="20"/>
        <v>0</v>
      </c>
      <c r="AA88" s="29">
        <v>0</v>
      </c>
      <c r="AB88" s="57">
        <v>0</v>
      </c>
      <c r="AC88" s="28">
        <f t="shared" si="21"/>
        <v>0</v>
      </c>
      <c r="AD88" s="29">
        <v>0</v>
      </c>
      <c r="AE88" s="57">
        <v>0</v>
      </c>
      <c r="AF88" s="28">
        <f t="shared" si="22"/>
        <v>0</v>
      </c>
      <c r="AG88" s="29">
        <v>0</v>
      </c>
      <c r="AH88" s="57">
        <v>0</v>
      </c>
      <c r="AI88" s="28">
        <f t="shared" si="23"/>
        <v>0</v>
      </c>
      <c r="AJ88" s="29">
        <v>0</v>
      </c>
      <c r="AK88" s="57">
        <v>0</v>
      </c>
      <c r="AL88" s="2">
        <v>186000</v>
      </c>
      <c r="AM88" s="59" t="s">
        <v>286</v>
      </c>
      <c r="AN88" s="59"/>
      <c r="AO88" s="59"/>
      <c r="AP88" s="14"/>
      <c r="AS88" s="4"/>
      <c r="AT88" s="1"/>
      <c r="AU88" s="2"/>
      <c r="AV88" s="2"/>
      <c r="AW88" s="14" t="e">
        <f>AU88-#REF!-#REF!-Q88+AV88</f>
        <v>#REF!</v>
      </c>
      <c r="AX88" s="59"/>
    </row>
    <row r="89" spans="2:52">
      <c r="B89" s="53">
        <v>7</v>
      </c>
      <c r="C89" s="54" t="s">
        <v>287</v>
      </c>
      <c r="D89" s="53" t="s">
        <v>107</v>
      </c>
      <c r="E89" s="53"/>
      <c r="F89" s="53"/>
      <c r="G89" s="53"/>
      <c r="H89" s="53" t="s">
        <v>287</v>
      </c>
      <c r="I89" s="53" t="s">
        <v>111</v>
      </c>
      <c r="J89" s="53" t="s">
        <v>70</v>
      </c>
      <c r="K89" s="1" t="s">
        <v>51</v>
      </c>
      <c r="L89" s="33" t="s">
        <v>287</v>
      </c>
      <c r="M89" s="34">
        <v>100</v>
      </c>
      <c r="N89" s="24" t="s">
        <v>65</v>
      </c>
      <c r="O89" s="25">
        <f t="shared" si="18"/>
        <v>400000</v>
      </c>
      <c r="P89" s="14" t="e">
        <f>+O89*#REF!</f>
        <v>#REF!</v>
      </c>
      <c r="Q89" s="26"/>
      <c r="R89" s="26"/>
      <c r="S89" s="26"/>
      <c r="T89" s="26"/>
      <c r="U89" s="26"/>
      <c r="V89" s="26"/>
      <c r="W89" s="27">
        <f t="shared" si="19"/>
        <v>0</v>
      </c>
      <c r="X89" s="29">
        <v>0</v>
      </c>
      <c r="Y89" s="57">
        <v>0</v>
      </c>
      <c r="Z89" s="27">
        <f t="shared" si="20"/>
        <v>0</v>
      </c>
      <c r="AA89" s="29">
        <v>0</v>
      </c>
      <c r="AB89" s="57">
        <v>0</v>
      </c>
      <c r="AC89" s="28">
        <f t="shared" si="21"/>
        <v>0</v>
      </c>
      <c r="AD89" s="29">
        <v>0</v>
      </c>
      <c r="AE89" s="57">
        <v>0</v>
      </c>
      <c r="AF89" s="28">
        <f t="shared" si="22"/>
        <v>0</v>
      </c>
      <c r="AG89" s="29">
        <v>0</v>
      </c>
      <c r="AH89" s="57">
        <v>0</v>
      </c>
      <c r="AI89" s="28">
        <f t="shared" si="23"/>
        <v>0</v>
      </c>
      <c r="AJ89" s="29">
        <v>0</v>
      </c>
      <c r="AK89" s="57">
        <v>0</v>
      </c>
      <c r="AL89" s="2">
        <v>400000</v>
      </c>
      <c r="AM89" s="61">
        <v>40513</v>
      </c>
      <c r="AN89" s="72"/>
      <c r="AO89" s="72"/>
      <c r="AP89" s="14"/>
      <c r="AS89" s="1"/>
      <c r="AT89" s="1"/>
      <c r="AU89" s="2"/>
      <c r="AV89" s="2"/>
      <c r="AW89" s="14" t="e">
        <f>AU89-#REF!-#REF!-Q89+AV89</f>
        <v>#REF!</v>
      </c>
      <c r="AX89" s="59"/>
      <c r="AY89" s="1"/>
      <c r="AZ89" s="2"/>
    </row>
    <row r="90" spans="2:52">
      <c r="B90" s="53">
        <v>12</v>
      </c>
      <c r="C90" s="54" t="s">
        <v>288</v>
      </c>
      <c r="D90" s="53" t="s">
        <v>289</v>
      </c>
      <c r="E90" s="53"/>
      <c r="F90" s="53"/>
      <c r="G90" s="53"/>
      <c r="H90" s="53" t="s">
        <v>288</v>
      </c>
      <c r="I90" s="53" t="s">
        <v>50</v>
      </c>
      <c r="J90" s="53" t="s">
        <v>34</v>
      </c>
      <c r="K90" s="1" t="s">
        <v>35</v>
      </c>
      <c r="L90" s="22" t="s">
        <v>36</v>
      </c>
      <c r="M90" s="23">
        <v>5</v>
      </c>
      <c r="N90" s="45" t="s">
        <v>91</v>
      </c>
      <c r="O90" s="25">
        <f t="shared" si="18"/>
        <v>245000</v>
      </c>
      <c r="P90" s="14" t="e">
        <f>+O90*#REF!</f>
        <v>#REF!</v>
      </c>
      <c r="Q90" s="26"/>
      <c r="R90" s="26"/>
      <c r="S90" s="26"/>
      <c r="T90" s="26"/>
      <c r="U90" s="26"/>
      <c r="V90" s="26"/>
      <c r="W90" s="27">
        <f t="shared" si="19"/>
        <v>0</v>
      </c>
      <c r="X90" s="29">
        <v>0</v>
      </c>
      <c r="Y90" s="57">
        <v>0</v>
      </c>
      <c r="Z90" s="27">
        <f t="shared" si="20"/>
        <v>0</v>
      </c>
      <c r="AA90" s="29">
        <v>0</v>
      </c>
      <c r="AB90" s="57">
        <v>0</v>
      </c>
      <c r="AC90" s="28">
        <f t="shared" si="21"/>
        <v>0</v>
      </c>
      <c r="AD90" s="29">
        <v>0</v>
      </c>
      <c r="AE90" s="57">
        <v>0</v>
      </c>
      <c r="AF90" s="28">
        <f t="shared" si="22"/>
        <v>0</v>
      </c>
      <c r="AG90" s="57">
        <v>0</v>
      </c>
      <c r="AH90" s="57">
        <v>0</v>
      </c>
      <c r="AI90" s="28">
        <f t="shared" si="23"/>
        <v>245000</v>
      </c>
      <c r="AJ90" s="57">
        <v>245000</v>
      </c>
      <c r="AK90" s="57">
        <v>0</v>
      </c>
      <c r="AL90" s="2"/>
      <c r="AM90" s="61">
        <v>40513</v>
      </c>
      <c r="AN90" s="6"/>
      <c r="AO90" s="6"/>
      <c r="AP90" s="14"/>
      <c r="AS90" s="1"/>
      <c r="AT90" s="1"/>
      <c r="AU90" s="2"/>
      <c r="AV90" s="2"/>
      <c r="AW90" s="14" t="e">
        <f>AU90-#REF!-#REF!-Q90+AV90</f>
        <v>#REF!</v>
      </c>
      <c r="AX90" s="59"/>
      <c r="AY90" s="1"/>
      <c r="AZ90" s="2"/>
    </row>
    <row r="91" spans="2:52" ht="19.899999999999999" customHeight="1">
      <c r="B91" s="53">
        <v>33</v>
      </c>
      <c r="C91" s="54" t="s">
        <v>67</v>
      </c>
      <c r="D91" s="53" t="s">
        <v>30</v>
      </c>
      <c r="E91" s="53" t="s">
        <v>290</v>
      </c>
      <c r="F91" s="52" t="s">
        <v>172</v>
      </c>
      <c r="G91" s="52" t="s">
        <v>173</v>
      </c>
      <c r="H91" s="53" t="s">
        <v>174</v>
      </c>
      <c r="I91" s="53" t="s">
        <v>33</v>
      </c>
      <c r="J91" s="53" t="s">
        <v>70</v>
      </c>
      <c r="K91" s="66" t="s">
        <v>35</v>
      </c>
      <c r="L91" s="53" t="s">
        <v>175</v>
      </c>
      <c r="M91" s="67">
        <v>10</v>
      </c>
      <c r="N91" s="24" t="s">
        <v>164</v>
      </c>
      <c r="O91" s="25">
        <f>+AL91+AI91+AF91+AC91+Z91+W91</f>
        <v>200000</v>
      </c>
      <c r="P91" s="14" t="e">
        <f>+O91*#REF!</f>
        <v>#REF!</v>
      </c>
      <c r="Q91" s="14"/>
      <c r="R91" s="110">
        <f>+SUM(S91:V91)</f>
        <v>0</v>
      </c>
      <c r="S91" s="111"/>
      <c r="T91" s="111"/>
      <c r="U91" s="111"/>
      <c r="V91" s="112"/>
      <c r="W91" s="104">
        <f>+X91+Y91</f>
        <v>0</v>
      </c>
      <c r="X91" s="93">
        <v>0</v>
      </c>
      <c r="Y91" s="94">
        <v>0</v>
      </c>
      <c r="Z91" s="27">
        <f>+AA91+AB91</f>
        <v>0</v>
      </c>
      <c r="AA91" s="29">
        <v>0</v>
      </c>
      <c r="AB91" s="64">
        <v>0</v>
      </c>
      <c r="AC91" s="49">
        <f>+AD91+AE91</f>
        <v>200000</v>
      </c>
      <c r="AD91" s="29">
        <v>200000</v>
      </c>
      <c r="AE91" s="57">
        <v>0</v>
      </c>
      <c r="AF91" s="49">
        <f>+AG91+AH91</f>
        <v>0</v>
      </c>
      <c r="AG91" s="29">
        <v>0</v>
      </c>
      <c r="AH91" s="57">
        <v>0</v>
      </c>
      <c r="AI91" s="49">
        <f>+AJ91+AK91</f>
        <v>0</v>
      </c>
      <c r="AJ91" s="29">
        <v>0</v>
      </c>
      <c r="AK91" s="57">
        <v>0</v>
      </c>
      <c r="AL91" s="51">
        <v>0</v>
      </c>
      <c r="AM91" s="59" t="s">
        <v>273</v>
      </c>
      <c r="AN91" s="59">
        <v>40000</v>
      </c>
      <c r="AO91" s="59" t="s">
        <v>176</v>
      </c>
      <c r="AP91" s="14"/>
      <c r="AS91" s="1"/>
      <c r="AT91" s="1"/>
      <c r="AU91" s="2"/>
      <c r="AV91" s="2"/>
      <c r="AW91" s="14" t="e">
        <f>AU91-#REF!-#REF!-Q91+AV91</f>
        <v>#REF!</v>
      </c>
      <c r="AX91" s="59"/>
      <c r="AY91" s="1"/>
      <c r="AZ91" s="2"/>
    </row>
    <row r="93" spans="2:52">
      <c r="Z93" s="25" t="e">
        <f>+#REF!+Z80</f>
        <v>#REF!</v>
      </c>
    </row>
    <row r="95" spans="2:52">
      <c r="Z95" s="2"/>
    </row>
    <row r="96" spans="2:52">
      <c r="Z96" s="14"/>
    </row>
  </sheetData>
  <autoFilter ref="A3:AZ82"/>
  <sortState ref="A4:AX75">
    <sortCondition ref="B4:B75"/>
  </sortState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91" r:id="rId20"/>
    <hyperlink ref="F91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scale="17" orientation="landscape" r:id="rId46"/>
  <ignoredErrors>
    <ignoredError sqref="N4:N29 N30:N56" numberStoredAsText="1"/>
    <ignoredError sqref="U11" formula="1"/>
  </ignoredErrors>
  <legacyDrawing r:id="rId4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C4" sqref="C4"/>
    </sheetView>
  </sheetViews>
  <sheetFormatPr defaultColWidth="8.7109375" defaultRowHeight="15"/>
  <cols>
    <col min="1" max="1" width="16.42578125" style="10" bestFit="1" customWidth="1"/>
    <col min="2" max="2" width="13.7109375" style="10" bestFit="1" customWidth="1"/>
    <col min="3" max="3" width="12.85546875" style="10" bestFit="1" customWidth="1"/>
    <col min="4" max="4" width="11.28515625" style="10" bestFit="1" customWidth="1"/>
    <col min="5" max="5" width="11.42578125" style="10" bestFit="1" customWidth="1"/>
    <col min="6" max="6" width="8.7109375" style="10"/>
    <col min="7" max="7" width="11.42578125" style="10" bestFit="1" customWidth="1"/>
    <col min="8" max="8" width="25" style="10" bestFit="1" customWidth="1"/>
    <col min="9" max="16384" width="8.7109375" style="10"/>
  </cols>
  <sheetData>
    <row r="2" spans="1:9">
      <c r="A2" s="10" t="s">
        <v>384</v>
      </c>
      <c r="C2" s="11">
        <f>+'Customers 2013 Split'!W80</f>
        <v>2765906.2589871101</v>
      </c>
      <c r="D2" s="11"/>
      <c r="E2" s="11"/>
      <c r="F2" s="11"/>
    </row>
    <row r="3" spans="1:9">
      <c r="A3" s="10" t="s">
        <v>385</v>
      </c>
      <c r="C3" s="106">
        <f>1196503.91666667-92000-202500</f>
        <v>902003.91666667</v>
      </c>
      <c r="D3" s="11"/>
      <c r="E3" s="11"/>
      <c r="F3" s="11"/>
    </row>
    <row r="4" spans="1:9">
      <c r="A4" s="10" t="s">
        <v>386</v>
      </c>
      <c r="C4" s="11"/>
      <c r="D4" s="11"/>
      <c r="E4" s="11"/>
      <c r="F4" s="11"/>
      <c r="G4" s="11"/>
      <c r="H4" s="11"/>
      <c r="I4" s="11"/>
    </row>
    <row r="5" spans="1:9">
      <c r="A5" s="10" t="s">
        <v>387</v>
      </c>
      <c r="C5" s="11">
        <v>926000</v>
      </c>
      <c r="D5" s="11">
        <f>+C5+C3+175000</f>
        <v>2003003.91666667</v>
      </c>
      <c r="E5" s="11"/>
      <c r="F5" s="11"/>
      <c r="G5" s="11"/>
      <c r="H5" s="11"/>
      <c r="I5" s="11"/>
    </row>
    <row r="6" spans="1:9">
      <c r="C6" s="11"/>
      <c r="D6" s="11"/>
      <c r="E6" s="12"/>
      <c r="F6" s="11"/>
      <c r="G6" s="12"/>
      <c r="H6" s="11"/>
      <c r="I6" s="11"/>
    </row>
    <row r="7" spans="1:9">
      <c r="C7" s="11"/>
      <c r="D7" s="11"/>
      <c r="E7" s="11"/>
      <c r="F7" s="11"/>
      <c r="G7" s="11"/>
      <c r="H7" s="11"/>
      <c r="I7" s="11"/>
    </row>
    <row r="8" spans="1:9" ht="17.25">
      <c r="C8" s="11"/>
      <c r="D8" s="11"/>
      <c r="E8" s="11"/>
      <c r="F8" s="11"/>
      <c r="G8" s="13"/>
      <c r="H8" s="13"/>
    </row>
    <row r="9" spans="1:9">
      <c r="C9" s="11"/>
      <c r="D9" s="11"/>
      <c r="E9" s="11"/>
      <c r="F9" s="11"/>
    </row>
  </sheetData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cols>
    <col min="1" max="16384" width="8.85546875" style="1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Customers 2013 Split</vt:lpstr>
      <vt:lpstr>riconciliazione</vt:lpstr>
      <vt:lpstr>Sheet1</vt:lpstr>
      <vt:lpstr>amount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Simonetta</cp:lastModifiedBy>
  <cp:lastPrinted>2014-01-31T14:24:57Z</cp:lastPrinted>
  <dcterms:created xsi:type="dcterms:W3CDTF">2013-12-10T17:26:27Z</dcterms:created>
  <dcterms:modified xsi:type="dcterms:W3CDTF">2014-07-11T09:41:13Z</dcterms:modified>
</cp:coreProperties>
</file>