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30" tabRatio="601"/>
  </bookViews>
  <sheets>
    <sheet name="Elenco Fatture" sheetId="1" r:id="rId1"/>
    <sheet name="Recap Sales" sheetId="3" r:id="rId2"/>
    <sheet name="Net Sales &amp; Bonus Q1+Q2" sheetId="4" r:id="rId3"/>
    <sheet name="Prospetto Ricavi" sheetId="2" r:id="rId4"/>
  </sheets>
  <definedNames>
    <definedName name="_xlnm._FilterDatabase" localSheetId="0" hidden="1">'Elenco Fatture'!$A$1:$WWE$75</definedName>
  </definedNames>
  <calcPr calcId="125725"/>
</workbook>
</file>

<file path=xl/calcChain.xml><?xml version="1.0" encoding="utf-8"?>
<calcChain xmlns="http://schemas.openxmlformats.org/spreadsheetml/2006/main">
  <c r="W8" i="4"/>
  <c r="X8"/>
  <c r="X6"/>
  <c r="X5"/>
  <c r="X4"/>
  <c r="X3"/>
  <c r="W3"/>
  <c r="L15"/>
  <c r="L17"/>
  <c r="N17" s="1"/>
  <c r="L19"/>
  <c r="N19" s="1"/>
  <c r="Q10"/>
  <c r="Q24"/>
  <c r="Q23"/>
  <c r="Q22"/>
  <c r="Q21"/>
  <c r="Q20"/>
  <c r="Q19"/>
  <c r="Q18"/>
  <c r="Q16"/>
  <c r="Q15"/>
  <c r="Q14"/>
  <c r="Q13"/>
  <c r="Q12"/>
  <c r="Q11"/>
  <c r="Q8"/>
  <c r="Q6"/>
  <c r="Q5"/>
  <c r="Q4"/>
  <c r="L16"/>
  <c r="N16" s="1"/>
  <c r="N24"/>
  <c r="N23"/>
  <c r="N22"/>
  <c r="N21"/>
  <c r="N20"/>
  <c r="N18"/>
  <c r="N15"/>
  <c r="N14"/>
  <c r="N13"/>
  <c r="N12"/>
  <c r="N11"/>
  <c r="N10"/>
  <c r="N8"/>
  <c r="N7"/>
  <c r="N6"/>
  <c r="N5"/>
  <c r="N4"/>
  <c r="T6"/>
  <c r="T3"/>
  <c r="H20"/>
  <c r="H25"/>
  <c r="O24"/>
  <c r="O23"/>
  <c r="O22"/>
  <c r="O21"/>
  <c r="O20"/>
  <c r="O17"/>
  <c r="O11"/>
  <c r="O8"/>
  <c r="O7"/>
  <c r="O6"/>
  <c r="O5"/>
  <c r="O4"/>
  <c r="L24"/>
  <c r="L23"/>
  <c r="L22"/>
  <c r="L21"/>
  <c r="L20"/>
  <c r="L18"/>
  <c r="L14"/>
  <c r="L13"/>
  <c r="L12"/>
  <c r="L11"/>
  <c r="L10"/>
  <c r="L8"/>
  <c r="L6"/>
  <c r="L4"/>
  <c r="I20"/>
  <c r="J20" s="1"/>
  <c r="P20" s="1"/>
  <c r="I24"/>
  <c r="J24" s="1"/>
  <c r="P24" s="1"/>
  <c r="I23"/>
  <c r="J23" s="1"/>
  <c r="P23" s="1"/>
  <c r="I22"/>
  <c r="J22" s="1"/>
  <c r="M22" s="1"/>
  <c r="I21"/>
  <c r="I19"/>
  <c r="J19" s="1"/>
  <c r="M19" s="1"/>
  <c r="I18"/>
  <c r="J18" s="1"/>
  <c r="I15"/>
  <c r="J15" s="1"/>
  <c r="I14"/>
  <c r="I13"/>
  <c r="J13" s="1"/>
  <c r="I12"/>
  <c r="J12" s="1"/>
  <c r="M12" s="1"/>
  <c r="I11"/>
  <c r="J11" s="1"/>
  <c r="P11" s="1"/>
  <c r="I10"/>
  <c r="I6"/>
  <c r="J6" s="1"/>
  <c r="P6" s="1"/>
  <c r="G25"/>
  <c r="E25"/>
  <c r="D25"/>
  <c r="X7" l="1"/>
  <c r="T12"/>
  <c r="P22"/>
  <c r="J21"/>
  <c r="M20"/>
  <c r="J14"/>
  <c r="M14" s="1"/>
  <c r="J10"/>
  <c r="M6"/>
  <c r="M13"/>
  <c r="M11"/>
  <c r="M15"/>
  <c r="M18"/>
  <c r="M23"/>
  <c r="M24"/>
  <c r="C17"/>
  <c r="T10" s="1"/>
  <c r="C16"/>
  <c r="I16" s="1"/>
  <c r="F7"/>
  <c r="I7" s="1"/>
  <c r="C8"/>
  <c r="C4"/>
  <c r="I8" l="1"/>
  <c r="J8" s="1"/>
  <c r="P8" s="1"/>
  <c r="T4"/>
  <c r="M21"/>
  <c r="P21"/>
  <c r="M10"/>
  <c r="J16"/>
  <c r="J7"/>
  <c r="I17"/>
  <c r="T11" s="1"/>
  <c r="U4"/>
  <c r="U6"/>
  <c r="F4"/>
  <c r="I4" s="1"/>
  <c r="J4" s="1"/>
  <c r="P4" s="1"/>
  <c r="M16" l="1"/>
  <c r="J17"/>
  <c r="M17" s="1"/>
  <c r="V3" s="1"/>
  <c r="U3"/>
  <c r="P7"/>
  <c r="M8"/>
  <c r="V4" s="1"/>
  <c r="P17" l="1"/>
  <c r="M4"/>
  <c r="I38" i="3" l="1"/>
  <c r="G19"/>
  <c r="G27" s="1"/>
  <c r="B37"/>
  <c r="F40" i="1"/>
  <c r="G5" i="3"/>
  <c r="G24" l="1"/>
  <c r="G28"/>
  <c r="G31"/>
  <c r="G25"/>
  <c r="G29"/>
  <c r="G22"/>
  <c r="G26"/>
  <c r="G30"/>
  <c r="G23"/>
  <c r="M13" i="1" l="1"/>
  <c r="O18" i="4" l="1"/>
  <c r="P18"/>
  <c r="H170" i="1"/>
  <c r="H169"/>
  <c r="H175" s="1"/>
  <c r="F30"/>
  <c r="S29"/>
  <c r="R29"/>
  <c r="H164" l="1"/>
  <c r="H129" l="1"/>
  <c r="H130" s="1"/>
  <c r="R28" l="1"/>
  <c r="S28" s="1"/>
  <c r="W27"/>
  <c r="V27"/>
  <c r="B38" i="3"/>
  <c r="C38" s="1"/>
  <c r="E38" s="1"/>
  <c r="B36"/>
  <c r="B35"/>
  <c r="B34"/>
  <c r="B3"/>
  <c r="S23" i="1"/>
  <c r="R23"/>
  <c r="F22" l="1"/>
  <c r="E6" i="3"/>
  <c r="E4"/>
  <c r="B6"/>
  <c r="D6"/>
  <c r="B5"/>
  <c r="B4"/>
  <c r="D4"/>
  <c r="D3"/>
  <c r="B11" s="1"/>
  <c r="S21" i="1"/>
  <c r="R21"/>
  <c r="T20"/>
  <c r="R20"/>
  <c r="S20"/>
  <c r="Q14"/>
  <c r="V14" s="1"/>
  <c r="H7" i="3"/>
  <c r="H6"/>
  <c r="H5"/>
  <c r="H4"/>
  <c r="H3"/>
  <c r="F7"/>
  <c r="F6"/>
  <c r="F5"/>
  <c r="F4"/>
  <c r="F3"/>
  <c r="D7"/>
  <c r="B7"/>
  <c r="M6" i="1"/>
  <c r="G6" i="3"/>
  <c r="G4"/>
  <c r="G3"/>
  <c r="I7"/>
  <c r="I6"/>
  <c r="I5"/>
  <c r="I4"/>
  <c r="I3"/>
  <c r="F19" i="1"/>
  <c r="Q19" s="1"/>
  <c r="W42"/>
  <c r="M15"/>
  <c r="M16"/>
  <c r="R17"/>
  <c r="W17" s="1"/>
  <c r="G7" i="3"/>
  <c r="E7"/>
  <c r="C7"/>
  <c r="M5" i="1"/>
  <c r="M7"/>
  <c r="M8"/>
  <c r="M9"/>
  <c r="M10"/>
  <c r="M4"/>
  <c r="M2"/>
  <c r="S16"/>
  <c r="R16"/>
  <c r="V16" s="1"/>
  <c r="S15"/>
  <c r="R15"/>
  <c r="R13"/>
  <c r="V13" s="1"/>
  <c r="U75"/>
  <c r="P75"/>
  <c r="F3" i="2" s="1"/>
  <c r="O75" i="1"/>
  <c r="R74"/>
  <c r="V74" s="1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1"/>
  <c r="V31"/>
  <c r="W18"/>
  <c r="V18"/>
  <c r="W11"/>
  <c r="V11"/>
  <c r="W10"/>
  <c r="V10"/>
  <c r="W9"/>
  <c r="V9"/>
  <c r="W8"/>
  <c r="V8"/>
  <c r="W7"/>
  <c r="V7"/>
  <c r="W6"/>
  <c r="V6"/>
  <c r="W5"/>
  <c r="V5"/>
  <c r="W4"/>
  <c r="V4"/>
  <c r="W3"/>
  <c r="V3"/>
  <c r="W2"/>
  <c r="F12"/>
  <c r="E5" i="2"/>
  <c r="C5" s="1"/>
  <c r="C29" s="1"/>
  <c r="F6"/>
  <c r="C6" s="1"/>
  <c r="D35"/>
  <c r="C9"/>
  <c r="C32" s="1"/>
  <c r="E32" s="1"/>
  <c r="C13"/>
  <c r="C33" s="1"/>
  <c r="C14"/>
  <c r="C34" s="1"/>
  <c r="E30"/>
  <c r="C10"/>
  <c r="I128" i="1"/>
  <c r="I81"/>
  <c r="I82" s="1"/>
  <c r="H81"/>
  <c r="H82" s="1"/>
  <c r="G81"/>
  <c r="G87" s="1"/>
  <c r="F81"/>
  <c r="F82" s="1"/>
  <c r="V2"/>
  <c r="L5" i="4" l="1"/>
  <c r="C5"/>
  <c r="T5" s="1"/>
  <c r="T7" s="1"/>
  <c r="T8" s="1"/>
  <c r="O16"/>
  <c r="P16"/>
  <c r="C4" i="3"/>
  <c r="O10" i="4"/>
  <c r="P10"/>
  <c r="W4" s="1"/>
  <c r="E3" i="3"/>
  <c r="O15" i="4"/>
  <c r="P15"/>
  <c r="O19"/>
  <c r="P19"/>
  <c r="C5" i="3"/>
  <c r="O12" i="4"/>
  <c r="P12"/>
  <c r="O14"/>
  <c r="P14"/>
  <c r="W6" s="1"/>
  <c r="C3" i="3"/>
  <c r="O13" i="4"/>
  <c r="P13"/>
  <c r="Q22" i="1"/>
  <c r="Q30" s="1"/>
  <c r="T30" s="1"/>
  <c r="L7" i="4"/>
  <c r="M7"/>
  <c r="V6" s="1"/>
  <c r="I11" i="3"/>
  <c r="E11"/>
  <c r="J11"/>
  <c r="J128" i="1"/>
  <c r="D5" i="3"/>
  <c r="J5" s="1"/>
  <c r="W14" i="1"/>
  <c r="W16"/>
  <c r="Q12"/>
  <c r="V12" s="1"/>
  <c r="V22"/>
  <c r="W22"/>
  <c r="W15"/>
  <c r="V15"/>
  <c r="V17"/>
  <c r="V19"/>
  <c r="T19"/>
  <c r="W19" s="1"/>
  <c r="C6" i="3"/>
  <c r="C8" s="1"/>
  <c r="G86" i="1"/>
  <c r="G90"/>
  <c r="G84"/>
  <c r="G89"/>
  <c r="G91"/>
  <c r="G85"/>
  <c r="G88"/>
  <c r="B14" i="3"/>
  <c r="J3"/>
  <c r="G83" i="1"/>
  <c r="J4" i="3"/>
  <c r="F8"/>
  <c r="J6"/>
  <c r="B8"/>
  <c r="G8"/>
  <c r="J7"/>
  <c r="I8"/>
  <c r="H8"/>
  <c r="B12"/>
  <c r="K7"/>
  <c r="I83" i="1"/>
  <c r="I84" s="1"/>
  <c r="F83"/>
  <c r="F84" s="1"/>
  <c r="C12" i="3"/>
  <c r="K4"/>
  <c r="C11"/>
  <c r="K3"/>
  <c r="H83" i="1"/>
  <c r="R75"/>
  <c r="G92"/>
  <c r="S13"/>
  <c r="T12"/>
  <c r="F75"/>
  <c r="G77" s="1"/>
  <c r="G82"/>
  <c r="O25" i="4" l="1"/>
  <c r="C25"/>
  <c r="F5"/>
  <c r="I5" s="1"/>
  <c r="L25"/>
  <c r="F11" i="3"/>
  <c r="K11"/>
  <c r="C35"/>
  <c r="E35" s="1"/>
  <c r="I12"/>
  <c r="L11"/>
  <c r="I14"/>
  <c r="J14"/>
  <c r="C37"/>
  <c r="E37" s="1"/>
  <c r="D3" i="2"/>
  <c r="C26" s="1"/>
  <c r="B13" i="3"/>
  <c r="B19" s="1"/>
  <c r="B31" s="1"/>
  <c r="D8"/>
  <c r="Q75" i="1"/>
  <c r="C14" i="3"/>
  <c r="V75" i="1"/>
  <c r="K6" i="3"/>
  <c r="C34"/>
  <c r="E34" s="1"/>
  <c r="E14"/>
  <c r="J8"/>
  <c r="E12"/>
  <c r="L12" s="1"/>
  <c r="F12"/>
  <c r="M12" s="1"/>
  <c r="I85" i="1"/>
  <c r="I86" s="1"/>
  <c r="H84"/>
  <c r="F85"/>
  <c r="F86" s="1"/>
  <c r="F87" s="1"/>
  <c r="E5" i="3"/>
  <c r="M75" i="1"/>
  <c r="T75"/>
  <c r="W12"/>
  <c r="W13"/>
  <c r="S75"/>
  <c r="F25" i="4" l="1"/>
  <c r="I24" i="3"/>
  <c r="I30"/>
  <c r="I29"/>
  <c r="I23"/>
  <c r="I28"/>
  <c r="I22"/>
  <c r="J22" s="1"/>
  <c r="I25"/>
  <c r="I26"/>
  <c r="I27"/>
  <c r="B26"/>
  <c r="B22"/>
  <c r="B27"/>
  <c r="B23"/>
  <c r="B28"/>
  <c r="B24"/>
  <c r="B29"/>
  <c r="B25"/>
  <c r="C36"/>
  <c r="E36" s="1"/>
  <c r="I13"/>
  <c r="L14"/>
  <c r="M11"/>
  <c r="K14"/>
  <c r="F14"/>
  <c r="E13"/>
  <c r="L13" s="1"/>
  <c r="E4" i="2"/>
  <c r="C4" s="1"/>
  <c r="B39" i="3"/>
  <c r="I87" i="1"/>
  <c r="I88" s="1"/>
  <c r="I89" s="1"/>
  <c r="F88"/>
  <c r="F89" s="1"/>
  <c r="E8" i="3"/>
  <c r="K5"/>
  <c r="K8" s="1"/>
  <c r="C13"/>
  <c r="E26" i="2"/>
  <c r="E3"/>
  <c r="H85" i="1"/>
  <c r="H86" s="1"/>
  <c r="J5" i="4" l="1"/>
  <c r="I25"/>
  <c r="I26" s="1"/>
  <c r="U5"/>
  <c r="U7" s="1"/>
  <c r="U8" s="1"/>
  <c r="J25" i="3"/>
  <c r="E25"/>
  <c r="E23"/>
  <c r="L23" s="1"/>
  <c r="E24"/>
  <c r="L24" s="1"/>
  <c r="E22"/>
  <c r="E16"/>
  <c r="E26"/>
  <c r="E27"/>
  <c r="I15"/>
  <c r="J15" s="1"/>
  <c r="I16"/>
  <c r="J16" s="1"/>
  <c r="E15"/>
  <c r="M14"/>
  <c r="F13"/>
  <c r="M13" s="1"/>
  <c r="F90" i="1"/>
  <c r="C27" i="2"/>
  <c r="C3"/>
  <c r="C7" s="1"/>
  <c r="C11" s="1"/>
  <c r="C15" s="1"/>
  <c r="C39" i="3"/>
  <c r="C19"/>
  <c r="C31" s="1"/>
  <c r="H87" i="1"/>
  <c r="I90"/>
  <c r="I91" s="1"/>
  <c r="P5" i="4" l="1"/>
  <c r="M5"/>
  <c r="C26" i="3"/>
  <c r="C22"/>
  <c r="C27"/>
  <c r="C23"/>
  <c r="C28"/>
  <c r="C24"/>
  <c r="F24" s="1"/>
  <c r="M24" s="1"/>
  <c r="C29"/>
  <c r="C25"/>
  <c r="L22"/>
  <c r="L25"/>
  <c r="F27"/>
  <c r="F26"/>
  <c r="L15"/>
  <c r="L19" s="1"/>
  <c r="E31"/>
  <c r="L16"/>
  <c r="E19"/>
  <c r="I31"/>
  <c r="J19"/>
  <c r="I19"/>
  <c r="K16"/>
  <c r="K15"/>
  <c r="F91" i="1"/>
  <c r="F92" s="1"/>
  <c r="F16" i="3"/>
  <c r="F15"/>
  <c r="I92" i="1"/>
  <c r="I94" s="1"/>
  <c r="I131" s="1"/>
  <c r="E27" i="2"/>
  <c r="C31"/>
  <c r="H88" i="1"/>
  <c r="H89" s="1"/>
  <c r="H90" s="1"/>
  <c r="V5" i="4" l="1"/>
  <c r="V7" s="1"/>
  <c r="V8" s="1"/>
  <c r="M25"/>
  <c r="M26" s="1"/>
  <c r="W5"/>
  <c r="W7" s="1"/>
  <c r="P25"/>
  <c r="P26" s="1"/>
  <c r="F25" i="3"/>
  <c r="K25"/>
  <c r="F22"/>
  <c r="K22"/>
  <c r="M15"/>
  <c r="F23"/>
  <c r="L31"/>
  <c r="J31"/>
  <c r="M16"/>
  <c r="K19"/>
  <c r="F19"/>
  <c r="E31" i="2"/>
  <c r="C35"/>
  <c r="H91" i="1"/>
  <c r="H92" s="1"/>
  <c r="H94" s="1"/>
  <c r="M19" i="3" l="1"/>
  <c r="M25"/>
  <c r="K31"/>
  <c r="M22"/>
  <c r="M23"/>
  <c r="F31"/>
  <c r="M31" l="1"/>
</calcChain>
</file>

<file path=xl/comments1.xml><?xml version="1.0" encoding="utf-8"?>
<comments xmlns="http://schemas.openxmlformats.org/spreadsheetml/2006/main">
  <authors>
    <author>Simonetta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>TO CHECK COMPETENZE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>Simonetta:Check risconto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Check risconto
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Check risconto
</t>
        </r>
      </text>
    </comment>
    <comment ref="H140" authorId="0">
      <text>
        <r>
          <rPr>
            <b/>
            <sz val="9"/>
            <color indexed="81"/>
            <rFont val="Tahoma"/>
            <family val="2"/>
          </rPr>
          <t>TO CHECK COMPETENZE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<sst xmlns="http://schemas.openxmlformats.org/spreadsheetml/2006/main" count="501" uniqueCount="255">
  <si>
    <t>Commessa</t>
  </si>
  <si>
    <t>Numero fattura</t>
  </si>
  <si>
    <t>Cliente</t>
  </si>
  <si>
    <t>PRODOTTI</t>
  </si>
  <si>
    <t>SERVIZI</t>
  </si>
  <si>
    <t>Importo Dollaro</t>
  </si>
  <si>
    <t>tasso cambio</t>
  </si>
  <si>
    <t>Commerciale</t>
  </si>
  <si>
    <t>Banca</t>
  </si>
  <si>
    <t>Data incasso prevista</t>
  </si>
  <si>
    <t>Data Incasso effettiva</t>
  </si>
  <si>
    <t xml:space="preserve">Upsell 
nuovi prodotti </t>
  </si>
  <si>
    <t>newclietns</t>
  </si>
  <si>
    <t>Maintenance 
2015</t>
  </si>
  <si>
    <t>Maintenance 
2016</t>
  </si>
  <si>
    <t>Maintenance 
2017</t>
  </si>
  <si>
    <t>Maintenance 
2018</t>
  </si>
  <si>
    <t>Competenza 2014</t>
  </si>
  <si>
    <t>2010.001</t>
  </si>
  <si>
    <t>Luppi</t>
  </si>
  <si>
    <t>003/2014</t>
  </si>
  <si>
    <t>Teva Tech de Mexico Sa de CV</t>
  </si>
  <si>
    <t>DB</t>
  </si>
  <si>
    <t>Nice</t>
  </si>
  <si>
    <t>006/2014</t>
  </si>
  <si>
    <t>PCS Security</t>
  </si>
  <si>
    <t>Al Fahad Smart System</t>
  </si>
  <si>
    <t>Sym Servicios Integrales</t>
  </si>
  <si>
    <t>CICOM USA</t>
  </si>
  <si>
    <t>014/2014</t>
  </si>
  <si>
    <t>Comando Carabinieri "Palidoro"</t>
  </si>
  <si>
    <t>020/2014</t>
  </si>
  <si>
    <t>Horizon Global Group</t>
  </si>
  <si>
    <t>027/2014</t>
  </si>
  <si>
    <t>Intech Solutions</t>
  </si>
  <si>
    <t>030/2014</t>
  </si>
  <si>
    <t>031/2014</t>
  </si>
  <si>
    <t>CBA Poland</t>
  </si>
  <si>
    <t>035/2014</t>
  </si>
  <si>
    <t>037/2014</t>
  </si>
  <si>
    <t>044/2014</t>
  </si>
  <si>
    <t>Theola Ltd.</t>
  </si>
  <si>
    <t>047/2014</t>
  </si>
  <si>
    <t>Bull s.r.o.</t>
  </si>
  <si>
    <t>049/2014</t>
  </si>
  <si>
    <t>SSNS Ungheria</t>
  </si>
  <si>
    <t>Cyprus Intelligence Service</t>
  </si>
  <si>
    <t>056/2014</t>
  </si>
  <si>
    <t>060/2014</t>
  </si>
  <si>
    <t>Miliserv</t>
  </si>
  <si>
    <t>061/2014</t>
  </si>
  <si>
    <t>063/2014</t>
  </si>
  <si>
    <t>Policia de Investigaciones de Chile</t>
  </si>
  <si>
    <t>065/2014</t>
  </si>
  <si>
    <t xml:space="preserve">DHA Investment and Technologies </t>
  </si>
  <si>
    <t>066/2014</t>
  </si>
  <si>
    <t>067/2014</t>
  </si>
  <si>
    <t>KHIF Többcélú Kistérségi Társaság</t>
  </si>
  <si>
    <t>073/2014</t>
  </si>
  <si>
    <t>TOT.</t>
  </si>
  <si>
    <t>FATTURATO 2014</t>
  </si>
  <si>
    <t>Offensiva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</si>
  <si>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</si>
  <si>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</si>
  <si>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</si>
  <si>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</si>
  <si>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</si>
  <si>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</si>
  <si>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</si>
  <si>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</si>
  <si>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</si>
  <si>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</si>
  <si>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</si>
  <si>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</si>
  <si>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RICAVI</t>
  </si>
  <si>
    <t>Competenza 2015</t>
  </si>
  <si>
    <t>Total</t>
  </si>
  <si>
    <t>New Clients</t>
  </si>
  <si>
    <t>Upsell/Maintenance</t>
  </si>
  <si>
    <t>Other</t>
  </si>
  <si>
    <t>ok</t>
  </si>
  <si>
    <t>Turnover already booked in 2013</t>
  </si>
  <si>
    <t xml:space="preserve">Total Revenues </t>
  </si>
  <si>
    <t xml:space="preserve">New Clients to be delivered </t>
  </si>
  <si>
    <t>Other contract in closing phase</t>
  </si>
  <si>
    <t>Maintenance / Upsell to be invoiced 2014</t>
  </si>
  <si>
    <t>Invoice to be issued (final payment for signed contracts)</t>
  </si>
  <si>
    <t>New clients - to be delivered**</t>
  </si>
  <si>
    <t>Other contract in closing phase**</t>
  </si>
  <si>
    <t>Turnover 2015</t>
  </si>
  <si>
    <t>Revenue to be deferred (2015)</t>
  </si>
  <si>
    <t>Deferred Revenues 2014</t>
  </si>
  <si>
    <t>New Sales / Maintenance / Upsell to be invoiced (2015) - Final settlements</t>
  </si>
  <si>
    <t xml:space="preserve">Maintenance / Upsell to be invoiced (2015) - Opportunities </t>
  </si>
  <si>
    <t xml:space="preserve">Turnovers 2015 - Up to date </t>
  </si>
  <si>
    <t># New clients 2015*</t>
  </si>
  <si>
    <t>Upsell / Maintenance 2015</t>
  </si>
  <si>
    <t>Deferred revenues 2014</t>
  </si>
  <si>
    <t>001/2015</t>
  </si>
  <si>
    <t>072/2014</t>
  </si>
  <si>
    <t>Kantonspolizei Zurich</t>
  </si>
  <si>
    <t>035/2012</t>
  </si>
  <si>
    <t>Mauqah Technology</t>
  </si>
  <si>
    <t>INSA Ethiopia</t>
  </si>
  <si>
    <t>082/2012</t>
  </si>
  <si>
    <t>Postale</t>
  </si>
  <si>
    <t>003/2013</t>
  </si>
  <si>
    <t>Network Revolution</t>
  </si>
  <si>
    <t>060/2012</t>
  </si>
  <si>
    <t>002/2015</t>
  </si>
  <si>
    <t>CSH  &amp; MPS</t>
  </si>
  <si>
    <t>Bettini</t>
  </si>
  <si>
    <t>UCG</t>
  </si>
  <si>
    <t>Excellence Tech</t>
  </si>
  <si>
    <t>Shehata</t>
  </si>
  <si>
    <t>003/2015</t>
  </si>
  <si>
    <t>The 5163 Army Division</t>
  </si>
  <si>
    <t>Maglietta</t>
  </si>
  <si>
    <t>SIO S.p.A.</t>
  </si>
  <si>
    <t>004/2014</t>
  </si>
  <si>
    <t>005/2015</t>
  </si>
  <si>
    <t>Velasco</t>
  </si>
  <si>
    <t>006/2015</t>
  </si>
  <si>
    <t>007/2015</t>
  </si>
  <si>
    <t>Al Fahad Smart Systems</t>
  </si>
  <si>
    <t>008/2015</t>
  </si>
  <si>
    <t>SIS of KNB</t>
  </si>
  <si>
    <t>009/2015</t>
  </si>
  <si>
    <t>010/2015</t>
  </si>
  <si>
    <t>PCM</t>
  </si>
  <si>
    <t>011/2015</t>
  </si>
  <si>
    <t>Hi-Tech Security</t>
  </si>
  <si>
    <t>012/2015</t>
  </si>
  <si>
    <t>GNSE Group</t>
  </si>
  <si>
    <t>013/2015</t>
  </si>
  <si>
    <t>014/2015</t>
  </si>
  <si>
    <t>015/2015</t>
  </si>
  <si>
    <t>Vinci</t>
  </si>
  <si>
    <t>Data Fattura</t>
  </si>
  <si>
    <t>Fatture da emettere 2014</t>
  </si>
  <si>
    <t>Importo Fattura</t>
  </si>
  <si>
    <t>Importo Incasso</t>
  </si>
  <si>
    <t>Q1</t>
  </si>
  <si>
    <t>Fatturato</t>
  </si>
  <si>
    <t>Incassato</t>
  </si>
  <si>
    <t>Totale</t>
  </si>
  <si>
    <t>Q2</t>
  </si>
  <si>
    <t>Q3</t>
  </si>
  <si>
    <t>Q4</t>
  </si>
  <si>
    <t>Q</t>
  </si>
  <si>
    <t>016/2015</t>
  </si>
  <si>
    <t>CISEN</t>
  </si>
  <si>
    <t>Placing Value</t>
  </si>
  <si>
    <t>Lebanon Army Forces</t>
  </si>
  <si>
    <t>Cyprus</t>
  </si>
  <si>
    <t>Charmco</t>
  </si>
  <si>
    <t>PMO Malaysia</t>
  </si>
  <si>
    <t>Thai Police</t>
  </si>
  <si>
    <t>SCICO</t>
  </si>
  <si>
    <t>Polizia Postale</t>
  </si>
  <si>
    <t>Phoebe</t>
  </si>
  <si>
    <t>INSA</t>
  </si>
  <si>
    <t>TCC</t>
  </si>
  <si>
    <t>AC Mongolia</t>
  </si>
  <si>
    <t>SENAIN</t>
  </si>
  <si>
    <t>017/2015</t>
  </si>
  <si>
    <t>Yasnitech LTDA</t>
  </si>
  <si>
    <t>018/2015</t>
  </si>
  <si>
    <t>019/2015</t>
  </si>
  <si>
    <t>020/2015</t>
  </si>
  <si>
    <t>TKSL Telekommunikations-Sonderlösungen GmbH</t>
  </si>
  <si>
    <t>021/2015</t>
  </si>
  <si>
    <t>Lebanese Army</t>
  </si>
  <si>
    <t>YTD Q2 - 2015</t>
  </si>
  <si>
    <t>Russo</t>
  </si>
  <si>
    <t>Vincenzetti</t>
  </si>
  <si>
    <t>Bonus Maturato</t>
  </si>
  <si>
    <t>Bonus Pagabile</t>
  </si>
  <si>
    <t>Bonus ratio</t>
  </si>
  <si>
    <t>Bettini (Sales Manager)</t>
  </si>
  <si>
    <t>022/2015</t>
  </si>
  <si>
    <t>023/2015</t>
  </si>
  <si>
    <t>ISP</t>
  </si>
  <si>
    <t>024/2015</t>
  </si>
  <si>
    <t>NCS of KR</t>
  </si>
  <si>
    <t>Da fatturare Q1+Q2</t>
  </si>
  <si>
    <t>025/2015</t>
  </si>
  <si>
    <t>026/2015</t>
  </si>
  <si>
    <t>027/2015</t>
  </si>
  <si>
    <t>Independent Authority Against Corruption of Mongolia</t>
  </si>
  <si>
    <t>Emessa NC</t>
  </si>
  <si>
    <t>064/2014</t>
  </si>
  <si>
    <t>075/2013</t>
  </si>
  <si>
    <t xml:space="preserve">Fatture da riaprire </t>
  </si>
  <si>
    <t>Fatture 2015 - Competenza anno fiscale</t>
  </si>
  <si>
    <t>028/2015</t>
  </si>
  <si>
    <t>Intech Solutions GmbH</t>
  </si>
  <si>
    <t>029/2015</t>
  </si>
  <si>
    <t>Theola</t>
  </si>
  <si>
    <t>Fatture 2015 da emettere (indicata solo competenza FY)</t>
  </si>
  <si>
    <t>Budget</t>
  </si>
  <si>
    <t>Condition</t>
  </si>
  <si>
    <t>Bonus Totale
Maturato</t>
  </si>
  <si>
    <t>Pagabile</t>
  </si>
  <si>
    <t>*aggiungere TIKIT seconda fattura</t>
  </si>
  <si>
    <t>*aggiungere FAE</t>
  </si>
  <si>
    <t>Furlan</t>
  </si>
  <si>
    <t>Ho</t>
  </si>
  <si>
    <t>Invernizzi</t>
  </si>
  <si>
    <t>Martinez</t>
  </si>
  <si>
    <t>Pardo</t>
  </si>
  <si>
    <t>Romualdi</t>
  </si>
  <si>
    <t>Scarafile</t>
  </si>
  <si>
    <t>Rodriguez</t>
  </si>
  <si>
    <t>Project Value</t>
  </si>
  <si>
    <t>TNI</t>
  </si>
  <si>
    <t>Hardware</t>
  </si>
  <si>
    <t>Partner Commissions</t>
  </si>
  <si>
    <t>Shipment</t>
  </si>
  <si>
    <t>Net Sale</t>
  </si>
  <si>
    <t>TIKIT</t>
  </si>
  <si>
    <t>VIRNA</t>
  </si>
  <si>
    <t>TREVOR</t>
  </si>
  <si>
    <t>LIVIA</t>
  </si>
  <si>
    <t>BRENDA</t>
  </si>
  <si>
    <t>Sales Name</t>
  </si>
  <si>
    <t>NSS</t>
  </si>
  <si>
    <t>New</t>
  </si>
  <si>
    <t>Existing</t>
  </si>
  <si>
    <t>CSH</t>
  </si>
  <si>
    <t>SKA</t>
  </si>
  <si>
    <t>SIO</t>
  </si>
  <si>
    <t>ORF</t>
  </si>
  <si>
    <t>DST</t>
  </si>
  <si>
    <t>KNB</t>
  </si>
  <si>
    <t>GNSE - MOD</t>
  </si>
  <si>
    <t>IDA</t>
  </si>
  <si>
    <t>SEGOB</t>
  </si>
  <si>
    <t>TCC-GID</t>
  </si>
  <si>
    <t>FALCON</t>
  </si>
  <si>
    <t>MOACA</t>
  </si>
  <si>
    <t>CONDOR</t>
  </si>
  <si>
    <t xml:space="preserve">Margine </t>
  </si>
  <si>
    <t>Net Invoiced</t>
  </si>
  <si>
    <t>Net Collected</t>
  </si>
  <si>
    <t>Margin</t>
  </si>
  <si>
    <t>Others</t>
  </si>
  <si>
    <t>Invoiced</t>
  </si>
  <si>
    <t>Collected</t>
  </si>
  <si>
    <t>Sales Amount</t>
  </si>
  <si>
    <t>Net Sales Amount</t>
  </si>
  <si>
    <t>Net Sales</t>
  </si>
  <si>
    <t>Invoiced 30/6</t>
  </si>
  <si>
    <t>Gross Sales Amount</t>
  </si>
  <si>
    <t>Gross Collected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</si>
</sst>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  <numFmt numFmtId="167" formatCode="0.0000"/>
    <numFmt numFmtId="168" formatCode="_-* #,##0.000_-;\-* #,##0.0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Verdana"/>
      <family val="2"/>
    </font>
    <font>
      <b/>
      <sz val="11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rgb="FF00206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name val="Calibri"/>
      <family val="2"/>
    </font>
    <font>
      <b/>
      <u val="singleAccounting"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0" borderId="0" xfId="1" applyNumberFormat="1" applyFont="1" applyFill="1"/>
    <xf numFmtId="164" fontId="4" fillId="0" borderId="0" xfId="1" applyNumberFormat="1" applyFont="1"/>
    <xf numFmtId="164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center"/>
    </xf>
    <xf numFmtId="0" fontId="6" fillId="0" borderId="0" xfId="0" applyFont="1"/>
    <xf numFmtId="164" fontId="8" fillId="0" borderId="0" xfId="1" applyNumberFormat="1" applyFont="1" applyFill="1" applyAlignment="1">
      <alignment horizontal="center"/>
    </xf>
    <xf numFmtId="164" fontId="9" fillId="0" borderId="0" xfId="1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10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1" applyNumberFormat="1" applyFont="1" applyBorder="1" applyAlignment="1">
      <alignment horizontal="right" vertical="top" wrapText="1"/>
    </xf>
    <xf numFmtId="164" fontId="4" fillId="0" borderId="0" xfId="1" applyNumberFormat="1" applyFont="1" applyBorder="1"/>
    <xf numFmtId="164" fontId="6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164" fontId="6" fillId="0" borderId="1" xfId="1" applyNumberFormat="1" applyFont="1" applyBorder="1"/>
    <xf numFmtId="164" fontId="6" fillId="0" borderId="0" xfId="0" applyNumberFormat="1" applyFont="1"/>
    <xf numFmtId="0" fontId="12" fillId="0" borderId="3" xfId="0" applyFont="1" applyBorder="1"/>
    <xf numFmtId="164" fontId="4" fillId="0" borderId="4" xfId="0" applyNumberFormat="1" applyFont="1" applyBorder="1"/>
    <xf numFmtId="164" fontId="4" fillId="0" borderId="4" xfId="1" applyNumberFormat="1" applyFont="1" applyBorder="1"/>
    <xf numFmtId="0" fontId="4" fillId="0" borderId="5" xfId="0" applyFont="1" applyBorder="1"/>
    <xf numFmtId="0" fontId="4" fillId="0" borderId="0" xfId="0" applyFont="1" applyFill="1" applyBorder="1"/>
    <xf numFmtId="0" fontId="4" fillId="0" borderId="0" xfId="0" applyFont="1" applyFill="1"/>
    <xf numFmtId="164" fontId="4" fillId="0" borderId="7" xfId="1" applyNumberFormat="1" applyFont="1" applyBorder="1"/>
    <xf numFmtId="0" fontId="4" fillId="0" borderId="6" xfId="0" applyFont="1" applyBorder="1"/>
    <xf numFmtId="0" fontId="4" fillId="0" borderId="8" xfId="0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5" fontId="4" fillId="0" borderId="0" xfId="2" applyNumberFormat="1" applyFont="1" applyBorder="1"/>
    <xf numFmtId="164" fontId="13" fillId="6" borderId="0" xfId="1" applyNumberFormat="1" applyFont="1" applyFill="1"/>
    <xf numFmtId="164" fontId="13" fillId="6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ont="1" applyFill="1"/>
    <xf numFmtId="164" fontId="1" fillId="6" borderId="0" xfId="1" applyNumberFormat="1" applyFont="1" applyFill="1"/>
    <xf numFmtId="164" fontId="14" fillId="6" borderId="0" xfId="1" applyNumberFormat="1" applyFont="1" applyFill="1"/>
    <xf numFmtId="164" fontId="0" fillId="6" borderId="0" xfId="1" applyNumberFormat="1" applyFont="1" applyFill="1"/>
    <xf numFmtId="164" fontId="0" fillId="6" borderId="0" xfId="0" applyNumberFormat="1" applyFill="1"/>
    <xf numFmtId="164" fontId="3" fillId="6" borderId="0" xfId="1" applyNumberFormat="1" applyFont="1" applyFill="1"/>
    <xf numFmtId="0" fontId="2" fillId="6" borderId="0" xfId="0" applyFont="1" applyFill="1"/>
    <xf numFmtId="164" fontId="2" fillId="6" borderId="0" xfId="1" applyNumberFormat="1" applyFont="1" applyFill="1"/>
    <xf numFmtId="164" fontId="2" fillId="6" borderId="0" xfId="0" applyNumberFormat="1" applyFont="1" applyFill="1"/>
    <xf numFmtId="164" fontId="15" fillId="6" borderId="0" xfId="0" applyNumberFormat="1" applyFont="1" applyFill="1"/>
    <xf numFmtId="164" fontId="3" fillId="6" borderId="0" xfId="0" applyNumberFormat="1" applyFont="1" applyFill="1"/>
    <xf numFmtId="0" fontId="7" fillId="6" borderId="1" xfId="3" applyFont="1" applyFill="1" applyBorder="1" applyAlignment="1">
      <alignment horizontal="left" vertical="center" wrapText="1"/>
    </xf>
    <xf numFmtId="164" fontId="0" fillId="6" borderId="1" xfId="0" applyNumberFormat="1" applyFill="1" applyBorder="1"/>
    <xf numFmtId="164" fontId="0" fillId="4" borderId="1" xfId="0" applyNumberFormat="1" applyFill="1" applyBorder="1"/>
    <xf numFmtId="0" fontId="16" fillId="6" borderId="1" xfId="3" applyFont="1" applyFill="1" applyBorder="1" applyAlignment="1">
      <alignment horizontal="left" vertical="center" wrapText="1"/>
    </xf>
    <xf numFmtId="164" fontId="3" fillId="6" borderId="1" xfId="0" applyNumberFormat="1" applyFont="1" applyFill="1" applyBorder="1"/>
    <xf numFmtId="3" fontId="17" fillId="6" borderId="1" xfId="3" applyNumberFormat="1" applyFont="1" applyFill="1" applyBorder="1" applyAlignment="1">
      <alignment horizontal="center" vertical="center" wrapText="1"/>
    </xf>
    <xf numFmtId="0" fontId="18" fillId="6" borderId="0" xfId="0" applyFont="1" applyFill="1"/>
    <xf numFmtId="0" fontId="19" fillId="6" borderId="0" xfId="3" applyFont="1" applyFill="1"/>
    <xf numFmtId="0" fontId="1" fillId="6" borderId="0" xfId="3" applyFont="1" applyFill="1"/>
    <xf numFmtId="164" fontId="2" fillId="0" borderId="0" xfId="1" applyNumberFormat="1" applyFont="1" applyFill="1"/>
    <xf numFmtId="164" fontId="4" fillId="0" borderId="0" xfId="0" applyNumberFormat="1" applyFont="1" applyBorder="1"/>
    <xf numFmtId="0" fontId="4" fillId="0" borderId="7" xfId="0" applyFont="1" applyBorder="1"/>
    <xf numFmtId="164" fontId="4" fillId="4" borderId="0" xfId="1" applyNumberFormat="1" applyFont="1" applyFill="1"/>
    <xf numFmtId="0" fontId="22" fillId="0" borderId="0" xfId="0" applyFont="1"/>
    <xf numFmtId="164" fontId="22" fillId="0" borderId="0" xfId="1" applyNumberFormat="1" applyFont="1"/>
    <xf numFmtId="164" fontId="22" fillId="0" borderId="0" xfId="0" applyNumberFormat="1" applyFont="1"/>
    <xf numFmtId="4" fontId="2" fillId="0" borderId="0" xfId="0" applyNumberFormat="1" applyFont="1"/>
    <xf numFmtId="4" fontId="22" fillId="0" borderId="0" xfId="1" applyNumberFormat="1" applyFont="1" applyFill="1"/>
    <xf numFmtId="4" fontId="22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3" fontId="0" fillId="0" borderId="12" xfId="0" applyNumberFormat="1" applyBorder="1"/>
    <xf numFmtId="3" fontId="0" fillId="0" borderId="13" xfId="0" applyNumberFormat="1" applyBorder="1"/>
    <xf numFmtId="0" fontId="3" fillId="0" borderId="8" xfId="0" applyFont="1" applyBorder="1"/>
    <xf numFmtId="3" fontId="3" fillId="0" borderId="14" xfId="0" applyNumberFormat="1" applyFont="1" applyBorder="1"/>
    <xf numFmtId="3" fontId="3" fillId="0" borderId="1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 vertical="center"/>
    </xf>
    <xf numFmtId="166" fontId="23" fillId="3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164" fontId="23" fillId="0" borderId="1" xfId="1" applyNumberFormat="1" applyFont="1" applyFill="1" applyBorder="1" applyAlignment="1">
      <alignment horizontal="center" vertical="center"/>
    </xf>
    <xf numFmtId="166" fontId="23" fillId="0" borderId="1" xfId="1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164" fontId="24" fillId="3" borderId="1" xfId="1" applyNumberFormat="1" applyFont="1" applyFill="1" applyBorder="1" applyAlignment="1">
      <alignment horizontal="center" vertical="center"/>
    </xf>
    <xf numFmtId="166" fontId="24" fillId="3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 vertical="center"/>
    </xf>
    <xf numFmtId="166" fontId="24" fillId="0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3" fontId="0" fillId="3" borderId="12" xfId="0" applyNumberFormat="1" applyFill="1" applyBorder="1"/>
    <xf numFmtId="3" fontId="0" fillId="3" borderId="13" xfId="0" applyNumberFormat="1" applyFill="1" applyBorder="1"/>
    <xf numFmtId="3" fontId="3" fillId="3" borderId="14" xfId="0" applyNumberFormat="1" applyFont="1" applyFill="1" applyBorder="1"/>
    <xf numFmtId="3" fontId="3" fillId="3" borderId="10" xfId="0" applyNumberFormat="1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4" xfId="0" applyNumberFormat="1" applyBorder="1"/>
    <xf numFmtId="0" fontId="3" fillId="0" borderId="15" xfId="0" applyFont="1" applyBorder="1"/>
    <xf numFmtId="3" fontId="3" fillId="0" borderId="1" xfId="0" applyNumberFormat="1" applyFont="1" applyBorder="1"/>
    <xf numFmtId="0" fontId="3" fillId="0" borderId="0" xfId="0" applyFont="1"/>
    <xf numFmtId="164" fontId="0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9" fontId="0" fillId="7" borderId="12" xfId="2" applyFont="1" applyFill="1" applyBorder="1"/>
    <xf numFmtId="3" fontId="0" fillId="7" borderId="5" xfId="0" applyNumberFormat="1" applyFill="1" applyBorder="1"/>
    <xf numFmtId="9" fontId="0" fillId="7" borderId="13" xfId="2" applyFont="1" applyFill="1" applyBorder="1"/>
    <xf numFmtId="3" fontId="0" fillId="7" borderId="7" xfId="0" applyNumberFormat="1" applyFill="1" applyBorder="1"/>
    <xf numFmtId="165" fontId="0" fillId="7" borderId="7" xfId="2" applyNumberFormat="1" applyFont="1" applyFill="1" applyBorder="1"/>
    <xf numFmtId="10" fontId="0" fillId="7" borderId="7" xfId="2" applyNumberFormat="1" applyFont="1" applyFill="1" applyBorder="1"/>
    <xf numFmtId="3" fontId="3" fillId="7" borderId="1" xfId="0" applyNumberFormat="1" applyFont="1" applyFill="1" applyBorder="1"/>
    <xf numFmtId="167" fontId="4" fillId="3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horizontal="center" vertical="center"/>
    </xf>
    <xf numFmtId="167" fontId="23" fillId="3" borderId="1" xfId="1" applyNumberFormat="1" applyFont="1" applyFill="1" applyBorder="1" applyAlignment="1">
      <alignment horizontal="center" vertical="center"/>
    </xf>
    <xf numFmtId="167" fontId="24" fillId="3" borderId="1" xfId="1" applyNumberFormat="1" applyFont="1" applyFill="1" applyBorder="1" applyAlignment="1">
      <alignment horizontal="center" vertical="center"/>
    </xf>
    <xf numFmtId="167" fontId="24" fillId="0" borderId="1" xfId="1" applyNumberFormat="1" applyFont="1" applyFill="1" applyBorder="1" applyAlignment="1">
      <alignment horizontal="center" vertical="center"/>
    </xf>
    <xf numFmtId="3" fontId="0" fillId="7" borderId="12" xfId="0" applyNumberFormat="1" applyFill="1" applyBorder="1"/>
    <xf numFmtId="3" fontId="0" fillId="7" borderId="13" xfId="0" applyNumberFormat="1" applyFill="1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3" fontId="4" fillId="0" borderId="7" xfId="0" applyNumberFormat="1" applyFont="1" applyBorder="1"/>
    <xf numFmtId="3" fontId="4" fillId="0" borderId="7" xfId="1" applyNumberFormat="1" applyFont="1" applyFill="1" applyBorder="1"/>
    <xf numFmtId="0" fontId="22" fillId="0" borderId="0" xfId="0" applyFont="1" applyFill="1" applyBorder="1"/>
    <xf numFmtId="164" fontId="4" fillId="0" borderId="9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0" borderId="9" xfId="0" applyNumberFormat="1" applyFont="1" applyBorder="1"/>
    <xf numFmtId="10" fontId="0" fillId="7" borderId="12" xfId="2" applyNumberFormat="1" applyFont="1" applyFill="1" applyBorder="1"/>
    <xf numFmtId="10" fontId="0" fillId="7" borderId="13" xfId="2" applyNumberFormat="1" applyFont="1" applyFill="1" applyBorder="1"/>
    <xf numFmtId="3" fontId="0" fillId="7" borderId="7" xfId="0" applyNumberFormat="1" applyFill="1" applyBorder="1" applyAlignment="1">
      <alignment horizontal="right"/>
    </xf>
    <xf numFmtId="0" fontId="3" fillId="7" borderId="1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7" borderId="0" xfId="0" applyNumberFormat="1" applyFont="1" applyFill="1" applyBorder="1"/>
    <xf numFmtId="0" fontId="3" fillId="0" borderId="5" xfId="0" applyFont="1" applyBorder="1" applyAlignment="1">
      <alignment horizontal="center"/>
    </xf>
    <xf numFmtId="3" fontId="0" fillId="0" borderId="0" xfId="0" applyNumberFormat="1"/>
    <xf numFmtId="0" fontId="3" fillId="0" borderId="3" xfId="0" applyFont="1" applyBorder="1"/>
    <xf numFmtId="0" fontId="0" fillId="0" borderId="8" xfId="0" applyBorder="1"/>
    <xf numFmtId="9" fontId="3" fillId="0" borderId="16" xfId="0" applyNumberFormat="1" applyFont="1" applyBorder="1"/>
    <xf numFmtId="49" fontId="3" fillId="0" borderId="5" xfId="0" applyNumberFormat="1" applyFont="1" applyBorder="1" applyAlignment="1">
      <alignment horizontal="center"/>
    </xf>
    <xf numFmtId="49" fontId="0" fillId="0" borderId="5" xfId="0" applyNumberFormat="1" applyBorder="1"/>
    <xf numFmtId="49" fontId="0" fillId="0" borderId="7" xfId="0" applyNumberFormat="1" applyBorder="1"/>
    <xf numFmtId="49" fontId="0" fillId="0" borderId="10" xfId="0" applyNumberFormat="1" applyBorder="1"/>
    <xf numFmtId="49" fontId="3" fillId="0" borderId="11" xfId="0" applyNumberFormat="1" applyFont="1" applyBorder="1"/>
    <xf numFmtId="49" fontId="0" fillId="0" borderId="0" xfId="0" applyNumberFormat="1"/>
    <xf numFmtId="0" fontId="3" fillId="0" borderId="15" xfId="0" applyFont="1" applyBorder="1" applyAlignment="1">
      <alignment horizontal="center"/>
    </xf>
    <xf numFmtId="3" fontId="2" fillId="0" borderId="0" xfId="0" applyNumberFormat="1" applyFont="1"/>
    <xf numFmtId="0" fontId="0" fillId="0" borderId="5" xfId="0" applyBorder="1"/>
    <xf numFmtId="3" fontId="0" fillId="0" borderId="7" xfId="0" applyNumberFormat="1" applyBorder="1"/>
    <xf numFmtId="3" fontId="0" fillId="0" borderId="10" xfId="0" applyNumberFormat="1" applyBorder="1"/>
    <xf numFmtId="3" fontId="0" fillId="0" borderId="5" xfId="0" applyNumberFormat="1" applyBorder="1"/>
    <xf numFmtId="3" fontId="3" fillId="0" borderId="11" xfId="0" applyNumberFormat="1" applyFont="1" applyBorder="1"/>
    <xf numFmtId="10" fontId="0" fillId="0" borderId="7" xfId="0" applyNumberFormat="1" applyBorder="1"/>
    <xf numFmtId="10" fontId="0" fillId="0" borderId="10" xfId="0" applyNumberFormat="1" applyBorder="1"/>
    <xf numFmtId="1" fontId="0" fillId="0" borderId="0" xfId="0" applyNumberFormat="1"/>
    <xf numFmtId="3" fontId="3" fillId="3" borderId="1" xfId="0" applyNumberFormat="1" applyFont="1" applyFill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3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 wrapText="1"/>
    </xf>
    <xf numFmtId="0" fontId="0" fillId="3" borderId="12" xfId="0" applyFill="1" applyBorder="1"/>
    <xf numFmtId="3" fontId="0" fillId="3" borderId="14" xfId="0" applyNumberFormat="1" applyFill="1" applyBorder="1"/>
    <xf numFmtId="3" fontId="3" fillId="3" borderId="15" xfId="0" applyNumberFormat="1" applyFont="1" applyFill="1" applyBorder="1"/>
    <xf numFmtId="0" fontId="3" fillId="3" borderId="16" xfId="0" applyFont="1" applyFill="1" applyBorder="1"/>
    <xf numFmtId="3" fontId="3" fillId="3" borderId="16" xfId="0" applyNumberFormat="1" applyFont="1" applyFill="1" applyBorder="1"/>
    <xf numFmtId="49" fontId="3" fillId="0" borderId="5" xfId="0" applyNumberFormat="1" applyFont="1" applyBorder="1"/>
    <xf numFmtId="3" fontId="3" fillId="0" borderId="13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168" fontId="3" fillId="3" borderId="16" xfId="1" applyNumberFormat="1" applyFont="1" applyFill="1" applyBorder="1"/>
    <xf numFmtId="168" fontId="3" fillId="0" borderId="11" xfId="1" applyNumberFormat="1" applyFont="1" applyBorder="1"/>
    <xf numFmtId="10" fontId="0" fillId="0" borderId="13" xfId="2" applyNumberFormat="1" applyFont="1" applyBorder="1"/>
    <xf numFmtId="10" fontId="0" fillId="0" borderId="7" xfId="2" applyNumberFormat="1" applyFont="1" applyBorder="1"/>
    <xf numFmtId="10" fontId="0" fillId="0" borderId="5" xfId="2" applyNumberFormat="1" applyFont="1" applyBorder="1"/>
    <xf numFmtId="10" fontId="0" fillId="0" borderId="10" xfId="2" applyNumberFormat="1" applyFont="1" applyBorder="1"/>
    <xf numFmtId="10" fontId="3" fillId="3" borderId="16" xfId="2" applyNumberFormat="1" applyFont="1" applyFill="1" applyBorder="1"/>
    <xf numFmtId="10" fontId="3" fillId="3" borderId="16" xfId="0" applyNumberFormat="1" applyFont="1" applyFill="1" applyBorder="1"/>
    <xf numFmtId="10" fontId="3" fillId="0" borderId="1" xfId="2" applyNumberFormat="1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0"/>
  <sheetViews>
    <sheetView tabSelected="1" topLeftCell="C1" zoomScale="75" zoomScaleNormal="75" workbookViewId="0">
      <pane ySplit="1" topLeftCell="A2" activePane="bottomLeft" state="frozen"/>
      <selection activeCell="B1" sqref="B1"/>
      <selection pane="bottomLeft" activeCell="J11" sqref="J11"/>
    </sheetView>
  </sheetViews>
  <sheetFormatPr defaultRowHeight="15"/>
  <cols>
    <col min="1" max="1" width="11" style="1" hidden="1" customWidth="1"/>
    <col min="2" max="2" width="9.28515625" style="1" bestFit="1" customWidth="1"/>
    <col min="3" max="3" width="15.85546875" style="1" bestFit="1" customWidth="1"/>
    <col min="4" max="4" width="21.7109375" style="1" bestFit="1" customWidth="1"/>
    <col min="5" max="5" width="32.85546875" style="1" bestFit="1" customWidth="1"/>
    <col min="6" max="6" width="24.42578125" style="12" customWidth="1"/>
    <col min="7" max="7" width="13.85546875" style="12" customWidth="1"/>
    <col min="8" max="8" width="13.5703125" style="1" customWidth="1"/>
    <col min="9" max="9" width="22.85546875" style="1" bestFit="1" customWidth="1"/>
    <col min="10" max="10" width="14.5703125" style="1" bestFit="1" customWidth="1"/>
    <col min="11" max="11" width="25.140625" style="1" customWidth="1"/>
    <col min="12" max="12" width="19.7109375" style="18" customWidth="1"/>
    <col min="13" max="13" width="17.42578125" style="18" customWidth="1"/>
    <col min="14" max="14" width="9.28515625" style="18" bestFit="1" customWidth="1"/>
    <col min="15" max="15" width="17.85546875" style="18" customWidth="1"/>
    <col min="16" max="16" width="15.7109375" style="1" customWidth="1"/>
    <col min="17" max="17" width="13.28515625" customWidth="1"/>
    <col min="18" max="18" width="17.42578125" style="12" bestFit="1" customWidth="1"/>
    <col min="19" max="19" width="14" style="12" bestFit="1" customWidth="1"/>
    <col min="20" max="20" width="16.5703125" style="1" customWidth="1"/>
    <col min="21" max="21" width="24.7109375" style="1" bestFit="1" customWidth="1"/>
    <col min="22" max="23" width="16.5703125" style="1" customWidth="1"/>
    <col min="24" max="24" width="24" style="1" bestFit="1" customWidth="1"/>
    <col min="25" max="259" width="9.140625" style="1"/>
    <col min="260" max="260" width="0" style="1" hidden="1" customWidth="1"/>
    <col min="261" max="261" width="15.85546875" style="1" bestFit="1" customWidth="1"/>
    <col min="262" max="262" width="21.7109375" style="1" bestFit="1" customWidth="1"/>
    <col min="263" max="263" width="48.5703125" style="1" customWidth="1"/>
    <col min="264" max="266" width="18.28515625" style="1" bestFit="1" customWidth="1"/>
    <col min="267" max="268" width="18.28515625" style="1" customWidth="1"/>
    <col min="269" max="269" width="23.42578125" style="1" customWidth="1"/>
    <col min="270" max="270" width="37.42578125" style="1" customWidth="1"/>
    <col min="271" max="271" width="30" style="1" bestFit="1" customWidth="1"/>
    <col min="272" max="272" width="26.5703125" style="1" customWidth="1"/>
    <col min="273" max="273" width="27.28515625" style="1" customWidth="1"/>
    <col min="274" max="274" width="12.28515625" style="1" bestFit="1" customWidth="1"/>
    <col min="275" max="275" width="12.42578125" style="1" bestFit="1" customWidth="1"/>
    <col min="276" max="276" width="13.7109375" style="1" bestFit="1" customWidth="1"/>
    <col min="277" max="277" width="11.28515625" style="1" bestFit="1" customWidth="1"/>
    <col min="278" max="278" width="11.140625" style="1" bestFit="1" customWidth="1"/>
    <col min="279" max="515" width="9.140625" style="1"/>
    <col min="516" max="516" width="0" style="1" hidden="1" customWidth="1"/>
    <col min="517" max="517" width="15.85546875" style="1" bestFit="1" customWidth="1"/>
    <col min="518" max="518" width="21.7109375" style="1" bestFit="1" customWidth="1"/>
    <col min="519" max="519" width="48.5703125" style="1" customWidth="1"/>
    <col min="520" max="522" width="18.28515625" style="1" bestFit="1" customWidth="1"/>
    <col min="523" max="524" width="18.28515625" style="1" customWidth="1"/>
    <col min="525" max="525" width="23.42578125" style="1" customWidth="1"/>
    <col min="526" max="526" width="37.42578125" style="1" customWidth="1"/>
    <col min="527" max="527" width="30" style="1" bestFit="1" customWidth="1"/>
    <col min="528" max="528" width="26.5703125" style="1" customWidth="1"/>
    <col min="529" max="529" width="27.28515625" style="1" customWidth="1"/>
    <col min="530" max="530" width="12.28515625" style="1" bestFit="1" customWidth="1"/>
    <col min="531" max="531" width="12.42578125" style="1" bestFit="1" customWidth="1"/>
    <col min="532" max="532" width="13.7109375" style="1" bestFit="1" customWidth="1"/>
    <col min="533" max="533" width="11.28515625" style="1" bestFit="1" customWidth="1"/>
    <col min="534" max="534" width="11.140625" style="1" bestFit="1" customWidth="1"/>
    <col min="535" max="771" width="9.140625" style="1"/>
    <col min="772" max="772" width="0" style="1" hidden="1" customWidth="1"/>
    <col min="773" max="773" width="15.85546875" style="1" bestFit="1" customWidth="1"/>
    <col min="774" max="774" width="21.7109375" style="1" bestFit="1" customWidth="1"/>
    <col min="775" max="775" width="48.5703125" style="1" customWidth="1"/>
    <col min="776" max="778" width="18.28515625" style="1" bestFit="1" customWidth="1"/>
    <col min="779" max="780" width="18.28515625" style="1" customWidth="1"/>
    <col min="781" max="781" width="23.42578125" style="1" customWidth="1"/>
    <col min="782" max="782" width="37.42578125" style="1" customWidth="1"/>
    <col min="783" max="783" width="30" style="1" bestFit="1" customWidth="1"/>
    <col min="784" max="784" width="26.5703125" style="1" customWidth="1"/>
    <col min="785" max="785" width="27.28515625" style="1" customWidth="1"/>
    <col min="786" max="786" width="12.28515625" style="1" bestFit="1" customWidth="1"/>
    <col min="787" max="787" width="12.42578125" style="1" bestFit="1" customWidth="1"/>
    <col min="788" max="788" width="13.7109375" style="1" bestFit="1" customWidth="1"/>
    <col min="789" max="789" width="11.28515625" style="1" bestFit="1" customWidth="1"/>
    <col min="790" max="790" width="11.140625" style="1" bestFit="1" customWidth="1"/>
    <col min="791" max="1027" width="9.140625" style="1"/>
    <col min="1028" max="1028" width="0" style="1" hidden="1" customWidth="1"/>
    <col min="1029" max="1029" width="15.85546875" style="1" bestFit="1" customWidth="1"/>
    <col min="1030" max="1030" width="21.7109375" style="1" bestFit="1" customWidth="1"/>
    <col min="1031" max="1031" width="48.5703125" style="1" customWidth="1"/>
    <col min="1032" max="1034" width="18.28515625" style="1" bestFit="1" customWidth="1"/>
    <col min="1035" max="1036" width="18.28515625" style="1" customWidth="1"/>
    <col min="1037" max="1037" width="23.42578125" style="1" customWidth="1"/>
    <col min="1038" max="1038" width="37.42578125" style="1" customWidth="1"/>
    <col min="1039" max="1039" width="30" style="1" bestFit="1" customWidth="1"/>
    <col min="1040" max="1040" width="26.5703125" style="1" customWidth="1"/>
    <col min="1041" max="1041" width="27.28515625" style="1" customWidth="1"/>
    <col min="1042" max="1042" width="12.28515625" style="1" bestFit="1" customWidth="1"/>
    <col min="1043" max="1043" width="12.42578125" style="1" bestFit="1" customWidth="1"/>
    <col min="1044" max="1044" width="13.7109375" style="1" bestFit="1" customWidth="1"/>
    <col min="1045" max="1045" width="11.28515625" style="1" bestFit="1" customWidth="1"/>
    <col min="1046" max="1046" width="11.140625" style="1" bestFit="1" customWidth="1"/>
    <col min="1047" max="1283" width="9.140625" style="1"/>
    <col min="1284" max="1284" width="0" style="1" hidden="1" customWidth="1"/>
    <col min="1285" max="1285" width="15.85546875" style="1" bestFit="1" customWidth="1"/>
    <col min="1286" max="1286" width="21.7109375" style="1" bestFit="1" customWidth="1"/>
    <col min="1287" max="1287" width="48.5703125" style="1" customWidth="1"/>
    <col min="1288" max="1290" width="18.28515625" style="1" bestFit="1" customWidth="1"/>
    <col min="1291" max="1292" width="18.28515625" style="1" customWidth="1"/>
    <col min="1293" max="1293" width="23.42578125" style="1" customWidth="1"/>
    <col min="1294" max="1294" width="37.42578125" style="1" customWidth="1"/>
    <col min="1295" max="1295" width="30" style="1" bestFit="1" customWidth="1"/>
    <col min="1296" max="1296" width="26.5703125" style="1" customWidth="1"/>
    <col min="1297" max="1297" width="27.28515625" style="1" customWidth="1"/>
    <col min="1298" max="1298" width="12.28515625" style="1" bestFit="1" customWidth="1"/>
    <col min="1299" max="1299" width="12.42578125" style="1" bestFit="1" customWidth="1"/>
    <col min="1300" max="1300" width="13.7109375" style="1" bestFit="1" customWidth="1"/>
    <col min="1301" max="1301" width="11.28515625" style="1" bestFit="1" customWidth="1"/>
    <col min="1302" max="1302" width="11.140625" style="1" bestFit="1" customWidth="1"/>
    <col min="1303" max="1539" width="9.140625" style="1"/>
    <col min="1540" max="1540" width="0" style="1" hidden="1" customWidth="1"/>
    <col min="1541" max="1541" width="15.85546875" style="1" bestFit="1" customWidth="1"/>
    <col min="1542" max="1542" width="21.7109375" style="1" bestFit="1" customWidth="1"/>
    <col min="1543" max="1543" width="48.5703125" style="1" customWidth="1"/>
    <col min="1544" max="1546" width="18.28515625" style="1" bestFit="1" customWidth="1"/>
    <col min="1547" max="1548" width="18.28515625" style="1" customWidth="1"/>
    <col min="1549" max="1549" width="23.42578125" style="1" customWidth="1"/>
    <col min="1550" max="1550" width="37.42578125" style="1" customWidth="1"/>
    <col min="1551" max="1551" width="30" style="1" bestFit="1" customWidth="1"/>
    <col min="1552" max="1552" width="26.5703125" style="1" customWidth="1"/>
    <col min="1553" max="1553" width="27.28515625" style="1" customWidth="1"/>
    <col min="1554" max="1554" width="12.28515625" style="1" bestFit="1" customWidth="1"/>
    <col min="1555" max="1555" width="12.42578125" style="1" bestFit="1" customWidth="1"/>
    <col min="1556" max="1556" width="13.7109375" style="1" bestFit="1" customWidth="1"/>
    <col min="1557" max="1557" width="11.28515625" style="1" bestFit="1" customWidth="1"/>
    <col min="1558" max="1558" width="11.140625" style="1" bestFit="1" customWidth="1"/>
    <col min="1559" max="1795" width="9.140625" style="1"/>
    <col min="1796" max="1796" width="0" style="1" hidden="1" customWidth="1"/>
    <col min="1797" max="1797" width="15.85546875" style="1" bestFit="1" customWidth="1"/>
    <col min="1798" max="1798" width="21.7109375" style="1" bestFit="1" customWidth="1"/>
    <col min="1799" max="1799" width="48.5703125" style="1" customWidth="1"/>
    <col min="1800" max="1802" width="18.28515625" style="1" bestFit="1" customWidth="1"/>
    <col min="1803" max="1804" width="18.28515625" style="1" customWidth="1"/>
    <col min="1805" max="1805" width="23.42578125" style="1" customWidth="1"/>
    <col min="1806" max="1806" width="37.42578125" style="1" customWidth="1"/>
    <col min="1807" max="1807" width="30" style="1" bestFit="1" customWidth="1"/>
    <col min="1808" max="1808" width="26.5703125" style="1" customWidth="1"/>
    <col min="1809" max="1809" width="27.28515625" style="1" customWidth="1"/>
    <col min="1810" max="1810" width="12.28515625" style="1" bestFit="1" customWidth="1"/>
    <col min="1811" max="1811" width="12.42578125" style="1" bestFit="1" customWidth="1"/>
    <col min="1812" max="1812" width="13.7109375" style="1" bestFit="1" customWidth="1"/>
    <col min="1813" max="1813" width="11.28515625" style="1" bestFit="1" customWidth="1"/>
    <col min="1814" max="1814" width="11.140625" style="1" bestFit="1" customWidth="1"/>
    <col min="1815" max="2051" width="9.140625" style="1"/>
    <col min="2052" max="2052" width="0" style="1" hidden="1" customWidth="1"/>
    <col min="2053" max="2053" width="15.85546875" style="1" bestFit="1" customWidth="1"/>
    <col min="2054" max="2054" width="21.7109375" style="1" bestFit="1" customWidth="1"/>
    <col min="2055" max="2055" width="48.5703125" style="1" customWidth="1"/>
    <col min="2056" max="2058" width="18.28515625" style="1" bestFit="1" customWidth="1"/>
    <col min="2059" max="2060" width="18.28515625" style="1" customWidth="1"/>
    <col min="2061" max="2061" width="23.42578125" style="1" customWidth="1"/>
    <col min="2062" max="2062" width="37.42578125" style="1" customWidth="1"/>
    <col min="2063" max="2063" width="30" style="1" bestFit="1" customWidth="1"/>
    <col min="2064" max="2064" width="26.5703125" style="1" customWidth="1"/>
    <col min="2065" max="2065" width="27.28515625" style="1" customWidth="1"/>
    <col min="2066" max="2066" width="12.28515625" style="1" bestFit="1" customWidth="1"/>
    <col min="2067" max="2067" width="12.42578125" style="1" bestFit="1" customWidth="1"/>
    <col min="2068" max="2068" width="13.7109375" style="1" bestFit="1" customWidth="1"/>
    <col min="2069" max="2069" width="11.28515625" style="1" bestFit="1" customWidth="1"/>
    <col min="2070" max="2070" width="11.140625" style="1" bestFit="1" customWidth="1"/>
    <col min="2071" max="2307" width="9.140625" style="1"/>
    <col min="2308" max="2308" width="0" style="1" hidden="1" customWidth="1"/>
    <col min="2309" max="2309" width="15.85546875" style="1" bestFit="1" customWidth="1"/>
    <col min="2310" max="2310" width="21.7109375" style="1" bestFit="1" customWidth="1"/>
    <col min="2311" max="2311" width="48.5703125" style="1" customWidth="1"/>
    <col min="2312" max="2314" width="18.28515625" style="1" bestFit="1" customWidth="1"/>
    <col min="2315" max="2316" width="18.28515625" style="1" customWidth="1"/>
    <col min="2317" max="2317" width="23.42578125" style="1" customWidth="1"/>
    <col min="2318" max="2318" width="37.42578125" style="1" customWidth="1"/>
    <col min="2319" max="2319" width="30" style="1" bestFit="1" customWidth="1"/>
    <col min="2320" max="2320" width="26.5703125" style="1" customWidth="1"/>
    <col min="2321" max="2321" width="27.28515625" style="1" customWidth="1"/>
    <col min="2322" max="2322" width="12.28515625" style="1" bestFit="1" customWidth="1"/>
    <col min="2323" max="2323" width="12.42578125" style="1" bestFit="1" customWidth="1"/>
    <col min="2324" max="2324" width="13.7109375" style="1" bestFit="1" customWidth="1"/>
    <col min="2325" max="2325" width="11.28515625" style="1" bestFit="1" customWidth="1"/>
    <col min="2326" max="2326" width="11.140625" style="1" bestFit="1" customWidth="1"/>
    <col min="2327" max="2563" width="9.140625" style="1"/>
    <col min="2564" max="2564" width="0" style="1" hidden="1" customWidth="1"/>
    <col min="2565" max="2565" width="15.85546875" style="1" bestFit="1" customWidth="1"/>
    <col min="2566" max="2566" width="21.7109375" style="1" bestFit="1" customWidth="1"/>
    <col min="2567" max="2567" width="48.5703125" style="1" customWidth="1"/>
    <col min="2568" max="2570" width="18.28515625" style="1" bestFit="1" customWidth="1"/>
    <col min="2571" max="2572" width="18.28515625" style="1" customWidth="1"/>
    <col min="2573" max="2573" width="23.42578125" style="1" customWidth="1"/>
    <col min="2574" max="2574" width="37.42578125" style="1" customWidth="1"/>
    <col min="2575" max="2575" width="30" style="1" bestFit="1" customWidth="1"/>
    <col min="2576" max="2576" width="26.5703125" style="1" customWidth="1"/>
    <col min="2577" max="2577" width="27.28515625" style="1" customWidth="1"/>
    <col min="2578" max="2578" width="12.28515625" style="1" bestFit="1" customWidth="1"/>
    <col min="2579" max="2579" width="12.42578125" style="1" bestFit="1" customWidth="1"/>
    <col min="2580" max="2580" width="13.7109375" style="1" bestFit="1" customWidth="1"/>
    <col min="2581" max="2581" width="11.28515625" style="1" bestFit="1" customWidth="1"/>
    <col min="2582" max="2582" width="11.140625" style="1" bestFit="1" customWidth="1"/>
    <col min="2583" max="2819" width="9.140625" style="1"/>
    <col min="2820" max="2820" width="0" style="1" hidden="1" customWidth="1"/>
    <col min="2821" max="2821" width="15.85546875" style="1" bestFit="1" customWidth="1"/>
    <col min="2822" max="2822" width="21.7109375" style="1" bestFit="1" customWidth="1"/>
    <col min="2823" max="2823" width="48.5703125" style="1" customWidth="1"/>
    <col min="2824" max="2826" width="18.28515625" style="1" bestFit="1" customWidth="1"/>
    <col min="2827" max="2828" width="18.28515625" style="1" customWidth="1"/>
    <col min="2829" max="2829" width="23.42578125" style="1" customWidth="1"/>
    <col min="2830" max="2830" width="37.42578125" style="1" customWidth="1"/>
    <col min="2831" max="2831" width="30" style="1" bestFit="1" customWidth="1"/>
    <col min="2832" max="2832" width="26.5703125" style="1" customWidth="1"/>
    <col min="2833" max="2833" width="27.28515625" style="1" customWidth="1"/>
    <col min="2834" max="2834" width="12.28515625" style="1" bestFit="1" customWidth="1"/>
    <col min="2835" max="2835" width="12.42578125" style="1" bestFit="1" customWidth="1"/>
    <col min="2836" max="2836" width="13.7109375" style="1" bestFit="1" customWidth="1"/>
    <col min="2837" max="2837" width="11.28515625" style="1" bestFit="1" customWidth="1"/>
    <col min="2838" max="2838" width="11.140625" style="1" bestFit="1" customWidth="1"/>
    <col min="2839" max="3075" width="9.140625" style="1"/>
    <col min="3076" max="3076" width="0" style="1" hidden="1" customWidth="1"/>
    <col min="3077" max="3077" width="15.85546875" style="1" bestFit="1" customWidth="1"/>
    <col min="3078" max="3078" width="21.7109375" style="1" bestFit="1" customWidth="1"/>
    <col min="3079" max="3079" width="48.5703125" style="1" customWidth="1"/>
    <col min="3080" max="3082" width="18.28515625" style="1" bestFit="1" customWidth="1"/>
    <col min="3083" max="3084" width="18.28515625" style="1" customWidth="1"/>
    <col min="3085" max="3085" width="23.42578125" style="1" customWidth="1"/>
    <col min="3086" max="3086" width="37.42578125" style="1" customWidth="1"/>
    <col min="3087" max="3087" width="30" style="1" bestFit="1" customWidth="1"/>
    <col min="3088" max="3088" width="26.5703125" style="1" customWidth="1"/>
    <col min="3089" max="3089" width="27.28515625" style="1" customWidth="1"/>
    <col min="3090" max="3090" width="12.28515625" style="1" bestFit="1" customWidth="1"/>
    <col min="3091" max="3091" width="12.42578125" style="1" bestFit="1" customWidth="1"/>
    <col min="3092" max="3092" width="13.7109375" style="1" bestFit="1" customWidth="1"/>
    <col min="3093" max="3093" width="11.28515625" style="1" bestFit="1" customWidth="1"/>
    <col min="3094" max="3094" width="11.140625" style="1" bestFit="1" customWidth="1"/>
    <col min="3095" max="3331" width="9.140625" style="1"/>
    <col min="3332" max="3332" width="0" style="1" hidden="1" customWidth="1"/>
    <col min="3333" max="3333" width="15.85546875" style="1" bestFit="1" customWidth="1"/>
    <col min="3334" max="3334" width="21.7109375" style="1" bestFit="1" customWidth="1"/>
    <col min="3335" max="3335" width="48.5703125" style="1" customWidth="1"/>
    <col min="3336" max="3338" width="18.28515625" style="1" bestFit="1" customWidth="1"/>
    <col min="3339" max="3340" width="18.28515625" style="1" customWidth="1"/>
    <col min="3341" max="3341" width="23.42578125" style="1" customWidth="1"/>
    <col min="3342" max="3342" width="37.42578125" style="1" customWidth="1"/>
    <col min="3343" max="3343" width="30" style="1" bestFit="1" customWidth="1"/>
    <col min="3344" max="3344" width="26.5703125" style="1" customWidth="1"/>
    <col min="3345" max="3345" width="27.28515625" style="1" customWidth="1"/>
    <col min="3346" max="3346" width="12.28515625" style="1" bestFit="1" customWidth="1"/>
    <col min="3347" max="3347" width="12.42578125" style="1" bestFit="1" customWidth="1"/>
    <col min="3348" max="3348" width="13.7109375" style="1" bestFit="1" customWidth="1"/>
    <col min="3349" max="3349" width="11.28515625" style="1" bestFit="1" customWidth="1"/>
    <col min="3350" max="3350" width="11.140625" style="1" bestFit="1" customWidth="1"/>
    <col min="3351" max="3587" width="9.140625" style="1"/>
    <col min="3588" max="3588" width="0" style="1" hidden="1" customWidth="1"/>
    <col min="3589" max="3589" width="15.85546875" style="1" bestFit="1" customWidth="1"/>
    <col min="3590" max="3590" width="21.7109375" style="1" bestFit="1" customWidth="1"/>
    <col min="3591" max="3591" width="48.5703125" style="1" customWidth="1"/>
    <col min="3592" max="3594" width="18.28515625" style="1" bestFit="1" customWidth="1"/>
    <col min="3595" max="3596" width="18.28515625" style="1" customWidth="1"/>
    <col min="3597" max="3597" width="23.42578125" style="1" customWidth="1"/>
    <col min="3598" max="3598" width="37.42578125" style="1" customWidth="1"/>
    <col min="3599" max="3599" width="30" style="1" bestFit="1" customWidth="1"/>
    <col min="3600" max="3600" width="26.5703125" style="1" customWidth="1"/>
    <col min="3601" max="3601" width="27.28515625" style="1" customWidth="1"/>
    <col min="3602" max="3602" width="12.28515625" style="1" bestFit="1" customWidth="1"/>
    <col min="3603" max="3603" width="12.42578125" style="1" bestFit="1" customWidth="1"/>
    <col min="3604" max="3604" width="13.7109375" style="1" bestFit="1" customWidth="1"/>
    <col min="3605" max="3605" width="11.28515625" style="1" bestFit="1" customWidth="1"/>
    <col min="3606" max="3606" width="11.140625" style="1" bestFit="1" customWidth="1"/>
    <col min="3607" max="3843" width="9.140625" style="1"/>
    <col min="3844" max="3844" width="0" style="1" hidden="1" customWidth="1"/>
    <col min="3845" max="3845" width="15.85546875" style="1" bestFit="1" customWidth="1"/>
    <col min="3846" max="3846" width="21.7109375" style="1" bestFit="1" customWidth="1"/>
    <col min="3847" max="3847" width="48.5703125" style="1" customWidth="1"/>
    <col min="3848" max="3850" width="18.28515625" style="1" bestFit="1" customWidth="1"/>
    <col min="3851" max="3852" width="18.28515625" style="1" customWidth="1"/>
    <col min="3853" max="3853" width="23.42578125" style="1" customWidth="1"/>
    <col min="3854" max="3854" width="37.42578125" style="1" customWidth="1"/>
    <col min="3855" max="3855" width="30" style="1" bestFit="1" customWidth="1"/>
    <col min="3856" max="3856" width="26.5703125" style="1" customWidth="1"/>
    <col min="3857" max="3857" width="27.28515625" style="1" customWidth="1"/>
    <col min="3858" max="3858" width="12.28515625" style="1" bestFit="1" customWidth="1"/>
    <col min="3859" max="3859" width="12.42578125" style="1" bestFit="1" customWidth="1"/>
    <col min="3860" max="3860" width="13.7109375" style="1" bestFit="1" customWidth="1"/>
    <col min="3861" max="3861" width="11.28515625" style="1" bestFit="1" customWidth="1"/>
    <col min="3862" max="3862" width="11.140625" style="1" bestFit="1" customWidth="1"/>
    <col min="3863" max="4099" width="9.140625" style="1"/>
    <col min="4100" max="4100" width="0" style="1" hidden="1" customWidth="1"/>
    <col min="4101" max="4101" width="15.85546875" style="1" bestFit="1" customWidth="1"/>
    <col min="4102" max="4102" width="21.7109375" style="1" bestFit="1" customWidth="1"/>
    <col min="4103" max="4103" width="48.5703125" style="1" customWidth="1"/>
    <col min="4104" max="4106" width="18.28515625" style="1" bestFit="1" customWidth="1"/>
    <col min="4107" max="4108" width="18.28515625" style="1" customWidth="1"/>
    <col min="4109" max="4109" width="23.42578125" style="1" customWidth="1"/>
    <col min="4110" max="4110" width="37.42578125" style="1" customWidth="1"/>
    <col min="4111" max="4111" width="30" style="1" bestFit="1" customWidth="1"/>
    <col min="4112" max="4112" width="26.5703125" style="1" customWidth="1"/>
    <col min="4113" max="4113" width="27.28515625" style="1" customWidth="1"/>
    <col min="4114" max="4114" width="12.28515625" style="1" bestFit="1" customWidth="1"/>
    <col min="4115" max="4115" width="12.42578125" style="1" bestFit="1" customWidth="1"/>
    <col min="4116" max="4116" width="13.7109375" style="1" bestFit="1" customWidth="1"/>
    <col min="4117" max="4117" width="11.28515625" style="1" bestFit="1" customWidth="1"/>
    <col min="4118" max="4118" width="11.140625" style="1" bestFit="1" customWidth="1"/>
    <col min="4119" max="4355" width="9.140625" style="1"/>
    <col min="4356" max="4356" width="0" style="1" hidden="1" customWidth="1"/>
    <col min="4357" max="4357" width="15.85546875" style="1" bestFit="1" customWidth="1"/>
    <col min="4358" max="4358" width="21.7109375" style="1" bestFit="1" customWidth="1"/>
    <col min="4359" max="4359" width="48.5703125" style="1" customWidth="1"/>
    <col min="4360" max="4362" width="18.28515625" style="1" bestFit="1" customWidth="1"/>
    <col min="4363" max="4364" width="18.28515625" style="1" customWidth="1"/>
    <col min="4365" max="4365" width="23.42578125" style="1" customWidth="1"/>
    <col min="4366" max="4366" width="37.42578125" style="1" customWidth="1"/>
    <col min="4367" max="4367" width="30" style="1" bestFit="1" customWidth="1"/>
    <col min="4368" max="4368" width="26.5703125" style="1" customWidth="1"/>
    <col min="4369" max="4369" width="27.28515625" style="1" customWidth="1"/>
    <col min="4370" max="4370" width="12.28515625" style="1" bestFit="1" customWidth="1"/>
    <col min="4371" max="4371" width="12.42578125" style="1" bestFit="1" customWidth="1"/>
    <col min="4372" max="4372" width="13.7109375" style="1" bestFit="1" customWidth="1"/>
    <col min="4373" max="4373" width="11.28515625" style="1" bestFit="1" customWidth="1"/>
    <col min="4374" max="4374" width="11.140625" style="1" bestFit="1" customWidth="1"/>
    <col min="4375" max="4611" width="9.140625" style="1"/>
    <col min="4612" max="4612" width="0" style="1" hidden="1" customWidth="1"/>
    <col min="4613" max="4613" width="15.85546875" style="1" bestFit="1" customWidth="1"/>
    <col min="4614" max="4614" width="21.7109375" style="1" bestFit="1" customWidth="1"/>
    <col min="4615" max="4615" width="48.5703125" style="1" customWidth="1"/>
    <col min="4616" max="4618" width="18.28515625" style="1" bestFit="1" customWidth="1"/>
    <col min="4619" max="4620" width="18.28515625" style="1" customWidth="1"/>
    <col min="4621" max="4621" width="23.42578125" style="1" customWidth="1"/>
    <col min="4622" max="4622" width="37.42578125" style="1" customWidth="1"/>
    <col min="4623" max="4623" width="30" style="1" bestFit="1" customWidth="1"/>
    <col min="4624" max="4624" width="26.5703125" style="1" customWidth="1"/>
    <col min="4625" max="4625" width="27.28515625" style="1" customWidth="1"/>
    <col min="4626" max="4626" width="12.28515625" style="1" bestFit="1" customWidth="1"/>
    <col min="4627" max="4627" width="12.42578125" style="1" bestFit="1" customWidth="1"/>
    <col min="4628" max="4628" width="13.7109375" style="1" bestFit="1" customWidth="1"/>
    <col min="4629" max="4629" width="11.28515625" style="1" bestFit="1" customWidth="1"/>
    <col min="4630" max="4630" width="11.140625" style="1" bestFit="1" customWidth="1"/>
    <col min="4631" max="4867" width="9.140625" style="1"/>
    <col min="4868" max="4868" width="0" style="1" hidden="1" customWidth="1"/>
    <col min="4869" max="4869" width="15.85546875" style="1" bestFit="1" customWidth="1"/>
    <col min="4870" max="4870" width="21.7109375" style="1" bestFit="1" customWidth="1"/>
    <col min="4871" max="4871" width="48.5703125" style="1" customWidth="1"/>
    <col min="4872" max="4874" width="18.28515625" style="1" bestFit="1" customWidth="1"/>
    <col min="4875" max="4876" width="18.28515625" style="1" customWidth="1"/>
    <col min="4877" max="4877" width="23.42578125" style="1" customWidth="1"/>
    <col min="4878" max="4878" width="37.42578125" style="1" customWidth="1"/>
    <col min="4879" max="4879" width="30" style="1" bestFit="1" customWidth="1"/>
    <col min="4880" max="4880" width="26.5703125" style="1" customWidth="1"/>
    <col min="4881" max="4881" width="27.28515625" style="1" customWidth="1"/>
    <col min="4882" max="4882" width="12.28515625" style="1" bestFit="1" customWidth="1"/>
    <col min="4883" max="4883" width="12.42578125" style="1" bestFit="1" customWidth="1"/>
    <col min="4884" max="4884" width="13.7109375" style="1" bestFit="1" customWidth="1"/>
    <col min="4885" max="4885" width="11.28515625" style="1" bestFit="1" customWidth="1"/>
    <col min="4886" max="4886" width="11.140625" style="1" bestFit="1" customWidth="1"/>
    <col min="4887" max="5123" width="9.140625" style="1"/>
    <col min="5124" max="5124" width="0" style="1" hidden="1" customWidth="1"/>
    <col min="5125" max="5125" width="15.85546875" style="1" bestFit="1" customWidth="1"/>
    <col min="5126" max="5126" width="21.7109375" style="1" bestFit="1" customWidth="1"/>
    <col min="5127" max="5127" width="48.5703125" style="1" customWidth="1"/>
    <col min="5128" max="5130" width="18.28515625" style="1" bestFit="1" customWidth="1"/>
    <col min="5131" max="5132" width="18.28515625" style="1" customWidth="1"/>
    <col min="5133" max="5133" width="23.42578125" style="1" customWidth="1"/>
    <col min="5134" max="5134" width="37.42578125" style="1" customWidth="1"/>
    <col min="5135" max="5135" width="30" style="1" bestFit="1" customWidth="1"/>
    <col min="5136" max="5136" width="26.5703125" style="1" customWidth="1"/>
    <col min="5137" max="5137" width="27.28515625" style="1" customWidth="1"/>
    <col min="5138" max="5138" width="12.28515625" style="1" bestFit="1" customWidth="1"/>
    <col min="5139" max="5139" width="12.42578125" style="1" bestFit="1" customWidth="1"/>
    <col min="5140" max="5140" width="13.7109375" style="1" bestFit="1" customWidth="1"/>
    <col min="5141" max="5141" width="11.28515625" style="1" bestFit="1" customWidth="1"/>
    <col min="5142" max="5142" width="11.140625" style="1" bestFit="1" customWidth="1"/>
    <col min="5143" max="5379" width="9.140625" style="1"/>
    <col min="5380" max="5380" width="0" style="1" hidden="1" customWidth="1"/>
    <col min="5381" max="5381" width="15.85546875" style="1" bestFit="1" customWidth="1"/>
    <col min="5382" max="5382" width="21.7109375" style="1" bestFit="1" customWidth="1"/>
    <col min="5383" max="5383" width="48.5703125" style="1" customWidth="1"/>
    <col min="5384" max="5386" width="18.28515625" style="1" bestFit="1" customWidth="1"/>
    <col min="5387" max="5388" width="18.28515625" style="1" customWidth="1"/>
    <col min="5389" max="5389" width="23.42578125" style="1" customWidth="1"/>
    <col min="5390" max="5390" width="37.42578125" style="1" customWidth="1"/>
    <col min="5391" max="5391" width="30" style="1" bestFit="1" customWidth="1"/>
    <col min="5392" max="5392" width="26.5703125" style="1" customWidth="1"/>
    <col min="5393" max="5393" width="27.28515625" style="1" customWidth="1"/>
    <col min="5394" max="5394" width="12.28515625" style="1" bestFit="1" customWidth="1"/>
    <col min="5395" max="5395" width="12.42578125" style="1" bestFit="1" customWidth="1"/>
    <col min="5396" max="5396" width="13.7109375" style="1" bestFit="1" customWidth="1"/>
    <col min="5397" max="5397" width="11.28515625" style="1" bestFit="1" customWidth="1"/>
    <col min="5398" max="5398" width="11.140625" style="1" bestFit="1" customWidth="1"/>
    <col min="5399" max="5635" width="9.140625" style="1"/>
    <col min="5636" max="5636" width="0" style="1" hidden="1" customWidth="1"/>
    <col min="5637" max="5637" width="15.85546875" style="1" bestFit="1" customWidth="1"/>
    <col min="5638" max="5638" width="21.7109375" style="1" bestFit="1" customWidth="1"/>
    <col min="5639" max="5639" width="48.5703125" style="1" customWidth="1"/>
    <col min="5640" max="5642" width="18.28515625" style="1" bestFit="1" customWidth="1"/>
    <col min="5643" max="5644" width="18.28515625" style="1" customWidth="1"/>
    <col min="5645" max="5645" width="23.42578125" style="1" customWidth="1"/>
    <col min="5646" max="5646" width="37.42578125" style="1" customWidth="1"/>
    <col min="5647" max="5647" width="30" style="1" bestFit="1" customWidth="1"/>
    <col min="5648" max="5648" width="26.5703125" style="1" customWidth="1"/>
    <col min="5649" max="5649" width="27.28515625" style="1" customWidth="1"/>
    <col min="5650" max="5650" width="12.28515625" style="1" bestFit="1" customWidth="1"/>
    <col min="5651" max="5651" width="12.42578125" style="1" bestFit="1" customWidth="1"/>
    <col min="5652" max="5652" width="13.7109375" style="1" bestFit="1" customWidth="1"/>
    <col min="5653" max="5653" width="11.28515625" style="1" bestFit="1" customWidth="1"/>
    <col min="5654" max="5654" width="11.140625" style="1" bestFit="1" customWidth="1"/>
    <col min="5655" max="5891" width="9.140625" style="1"/>
    <col min="5892" max="5892" width="0" style="1" hidden="1" customWidth="1"/>
    <col min="5893" max="5893" width="15.85546875" style="1" bestFit="1" customWidth="1"/>
    <col min="5894" max="5894" width="21.7109375" style="1" bestFit="1" customWidth="1"/>
    <col min="5895" max="5895" width="48.5703125" style="1" customWidth="1"/>
    <col min="5896" max="5898" width="18.28515625" style="1" bestFit="1" customWidth="1"/>
    <col min="5899" max="5900" width="18.28515625" style="1" customWidth="1"/>
    <col min="5901" max="5901" width="23.42578125" style="1" customWidth="1"/>
    <col min="5902" max="5902" width="37.42578125" style="1" customWidth="1"/>
    <col min="5903" max="5903" width="30" style="1" bestFit="1" customWidth="1"/>
    <col min="5904" max="5904" width="26.5703125" style="1" customWidth="1"/>
    <col min="5905" max="5905" width="27.28515625" style="1" customWidth="1"/>
    <col min="5906" max="5906" width="12.28515625" style="1" bestFit="1" customWidth="1"/>
    <col min="5907" max="5907" width="12.42578125" style="1" bestFit="1" customWidth="1"/>
    <col min="5908" max="5908" width="13.7109375" style="1" bestFit="1" customWidth="1"/>
    <col min="5909" max="5909" width="11.28515625" style="1" bestFit="1" customWidth="1"/>
    <col min="5910" max="5910" width="11.140625" style="1" bestFit="1" customWidth="1"/>
    <col min="5911" max="6147" width="9.140625" style="1"/>
    <col min="6148" max="6148" width="0" style="1" hidden="1" customWidth="1"/>
    <col min="6149" max="6149" width="15.85546875" style="1" bestFit="1" customWidth="1"/>
    <col min="6150" max="6150" width="21.7109375" style="1" bestFit="1" customWidth="1"/>
    <col min="6151" max="6151" width="48.5703125" style="1" customWidth="1"/>
    <col min="6152" max="6154" width="18.28515625" style="1" bestFit="1" customWidth="1"/>
    <col min="6155" max="6156" width="18.28515625" style="1" customWidth="1"/>
    <col min="6157" max="6157" width="23.42578125" style="1" customWidth="1"/>
    <col min="6158" max="6158" width="37.42578125" style="1" customWidth="1"/>
    <col min="6159" max="6159" width="30" style="1" bestFit="1" customWidth="1"/>
    <col min="6160" max="6160" width="26.5703125" style="1" customWidth="1"/>
    <col min="6161" max="6161" width="27.28515625" style="1" customWidth="1"/>
    <col min="6162" max="6162" width="12.28515625" style="1" bestFit="1" customWidth="1"/>
    <col min="6163" max="6163" width="12.42578125" style="1" bestFit="1" customWidth="1"/>
    <col min="6164" max="6164" width="13.7109375" style="1" bestFit="1" customWidth="1"/>
    <col min="6165" max="6165" width="11.28515625" style="1" bestFit="1" customWidth="1"/>
    <col min="6166" max="6166" width="11.140625" style="1" bestFit="1" customWidth="1"/>
    <col min="6167" max="6403" width="9.140625" style="1"/>
    <col min="6404" max="6404" width="0" style="1" hidden="1" customWidth="1"/>
    <col min="6405" max="6405" width="15.85546875" style="1" bestFit="1" customWidth="1"/>
    <col min="6406" max="6406" width="21.7109375" style="1" bestFit="1" customWidth="1"/>
    <col min="6407" max="6407" width="48.5703125" style="1" customWidth="1"/>
    <col min="6408" max="6410" width="18.28515625" style="1" bestFit="1" customWidth="1"/>
    <col min="6411" max="6412" width="18.28515625" style="1" customWidth="1"/>
    <col min="6413" max="6413" width="23.42578125" style="1" customWidth="1"/>
    <col min="6414" max="6414" width="37.42578125" style="1" customWidth="1"/>
    <col min="6415" max="6415" width="30" style="1" bestFit="1" customWidth="1"/>
    <col min="6416" max="6416" width="26.5703125" style="1" customWidth="1"/>
    <col min="6417" max="6417" width="27.28515625" style="1" customWidth="1"/>
    <col min="6418" max="6418" width="12.28515625" style="1" bestFit="1" customWidth="1"/>
    <col min="6419" max="6419" width="12.42578125" style="1" bestFit="1" customWidth="1"/>
    <col min="6420" max="6420" width="13.7109375" style="1" bestFit="1" customWidth="1"/>
    <col min="6421" max="6421" width="11.28515625" style="1" bestFit="1" customWidth="1"/>
    <col min="6422" max="6422" width="11.140625" style="1" bestFit="1" customWidth="1"/>
    <col min="6423" max="6659" width="9.140625" style="1"/>
    <col min="6660" max="6660" width="0" style="1" hidden="1" customWidth="1"/>
    <col min="6661" max="6661" width="15.85546875" style="1" bestFit="1" customWidth="1"/>
    <col min="6662" max="6662" width="21.7109375" style="1" bestFit="1" customWidth="1"/>
    <col min="6663" max="6663" width="48.5703125" style="1" customWidth="1"/>
    <col min="6664" max="6666" width="18.28515625" style="1" bestFit="1" customWidth="1"/>
    <col min="6667" max="6668" width="18.28515625" style="1" customWidth="1"/>
    <col min="6669" max="6669" width="23.42578125" style="1" customWidth="1"/>
    <col min="6670" max="6670" width="37.42578125" style="1" customWidth="1"/>
    <col min="6671" max="6671" width="30" style="1" bestFit="1" customWidth="1"/>
    <col min="6672" max="6672" width="26.5703125" style="1" customWidth="1"/>
    <col min="6673" max="6673" width="27.28515625" style="1" customWidth="1"/>
    <col min="6674" max="6674" width="12.28515625" style="1" bestFit="1" customWidth="1"/>
    <col min="6675" max="6675" width="12.42578125" style="1" bestFit="1" customWidth="1"/>
    <col min="6676" max="6676" width="13.7109375" style="1" bestFit="1" customWidth="1"/>
    <col min="6677" max="6677" width="11.28515625" style="1" bestFit="1" customWidth="1"/>
    <col min="6678" max="6678" width="11.140625" style="1" bestFit="1" customWidth="1"/>
    <col min="6679" max="6915" width="9.140625" style="1"/>
    <col min="6916" max="6916" width="0" style="1" hidden="1" customWidth="1"/>
    <col min="6917" max="6917" width="15.85546875" style="1" bestFit="1" customWidth="1"/>
    <col min="6918" max="6918" width="21.7109375" style="1" bestFit="1" customWidth="1"/>
    <col min="6919" max="6919" width="48.5703125" style="1" customWidth="1"/>
    <col min="6920" max="6922" width="18.28515625" style="1" bestFit="1" customWidth="1"/>
    <col min="6923" max="6924" width="18.28515625" style="1" customWidth="1"/>
    <col min="6925" max="6925" width="23.42578125" style="1" customWidth="1"/>
    <col min="6926" max="6926" width="37.42578125" style="1" customWidth="1"/>
    <col min="6927" max="6927" width="30" style="1" bestFit="1" customWidth="1"/>
    <col min="6928" max="6928" width="26.5703125" style="1" customWidth="1"/>
    <col min="6929" max="6929" width="27.28515625" style="1" customWidth="1"/>
    <col min="6930" max="6930" width="12.28515625" style="1" bestFit="1" customWidth="1"/>
    <col min="6931" max="6931" width="12.42578125" style="1" bestFit="1" customWidth="1"/>
    <col min="6932" max="6932" width="13.7109375" style="1" bestFit="1" customWidth="1"/>
    <col min="6933" max="6933" width="11.28515625" style="1" bestFit="1" customWidth="1"/>
    <col min="6934" max="6934" width="11.140625" style="1" bestFit="1" customWidth="1"/>
    <col min="6935" max="7171" width="9.140625" style="1"/>
    <col min="7172" max="7172" width="0" style="1" hidden="1" customWidth="1"/>
    <col min="7173" max="7173" width="15.85546875" style="1" bestFit="1" customWidth="1"/>
    <col min="7174" max="7174" width="21.7109375" style="1" bestFit="1" customWidth="1"/>
    <col min="7175" max="7175" width="48.5703125" style="1" customWidth="1"/>
    <col min="7176" max="7178" width="18.28515625" style="1" bestFit="1" customWidth="1"/>
    <col min="7179" max="7180" width="18.28515625" style="1" customWidth="1"/>
    <col min="7181" max="7181" width="23.42578125" style="1" customWidth="1"/>
    <col min="7182" max="7182" width="37.42578125" style="1" customWidth="1"/>
    <col min="7183" max="7183" width="30" style="1" bestFit="1" customWidth="1"/>
    <col min="7184" max="7184" width="26.5703125" style="1" customWidth="1"/>
    <col min="7185" max="7185" width="27.28515625" style="1" customWidth="1"/>
    <col min="7186" max="7186" width="12.28515625" style="1" bestFit="1" customWidth="1"/>
    <col min="7187" max="7187" width="12.42578125" style="1" bestFit="1" customWidth="1"/>
    <col min="7188" max="7188" width="13.7109375" style="1" bestFit="1" customWidth="1"/>
    <col min="7189" max="7189" width="11.28515625" style="1" bestFit="1" customWidth="1"/>
    <col min="7190" max="7190" width="11.140625" style="1" bestFit="1" customWidth="1"/>
    <col min="7191" max="7427" width="9.140625" style="1"/>
    <col min="7428" max="7428" width="0" style="1" hidden="1" customWidth="1"/>
    <col min="7429" max="7429" width="15.85546875" style="1" bestFit="1" customWidth="1"/>
    <col min="7430" max="7430" width="21.7109375" style="1" bestFit="1" customWidth="1"/>
    <col min="7431" max="7431" width="48.5703125" style="1" customWidth="1"/>
    <col min="7432" max="7434" width="18.28515625" style="1" bestFit="1" customWidth="1"/>
    <col min="7435" max="7436" width="18.28515625" style="1" customWidth="1"/>
    <col min="7437" max="7437" width="23.42578125" style="1" customWidth="1"/>
    <col min="7438" max="7438" width="37.42578125" style="1" customWidth="1"/>
    <col min="7439" max="7439" width="30" style="1" bestFit="1" customWidth="1"/>
    <col min="7440" max="7440" width="26.5703125" style="1" customWidth="1"/>
    <col min="7441" max="7441" width="27.28515625" style="1" customWidth="1"/>
    <col min="7442" max="7442" width="12.28515625" style="1" bestFit="1" customWidth="1"/>
    <col min="7443" max="7443" width="12.42578125" style="1" bestFit="1" customWidth="1"/>
    <col min="7444" max="7444" width="13.7109375" style="1" bestFit="1" customWidth="1"/>
    <col min="7445" max="7445" width="11.28515625" style="1" bestFit="1" customWidth="1"/>
    <col min="7446" max="7446" width="11.140625" style="1" bestFit="1" customWidth="1"/>
    <col min="7447" max="7683" width="9.140625" style="1"/>
    <col min="7684" max="7684" width="0" style="1" hidden="1" customWidth="1"/>
    <col min="7685" max="7685" width="15.85546875" style="1" bestFit="1" customWidth="1"/>
    <col min="7686" max="7686" width="21.7109375" style="1" bestFit="1" customWidth="1"/>
    <col min="7687" max="7687" width="48.5703125" style="1" customWidth="1"/>
    <col min="7688" max="7690" width="18.28515625" style="1" bestFit="1" customWidth="1"/>
    <col min="7691" max="7692" width="18.28515625" style="1" customWidth="1"/>
    <col min="7693" max="7693" width="23.42578125" style="1" customWidth="1"/>
    <col min="7694" max="7694" width="37.42578125" style="1" customWidth="1"/>
    <col min="7695" max="7695" width="30" style="1" bestFit="1" customWidth="1"/>
    <col min="7696" max="7696" width="26.5703125" style="1" customWidth="1"/>
    <col min="7697" max="7697" width="27.28515625" style="1" customWidth="1"/>
    <col min="7698" max="7698" width="12.28515625" style="1" bestFit="1" customWidth="1"/>
    <col min="7699" max="7699" width="12.42578125" style="1" bestFit="1" customWidth="1"/>
    <col min="7700" max="7700" width="13.7109375" style="1" bestFit="1" customWidth="1"/>
    <col min="7701" max="7701" width="11.28515625" style="1" bestFit="1" customWidth="1"/>
    <col min="7702" max="7702" width="11.140625" style="1" bestFit="1" customWidth="1"/>
    <col min="7703" max="7939" width="9.140625" style="1"/>
    <col min="7940" max="7940" width="0" style="1" hidden="1" customWidth="1"/>
    <col min="7941" max="7941" width="15.85546875" style="1" bestFit="1" customWidth="1"/>
    <col min="7942" max="7942" width="21.7109375" style="1" bestFit="1" customWidth="1"/>
    <col min="7943" max="7943" width="48.5703125" style="1" customWidth="1"/>
    <col min="7944" max="7946" width="18.28515625" style="1" bestFit="1" customWidth="1"/>
    <col min="7947" max="7948" width="18.28515625" style="1" customWidth="1"/>
    <col min="7949" max="7949" width="23.42578125" style="1" customWidth="1"/>
    <col min="7950" max="7950" width="37.42578125" style="1" customWidth="1"/>
    <col min="7951" max="7951" width="30" style="1" bestFit="1" customWidth="1"/>
    <col min="7952" max="7952" width="26.5703125" style="1" customWidth="1"/>
    <col min="7953" max="7953" width="27.28515625" style="1" customWidth="1"/>
    <col min="7954" max="7954" width="12.28515625" style="1" bestFit="1" customWidth="1"/>
    <col min="7955" max="7955" width="12.42578125" style="1" bestFit="1" customWidth="1"/>
    <col min="7956" max="7956" width="13.7109375" style="1" bestFit="1" customWidth="1"/>
    <col min="7957" max="7957" width="11.28515625" style="1" bestFit="1" customWidth="1"/>
    <col min="7958" max="7958" width="11.140625" style="1" bestFit="1" customWidth="1"/>
    <col min="7959" max="8195" width="9.140625" style="1"/>
    <col min="8196" max="8196" width="0" style="1" hidden="1" customWidth="1"/>
    <col min="8197" max="8197" width="15.85546875" style="1" bestFit="1" customWidth="1"/>
    <col min="8198" max="8198" width="21.7109375" style="1" bestFit="1" customWidth="1"/>
    <col min="8199" max="8199" width="48.5703125" style="1" customWidth="1"/>
    <col min="8200" max="8202" width="18.28515625" style="1" bestFit="1" customWidth="1"/>
    <col min="8203" max="8204" width="18.28515625" style="1" customWidth="1"/>
    <col min="8205" max="8205" width="23.42578125" style="1" customWidth="1"/>
    <col min="8206" max="8206" width="37.42578125" style="1" customWidth="1"/>
    <col min="8207" max="8207" width="30" style="1" bestFit="1" customWidth="1"/>
    <col min="8208" max="8208" width="26.5703125" style="1" customWidth="1"/>
    <col min="8209" max="8209" width="27.28515625" style="1" customWidth="1"/>
    <col min="8210" max="8210" width="12.28515625" style="1" bestFit="1" customWidth="1"/>
    <col min="8211" max="8211" width="12.42578125" style="1" bestFit="1" customWidth="1"/>
    <col min="8212" max="8212" width="13.7109375" style="1" bestFit="1" customWidth="1"/>
    <col min="8213" max="8213" width="11.28515625" style="1" bestFit="1" customWidth="1"/>
    <col min="8214" max="8214" width="11.140625" style="1" bestFit="1" customWidth="1"/>
    <col min="8215" max="8451" width="9.140625" style="1"/>
    <col min="8452" max="8452" width="0" style="1" hidden="1" customWidth="1"/>
    <col min="8453" max="8453" width="15.85546875" style="1" bestFit="1" customWidth="1"/>
    <col min="8454" max="8454" width="21.7109375" style="1" bestFit="1" customWidth="1"/>
    <col min="8455" max="8455" width="48.5703125" style="1" customWidth="1"/>
    <col min="8456" max="8458" width="18.28515625" style="1" bestFit="1" customWidth="1"/>
    <col min="8459" max="8460" width="18.28515625" style="1" customWidth="1"/>
    <col min="8461" max="8461" width="23.42578125" style="1" customWidth="1"/>
    <col min="8462" max="8462" width="37.42578125" style="1" customWidth="1"/>
    <col min="8463" max="8463" width="30" style="1" bestFit="1" customWidth="1"/>
    <col min="8464" max="8464" width="26.5703125" style="1" customWidth="1"/>
    <col min="8465" max="8465" width="27.28515625" style="1" customWidth="1"/>
    <col min="8466" max="8466" width="12.28515625" style="1" bestFit="1" customWidth="1"/>
    <col min="8467" max="8467" width="12.42578125" style="1" bestFit="1" customWidth="1"/>
    <col min="8468" max="8468" width="13.7109375" style="1" bestFit="1" customWidth="1"/>
    <col min="8469" max="8469" width="11.28515625" style="1" bestFit="1" customWidth="1"/>
    <col min="8470" max="8470" width="11.140625" style="1" bestFit="1" customWidth="1"/>
    <col min="8471" max="8707" width="9.140625" style="1"/>
    <col min="8708" max="8708" width="0" style="1" hidden="1" customWidth="1"/>
    <col min="8709" max="8709" width="15.85546875" style="1" bestFit="1" customWidth="1"/>
    <col min="8710" max="8710" width="21.7109375" style="1" bestFit="1" customWidth="1"/>
    <col min="8711" max="8711" width="48.5703125" style="1" customWidth="1"/>
    <col min="8712" max="8714" width="18.28515625" style="1" bestFit="1" customWidth="1"/>
    <col min="8715" max="8716" width="18.28515625" style="1" customWidth="1"/>
    <col min="8717" max="8717" width="23.42578125" style="1" customWidth="1"/>
    <col min="8718" max="8718" width="37.42578125" style="1" customWidth="1"/>
    <col min="8719" max="8719" width="30" style="1" bestFit="1" customWidth="1"/>
    <col min="8720" max="8720" width="26.5703125" style="1" customWidth="1"/>
    <col min="8721" max="8721" width="27.28515625" style="1" customWidth="1"/>
    <col min="8722" max="8722" width="12.28515625" style="1" bestFit="1" customWidth="1"/>
    <col min="8723" max="8723" width="12.42578125" style="1" bestFit="1" customWidth="1"/>
    <col min="8724" max="8724" width="13.7109375" style="1" bestFit="1" customWidth="1"/>
    <col min="8725" max="8725" width="11.28515625" style="1" bestFit="1" customWidth="1"/>
    <col min="8726" max="8726" width="11.140625" style="1" bestFit="1" customWidth="1"/>
    <col min="8727" max="8963" width="9.140625" style="1"/>
    <col min="8964" max="8964" width="0" style="1" hidden="1" customWidth="1"/>
    <col min="8965" max="8965" width="15.85546875" style="1" bestFit="1" customWidth="1"/>
    <col min="8966" max="8966" width="21.7109375" style="1" bestFit="1" customWidth="1"/>
    <col min="8967" max="8967" width="48.5703125" style="1" customWidth="1"/>
    <col min="8968" max="8970" width="18.28515625" style="1" bestFit="1" customWidth="1"/>
    <col min="8971" max="8972" width="18.28515625" style="1" customWidth="1"/>
    <col min="8973" max="8973" width="23.42578125" style="1" customWidth="1"/>
    <col min="8974" max="8974" width="37.42578125" style="1" customWidth="1"/>
    <col min="8975" max="8975" width="30" style="1" bestFit="1" customWidth="1"/>
    <col min="8976" max="8976" width="26.5703125" style="1" customWidth="1"/>
    <col min="8977" max="8977" width="27.28515625" style="1" customWidth="1"/>
    <col min="8978" max="8978" width="12.28515625" style="1" bestFit="1" customWidth="1"/>
    <col min="8979" max="8979" width="12.42578125" style="1" bestFit="1" customWidth="1"/>
    <col min="8980" max="8980" width="13.7109375" style="1" bestFit="1" customWidth="1"/>
    <col min="8981" max="8981" width="11.28515625" style="1" bestFit="1" customWidth="1"/>
    <col min="8982" max="8982" width="11.140625" style="1" bestFit="1" customWidth="1"/>
    <col min="8983" max="9219" width="9.140625" style="1"/>
    <col min="9220" max="9220" width="0" style="1" hidden="1" customWidth="1"/>
    <col min="9221" max="9221" width="15.85546875" style="1" bestFit="1" customWidth="1"/>
    <col min="9222" max="9222" width="21.7109375" style="1" bestFit="1" customWidth="1"/>
    <col min="9223" max="9223" width="48.5703125" style="1" customWidth="1"/>
    <col min="9224" max="9226" width="18.28515625" style="1" bestFit="1" customWidth="1"/>
    <col min="9227" max="9228" width="18.28515625" style="1" customWidth="1"/>
    <col min="9229" max="9229" width="23.42578125" style="1" customWidth="1"/>
    <col min="9230" max="9230" width="37.42578125" style="1" customWidth="1"/>
    <col min="9231" max="9231" width="30" style="1" bestFit="1" customWidth="1"/>
    <col min="9232" max="9232" width="26.5703125" style="1" customWidth="1"/>
    <col min="9233" max="9233" width="27.28515625" style="1" customWidth="1"/>
    <col min="9234" max="9234" width="12.28515625" style="1" bestFit="1" customWidth="1"/>
    <col min="9235" max="9235" width="12.42578125" style="1" bestFit="1" customWidth="1"/>
    <col min="9236" max="9236" width="13.7109375" style="1" bestFit="1" customWidth="1"/>
    <col min="9237" max="9237" width="11.28515625" style="1" bestFit="1" customWidth="1"/>
    <col min="9238" max="9238" width="11.140625" style="1" bestFit="1" customWidth="1"/>
    <col min="9239" max="9475" width="9.140625" style="1"/>
    <col min="9476" max="9476" width="0" style="1" hidden="1" customWidth="1"/>
    <col min="9477" max="9477" width="15.85546875" style="1" bestFit="1" customWidth="1"/>
    <col min="9478" max="9478" width="21.7109375" style="1" bestFit="1" customWidth="1"/>
    <col min="9479" max="9479" width="48.5703125" style="1" customWidth="1"/>
    <col min="9480" max="9482" width="18.28515625" style="1" bestFit="1" customWidth="1"/>
    <col min="9483" max="9484" width="18.28515625" style="1" customWidth="1"/>
    <col min="9485" max="9485" width="23.42578125" style="1" customWidth="1"/>
    <col min="9486" max="9486" width="37.42578125" style="1" customWidth="1"/>
    <col min="9487" max="9487" width="30" style="1" bestFit="1" customWidth="1"/>
    <col min="9488" max="9488" width="26.5703125" style="1" customWidth="1"/>
    <col min="9489" max="9489" width="27.28515625" style="1" customWidth="1"/>
    <col min="9490" max="9490" width="12.28515625" style="1" bestFit="1" customWidth="1"/>
    <col min="9491" max="9491" width="12.42578125" style="1" bestFit="1" customWidth="1"/>
    <col min="9492" max="9492" width="13.7109375" style="1" bestFit="1" customWidth="1"/>
    <col min="9493" max="9493" width="11.28515625" style="1" bestFit="1" customWidth="1"/>
    <col min="9494" max="9494" width="11.140625" style="1" bestFit="1" customWidth="1"/>
    <col min="9495" max="9731" width="9.140625" style="1"/>
    <col min="9732" max="9732" width="0" style="1" hidden="1" customWidth="1"/>
    <col min="9733" max="9733" width="15.85546875" style="1" bestFit="1" customWidth="1"/>
    <col min="9734" max="9734" width="21.7109375" style="1" bestFit="1" customWidth="1"/>
    <col min="9735" max="9735" width="48.5703125" style="1" customWidth="1"/>
    <col min="9736" max="9738" width="18.28515625" style="1" bestFit="1" customWidth="1"/>
    <col min="9739" max="9740" width="18.28515625" style="1" customWidth="1"/>
    <col min="9741" max="9741" width="23.42578125" style="1" customWidth="1"/>
    <col min="9742" max="9742" width="37.42578125" style="1" customWidth="1"/>
    <col min="9743" max="9743" width="30" style="1" bestFit="1" customWidth="1"/>
    <col min="9744" max="9744" width="26.5703125" style="1" customWidth="1"/>
    <col min="9745" max="9745" width="27.28515625" style="1" customWidth="1"/>
    <col min="9746" max="9746" width="12.28515625" style="1" bestFit="1" customWidth="1"/>
    <col min="9747" max="9747" width="12.42578125" style="1" bestFit="1" customWidth="1"/>
    <col min="9748" max="9748" width="13.7109375" style="1" bestFit="1" customWidth="1"/>
    <col min="9749" max="9749" width="11.28515625" style="1" bestFit="1" customWidth="1"/>
    <col min="9750" max="9750" width="11.140625" style="1" bestFit="1" customWidth="1"/>
    <col min="9751" max="9987" width="9.140625" style="1"/>
    <col min="9988" max="9988" width="0" style="1" hidden="1" customWidth="1"/>
    <col min="9989" max="9989" width="15.85546875" style="1" bestFit="1" customWidth="1"/>
    <col min="9990" max="9990" width="21.7109375" style="1" bestFit="1" customWidth="1"/>
    <col min="9991" max="9991" width="48.5703125" style="1" customWidth="1"/>
    <col min="9992" max="9994" width="18.28515625" style="1" bestFit="1" customWidth="1"/>
    <col min="9995" max="9996" width="18.28515625" style="1" customWidth="1"/>
    <col min="9997" max="9997" width="23.42578125" style="1" customWidth="1"/>
    <col min="9998" max="9998" width="37.42578125" style="1" customWidth="1"/>
    <col min="9999" max="9999" width="30" style="1" bestFit="1" customWidth="1"/>
    <col min="10000" max="10000" width="26.5703125" style="1" customWidth="1"/>
    <col min="10001" max="10001" width="27.28515625" style="1" customWidth="1"/>
    <col min="10002" max="10002" width="12.28515625" style="1" bestFit="1" customWidth="1"/>
    <col min="10003" max="10003" width="12.42578125" style="1" bestFit="1" customWidth="1"/>
    <col min="10004" max="10004" width="13.7109375" style="1" bestFit="1" customWidth="1"/>
    <col min="10005" max="10005" width="11.28515625" style="1" bestFit="1" customWidth="1"/>
    <col min="10006" max="10006" width="11.140625" style="1" bestFit="1" customWidth="1"/>
    <col min="10007" max="10243" width="9.140625" style="1"/>
    <col min="10244" max="10244" width="0" style="1" hidden="1" customWidth="1"/>
    <col min="10245" max="10245" width="15.85546875" style="1" bestFit="1" customWidth="1"/>
    <col min="10246" max="10246" width="21.7109375" style="1" bestFit="1" customWidth="1"/>
    <col min="10247" max="10247" width="48.5703125" style="1" customWidth="1"/>
    <col min="10248" max="10250" width="18.28515625" style="1" bestFit="1" customWidth="1"/>
    <col min="10251" max="10252" width="18.28515625" style="1" customWidth="1"/>
    <col min="10253" max="10253" width="23.42578125" style="1" customWidth="1"/>
    <col min="10254" max="10254" width="37.42578125" style="1" customWidth="1"/>
    <col min="10255" max="10255" width="30" style="1" bestFit="1" customWidth="1"/>
    <col min="10256" max="10256" width="26.5703125" style="1" customWidth="1"/>
    <col min="10257" max="10257" width="27.28515625" style="1" customWidth="1"/>
    <col min="10258" max="10258" width="12.28515625" style="1" bestFit="1" customWidth="1"/>
    <col min="10259" max="10259" width="12.42578125" style="1" bestFit="1" customWidth="1"/>
    <col min="10260" max="10260" width="13.7109375" style="1" bestFit="1" customWidth="1"/>
    <col min="10261" max="10261" width="11.28515625" style="1" bestFit="1" customWidth="1"/>
    <col min="10262" max="10262" width="11.140625" style="1" bestFit="1" customWidth="1"/>
    <col min="10263" max="10499" width="9.140625" style="1"/>
    <col min="10500" max="10500" width="0" style="1" hidden="1" customWidth="1"/>
    <col min="10501" max="10501" width="15.85546875" style="1" bestFit="1" customWidth="1"/>
    <col min="10502" max="10502" width="21.7109375" style="1" bestFit="1" customWidth="1"/>
    <col min="10503" max="10503" width="48.5703125" style="1" customWidth="1"/>
    <col min="10504" max="10506" width="18.28515625" style="1" bestFit="1" customWidth="1"/>
    <col min="10507" max="10508" width="18.28515625" style="1" customWidth="1"/>
    <col min="10509" max="10509" width="23.42578125" style="1" customWidth="1"/>
    <col min="10510" max="10510" width="37.42578125" style="1" customWidth="1"/>
    <col min="10511" max="10511" width="30" style="1" bestFit="1" customWidth="1"/>
    <col min="10512" max="10512" width="26.5703125" style="1" customWidth="1"/>
    <col min="10513" max="10513" width="27.28515625" style="1" customWidth="1"/>
    <col min="10514" max="10514" width="12.28515625" style="1" bestFit="1" customWidth="1"/>
    <col min="10515" max="10515" width="12.42578125" style="1" bestFit="1" customWidth="1"/>
    <col min="10516" max="10516" width="13.7109375" style="1" bestFit="1" customWidth="1"/>
    <col min="10517" max="10517" width="11.28515625" style="1" bestFit="1" customWidth="1"/>
    <col min="10518" max="10518" width="11.140625" style="1" bestFit="1" customWidth="1"/>
    <col min="10519" max="10755" width="9.140625" style="1"/>
    <col min="10756" max="10756" width="0" style="1" hidden="1" customWidth="1"/>
    <col min="10757" max="10757" width="15.85546875" style="1" bestFit="1" customWidth="1"/>
    <col min="10758" max="10758" width="21.7109375" style="1" bestFit="1" customWidth="1"/>
    <col min="10759" max="10759" width="48.5703125" style="1" customWidth="1"/>
    <col min="10760" max="10762" width="18.28515625" style="1" bestFit="1" customWidth="1"/>
    <col min="10763" max="10764" width="18.28515625" style="1" customWidth="1"/>
    <col min="10765" max="10765" width="23.42578125" style="1" customWidth="1"/>
    <col min="10766" max="10766" width="37.42578125" style="1" customWidth="1"/>
    <col min="10767" max="10767" width="30" style="1" bestFit="1" customWidth="1"/>
    <col min="10768" max="10768" width="26.5703125" style="1" customWidth="1"/>
    <col min="10769" max="10769" width="27.28515625" style="1" customWidth="1"/>
    <col min="10770" max="10770" width="12.28515625" style="1" bestFit="1" customWidth="1"/>
    <col min="10771" max="10771" width="12.42578125" style="1" bestFit="1" customWidth="1"/>
    <col min="10772" max="10772" width="13.7109375" style="1" bestFit="1" customWidth="1"/>
    <col min="10773" max="10773" width="11.28515625" style="1" bestFit="1" customWidth="1"/>
    <col min="10774" max="10774" width="11.140625" style="1" bestFit="1" customWidth="1"/>
    <col min="10775" max="11011" width="9.140625" style="1"/>
    <col min="11012" max="11012" width="0" style="1" hidden="1" customWidth="1"/>
    <col min="11013" max="11013" width="15.85546875" style="1" bestFit="1" customWidth="1"/>
    <col min="11014" max="11014" width="21.7109375" style="1" bestFit="1" customWidth="1"/>
    <col min="11015" max="11015" width="48.5703125" style="1" customWidth="1"/>
    <col min="11016" max="11018" width="18.28515625" style="1" bestFit="1" customWidth="1"/>
    <col min="11019" max="11020" width="18.28515625" style="1" customWidth="1"/>
    <col min="11021" max="11021" width="23.42578125" style="1" customWidth="1"/>
    <col min="11022" max="11022" width="37.42578125" style="1" customWidth="1"/>
    <col min="11023" max="11023" width="30" style="1" bestFit="1" customWidth="1"/>
    <col min="11024" max="11024" width="26.5703125" style="1" customWidth="1"/>
    <col min="11025" max="11025" width="27.28515625" style="1" customWidth="1"/>
    <col min="11026" max="11026" width="12.28515625" style="1" bestFit="1" customWidth="1"/>
    <col min="11027" max="11027" width="12.42578125" style="1" bestFit="1" customWidth="1"/>
    <col min="11028" max="11028" width="13.7109375" style="1" bestFit="1" customWidth="1"/>
    <col min="11029" max="11029" width="11.28515625" style="1" bestFit="1" customWidth="1"/>
    <col min="11030" max="11030" width="11.140625" style="1" bestFit="1" customWidth="1"/>
    <col min="11031" max="11267" width="9.140625" style="1"/>
    <col min="11268" max="11268" width="0" style="1" hidden="1" customWidth="1"/>
    <col min="11269" max="11269" width="15.85546875" style="1" bestFit="1" customWidth="1"/>
    <col min="11270" max="11270" width="21.7109375" style="1" bestFit="1" customWidth="1"/>
    <col min="11271" max="11271" width="48.5703125" style="1" customWidth="1"/>
    <col min="11272" max="11274" width="18.28515625" style="1" bestFit="1" customWidth="1"/>
    <col min="11275" max="11276" width="18.28515625" style="1" customWidth="1"/>
    <col min="11277" max="11277" width="23.42578125" style="1" customWidth="1"/>
    <col min="11278" max="11278" width="37.42578125" style="1" customWidth="1"/>
    <col min="11279" max="11279" width="30" style="1" bestFit="1" customWidth="1"/>
    <col min="11280" max="11280" width="26.5703125" style="1" customWidth="1"/>
    <col min="11281" max="11281" width="27.28515625" style="1" customWidth="1"/>
    <col min="11282" max="11282" width="12.28515625" style="1" bestFit="1" customWidth="1"/>
    <col min="11283" max="11283" width="12.42578125" style="1" bestFit="1" customWidth="1"/>
    <col min="11284" max="11284" width="13.7109375" style="1" bestFit="1" customWidth="1"/>
    <col min="11285" max="11285" width="11.28515625" style="1" bestFit="1" customWidth="1"/>
    <col min="11286" max="11286" width="11.140625" style="1" bestFit="1" customWidth="1"/>
    <col min="11287" max="11523" width="9.140625" style="1"/>
    <col min="11524" max="11524" width="0" style="1" hidden="1" customWidth="1"/>
    <col min="11525" max="11525" width="15.85546875" style="1" bestFit="1" customWidth="1"/>
    <col min="11526" max="11526" width="21.7109375" style="1" bestFit="1" customWidth="1"/>
    <col min="11527" max="11527" width="48.5703125" style="1" customWidth="1"/>
    <col min="11528" max="11530" width="18.28515625" style="1" bestFit="1" customWidth="1"/>
    <col min="11531" max="11532" width="18.28515625" style="1" customWidth="1"/>
    <col min="11533" max="11533" width="23.42578125" style="1" customWidth="1"/>
    <col min="11534" max="11534" width="37.42578125" style="1" customWidth="1"/>
    <col min="11535" max="11535" width="30" style="1" bestFit="1" customWidth="1"/>
    <col min="11536" max="11536" width="26.5703125" style="1" customWidth="1"/>
    <col min="11537" max="11537" width="27.28515625" style="1" customWidth="1"/>
    <col min="11538" max="11538" width="12.28515625" style="1" bestFit="1" customWidth="1"/>
    <col min="11539" max="11539" width="12.42578125" style="1" bestFit="1" customWidth="1"/>
    <col min="11540" max="11540" width="13.7109375" style="1" bestFit="1" customWidth="1"/>
    <col min="11541" max="11541" width="11.28515625" style="1" bestFit="1" customWidth="1"/>
    <col min="11542" max="11542" width="11.140625" style="1" bestFit="1" customWidth="1"/>
    <col min="11543" max="11779" width="9.140625" style="1"/>
    <col min="11780" max="11780" width="0" style="1" hidden="1" customWidth="1"/>
    <col min="11781" max="11781" width="15.85546875" style="1" bestFit="1" customWidth="1"/>
    <col min="11782" max="11782" width="21.7109375" style="1" bestFit="1" customWidth="1"/>
    <col min="11783" max="11783" width="48.5703125" style="1" customWidth="1"/>
    <col min="11784" max="11786" width="18.28515625" style="1" bestFit="1" customWidth="1"/>
    <col min="11787" max="11788" width="18.28515625" style="1" customWidth="1"/>
    <col min="11789" max="11789" width="23.42578125" style="1" customWidth="1"/>
    <col min="11790" max="11790" width="37.42578125" style="1" customWidth="1"/>
    <col min="11791" max="11791" width="30" style="1" bestFit="1" customWidth="1"/>
    <col min="11792" max="11792" width="26.5703125" style="1" customWidth="1"/>
    <col min="11793" max="11793" width="27.28515625" style="1" customWidth="1"/>
    <col min="11794" max="11794" width="12.28515625" style="1" bestFit="1" customWidth="1"/>
    <col min="11795" max="11795" width="12.42578125" style="1" bestFit="1" customWidth="1"/>
    <col min="11796" max="11796" width="13.7109375" style="1" bestFit="1" customWidth="1"/>
    <col min="11797" max="11797" width="11.28515625" style="1" bestFit="1" customWidth="1"/>
    <col min="11798" max="11798" width="11.140625" style="1" bestFit="1" customWidth="1"/>
    <col min="11799" max="12035" width="9.140625" style="1"/>
    <col min="12036" max="12036" width="0" style="1" hidden="1" customWidth="1"/>
    <col min="12037" max="12037" width="15.85546875" style="1" bestFit="1" customWidth="1"/>
    <col min="12038" max="12038" width="21.7109375" style="1" bestFit="1" customWidth="1"/>
    <col min="12039" max="12039" width="48.5703125" style="1" customWidth="1"/>
    <col min="12040" max="12042" width="18.28515625" style="1" bestFit="1" customWidth="1"/>
    <col min="12043" max="12044" width="18.28515625" style="1" customWidth="1"/>
    <col min="12045" max="12045" width="23.42578125" style="1" customWidth="1"/>
    <col min="12046" max="12046" width="37.42578125" style="1" customWidth="1"/>
    <col min="12047" max="12047" width="30" style="1" bestFit="1" customWidth="1"/>
    <col min="12048" max="12048" width="26.5703125" style="1" customWidth="1"/>
    <col min="12049" max="12049" width="27.28515625" style="1" customWidth="1"/>
    <col min="12050" max="12050" width="12.28515625" style="1" bestFit="1" customWidth="1"/>
    <col min="12051" max="12051" width="12.42578125" style="1" bestFit="1" customWidth="1"/>
    <col min="12052" max="12052" width="13.7109375" style="1" bestFit="1" customWidth="1"/>
    <col min="12053" max="12053" width="11.28515625" style="1" bestFit="1" customWidth="1"/>
    <col min="12054" max="12054" width="11.140625" style="1" bestFit="1" customWidth="1"/>
    <col min="12055" max="12291" width="9.140625" style="1"/>
    <col min="12292" max="12292" width="0" style="1" hidden="1" customWidth="1"/>
    <col min="12293" max="12293" width="15.85546875" style="1" bestFit="1" customWidth="1"/>
    <col min="12294" max="12294" width="21.7109375" style="1" bestFit="1" customWidth="1"/>
    <col min="12295" max="12295" width="48.5703125" style="1" customWidth="1"/>
    <col min="12296" max="12298" width="18.28515625" style="1" bestFit="1" customWidth="1"/>
    <col min="12299" max="12300" width="18.28515625" style="1" customWidth="1"/>
    <col min="12301" max="12301" width="23.42578125" style="1" customWidth="1"/>
    <col min="12302" max="12302" width="37.42578125" style="1" customWidth="1"/>
    <col min="12303" max="12303" width="30" style="1" bestFit="1" customWidth="1"/>
    <col min="12304" max="12304" width="26.5703125" style="1" customWidth="1"/>
    <col min="12305" max="12305" width="27.28515625" style="1" customWidth="1"/>
    <col min="12306" max="12306" width="12.28515625" style="1" bestFit="1" customWidth="1"/>
    <col min="12307" max="12307" width="12.42578125" style="1" bestFit="1" customWidth="1"/>
    <col min="12308" max="12308" width="13.7109375" style="1" bestFit="1" customWidth="1"/>
    <col min="12309" max="12309" width="11.28515625" style="1" bestFit="1" customWidth="1"/>
    <col min="12310" max="12310" width="11.140625" style="1" bestFit="1" customWidth="1"/>
    <col min="12311" max="12547" width="9.140625" style="1"/>
    <col min="12548" max="12548" width="0" style="1" hidden="1" customWidth="1"/>
    <col min="12549" max="12549" width="15.85546875" style="1" bestFit="1" customWidth="1"/>
    <col min="12550" max="12550" width="21.7109375" style="1" bestFit="1" customWidth="1"/>
    <col min="12551" max="12551" width="48.5703125" style="1" customWidth="1"/>
    <col min="12552" max="12554" width="18.28515625" style="1" bestFit="1" customWidth="1"/>
    <col min="12555" max="12556" width="18.28515625" style="1" customWidth="1"/>
    <col min="12557" max="12557" width="23.42578125" style="1" customWidth="1"/>
    <col min="12558" max="12558" width="37.42578125" style="1" customWidth="1"/>
    <col min="12559" max="12559" width="30" style="1" bestFit="1" customWidth="1"/>
    <col min="12560" max="12560" width="26.5703125" style="1" customWidth="1"/>
    <col min="12561" max="12561" width="27.28515625" style="1" customWidth="1"/>
    <col min="12562" max="12562" width="12.28515625" style="1" bestFit="1" customWidth="1"/>
    <col min="12563" max="12563" width="12.42578125" style="1" bestFit="1" customWidth="1"/>
    <col min="12564" max="12564" width="13.7109375" style="1" bestFit="1" customWidth="1"/>
    <col min="12565" max="12565" width="11.28515625" style="1" bestFit="1" customWidth="1"/>
    <col min="12566" max="12566" width="11.140625" style="1" bestFit="1" customWidth="1"/>
    <col min="12567" max="12803" width="9.140625" style="1"/>
    <col min="12804" max="12804" width="0" style="1" hidden="1" customWidth="1"/>
    <col min="12805" max="12805" width="15.85546875" style="1" bestFit="1" customWidth="1"/>
    <col min="12806" max="12806" width="21.7109375" style="1" bestFit="1" customWidth="1"/>
    <col min="12807" max="12807" width="48.5703125" style="1" customWidth="1"/>
    <col min="12808" max="12810" width="18.28515625" style="1" bestFit="1" customWidth="1"/>
    <col min="12811" max="12812" width="18.28515625" style="1" customWidth="1"/>
    <col min="12813" max="12813" width="23.42578125" style="1" customWidth="1"/>
    <col min="12814" max="12814" width="37.42578125" style="1" customWidth="1"/>
    <col min="12815" max="12815" width="30" style="1" bestFit="1" customWidth="1"/>
    <col min="12816" max="12816" width="26.5703125" style="1" customWidth="1"/>
    <col min="12817" max="12817" width="27.28515625" style="1" customWidth="1"/>
    <col min="12818" max="12818" width="12.28515625" style="1" bestFit="1" customWidth="1"/>
    <col min="12819" max="12819" width="12.42578125" style="1" bestFit="1" customWidth="1"/>
    <col min="12820" max="12820" width="13.7109375" style="1" bestFit="1" customWidth="1"/>
    <col min="12821" max="12821" width="11.28515625" style="1" bestFit="1" customWidth="1"/>
    <col min="12822" max="12822" width="11.140625" style="1" bestFit="1" customWidth="1"/>
    <col min="12823" max="13059" width="9.140625" style="1"/>
    <col min="13060" max="13060" width="0" style="1" hidden="1" customWidth="1"/>
    <col min="13061" max="13061" width="15.85546875" style="1" bestFit="1" customWidth="1"/>
    <col min="13062" max="13062" width="21.7109375" style="1" bestFit="1" customWidth="1"/>
    <col min="13063" max="13063" width="48.5703125" style="1" customWidth="1"/>
    <col min="13064" max="13066" width="18.28515625" style="1" bestFit="1" customWidth="1"/>
    <col min="13067" max="13068" width="18.28515625" style="1" customWidth="1"/>
    <col min="13069" max="13069" width="23.42578125" style="1" customWidth="1"/>
    <col min="13070" max="13070" width="37.42578125" style="1" customWidth="1"/>
    <col min="13071" max="13071" width="30" style="1" bestFit="1" customWidth="1"/>
    <col min="13072" max="13072" width="26.5703125" style="1" customWidth="1"/>
    <col min="13073" max="13073" width="27.28515625" style="1" customWidth="1"/>
    <col min="13074" max="13074" width="12.28515625" style="1" bestFit="1" customWidth="1"/>
    <col min="13075" max="13075" width="12.42578125" style="1" bestFit="1" customWidth="1"/>
    <col min="13076" max="13076" width="13.7109375" style="1" bestFit="1" customWidth="1"/>
    <col min="13077" max="13077" width="11.28515625" style="1" bestFit="1" customWidth="1"/>
    <col min="13078" max="13078" width="11.140625" style="1" bestFit="1" customWidth="1"/>
    <col min="13079" max="13315" width="9.140625" style="1"/>
    <col min="13316" max="13316" width="0" style="1" hidden="1" customWidth="1"/>
    <col min="13317" max="13317" width="15.85546875" style="1" bestFit="1" customWidth="1"/>
    <col min="13318" max="13318" width="21.7109375" style="1" bestFit="1" customWidth="1"/>
    <col min="13319" max="13319" width="48.5703125" style="1" customWidth="1"/>
    <col min="13320" max="13322" width="18.28515625" style="1" bestFit="1" customWidth="1"/>
    <col min="13323" max="13324" width="18.28515625" style="1" customWidth="1"/>
    <col min="13325" max="13325" width="23.42578125" style="1" customWidth="1"/>
    <col min="13326" max="13326" width="37.42578125" style="1" customWidth="1"/>
    <col min="13327" max="13327" width="30" style="1" bestFit="1" customWidth="1"/>
    <col min="13328" max="13328" width="26.5703125" style="1" customWidth="1"/>
    <col min="13329" max="13329" width="27.28515625" style="1" customWidth="1"/>
    <col min="13330" max="13330" width="12.28515625" style="1" bestFit="1" customWidth="1"/>
    <col min="13331" max="13331" width="12.42578125" style="1" bestFit="1" customWidth="1"/>
    <col min="13332" max="13332" width="13.7109375" style="1" bestFit="1" customWidth="1"/>
    <col min="13333" max="13333" width="11.28515625" style="1" bestFit="1" customWidth="1"/>
    <col min="13334" max="13334" width="11.140625" style="1" bestFit="1" customWidth="1"/>
    <col min="13335" max="13571" width="9.140625" style="1"/>
    <col min="13572" max="13572" width="0" style="1" hidden="1" customWidth="1"/>
    <col min="13573" max="13573" width="15.85546875" style="1" bestFit="1" customWidth="1"/>
    <col min="13574" max="13574" width="21.7109375" style="1" bestFit="1" customWidth="1"/>
    <col min="13575" max="13575" width="48.5703125" style="1" customWidth="1"/>
    <col min="13576" max="13578" width="18.28515625" style="1" bestFit="1" customWidth="1"/>
    <col min="13579" max="13580" width="18.28515625" style="1" customWidth="1"/>
    <col min="13581" max="13581" width="23.42578125" style="1" customWidth="1"/>
    <col min="13582" max="13582" width="37.42578125" style="1" customWidth="1"/>
    <col min="13583" max="13583" width="30" style="1" bestFit="1" customWidth="1"/>
    <col min="13584" max="13584" width="26.5703125" style="1" customWidth="1"/>
    <col min="13585" max="13585" width="27.28515625" style="1" customWidth="1"/>
    <col min="13586" max="13586" width="12.28515625" style="1" bestFit="1" customWidth="1"/>
    <col min="13587" max="13587" width="12.42578125" style="1" bestFit="1" customWidth="1"/>
    <col min="13588" max="13588" width="13.7109375" style="1" bestFit="1" customWidth="1"/>
    <col min="13589" max="13589" width="11.28515625" style="1" bestFit="1" customWidth="1"/>
    <col min="13590" max="13590" width="11.140625" style="1" bestFit="1" customWidth="1"/>
    <col min="13591" max="13827" width="9.140625" style="1"/>
    <col min="13828" max="13828" width="0" style="1" hidden="1" customWidth="1"/>
    <col min="13829" max="13829" width="15.85546875" style="1" bestFit="1" customWidth="1"/>
    <col min="13830" max="13830" width="21.7109375" style="1" bestFit="1" customWidth="1"/>
    <col min="13831" max="13831" width="48.5703125" style="1" customWidth="1"/>
    <col min="13832" max="13834" width="18.28515625" style="1" bestFit="1" customWidth="1"/>
    <col min="13835" max="13836" width="18.28515625" style="1" customWidth="1"/>
    <col min="13837" max="13837" width="23.42578125" style="1" customWidth="1"/>
    <col min="13838" max="13838" width="37.42578125" style="1" customWidth="1"/>
    <col min="13839" max="13839" width="30" style="1" bestFit="1" customWidth="1"/>
    <col min="13840" max="13840" width="26.5703125" style="1" customWidth="1"/>
    <col min="13841" max="13841" width="27.28515625" style="1" customWidth="1"/>
    <col min="13842" max="13842" width="12.28515625" style="1" bestFit="1" customWidth="1"/>
    <col min="13843" max="13843" width="12.42578125" style="1" bestFit="1" customWidth="1"/>
    <col min="13844" max="13844" width="13.7109375" style="1" bestFit="1" customWidth="1"/>
    <col min="13845" max="13845" width="11.28515625" style="1" bestFit="1" customWidth="1"/>
    <col min="13846" max="13846" width="11.140625" style="1" bestFit="1" customWidth="1"/>
    <col min="13847" max="14083" width="9.140625" style="1"/>
    <col min="14084" max="14084" width="0" style="1" hidden="1" customWidth="1"/>
    <col min="14085" max="14085" width="15.85546875" style="1" bestFit="1" customWidth="1"/>
    <col min="14086" max="14086" width="21.7109375" style="1" bestFit="1" customWidth="1"/>
    <col min="14087" max="14087" width="48.5703125" style="1" customWidth="1"/>
    <col min="14088" max="14090" width="18.28515625" style="1" bestFit="1" customWidth="1"/>
    <col min="14091" max="14092" width="18.28515625" style="1" customWidth="1"/>
    <col min="14093" max="14093" width="23.42578125" style="1" customWidth="1"/>
    <col min="14094" max="14094" width="37.42578125" style="1" customWidth="1"/>
    <col min="14095" max="14095" width="30" style="1" bestFit="1" customWidth="1"/>
    <col min="14096" max="14096" width="26.5703125" style="1" customWidth="1"/>
    <col min="14097" max="14097" width="27.28515625" style="1" customWidth="1"/>
    <col min="14098" max="14098" width="12.28515625" style="1" bestFit="1" customWidth="1"/>
    <col min="14099" max="14099" width="12.42578125" style="1" bestFit="1" customWidth="1"/>
    <col min="14100" max="14100" width="13.7109375" style="1" bestFit="1" customWidth="1"/>
    <col min="14101" max="14101" width="11.28515625" style="1" bestFit="1" customWidth="1"/>
    <col min="14102" max="14102" width="11.140625" style="1" bestFit="1" customWidth="1"/>
    <col min="14103" max="14339" width="9.140625" style="1"/>
    <col min="14340" max="14340" width="0" style="1" hidden="1" customWidth="1"/>
    <col min="14341" max="14341" width="15.85546875" style="1" bestFit="1" customWidth="1"/>
    <col min="14342" max="14342" width="21.7109375" style="1" bestFit="1" customWidth="1"/>
    <col min="14343" max="14343" width="48.5703125" style="1" customWidth="1"/>
    <col min="14344" max="14346" width="18.28515625" style="1" bestFit="1" customWidth="1"/>
    <col min="14347" max="14348" width="18.28515625" style="1" customWidth="1"/>
    <col min="14349" max="14349" width="23.42578125" style="1" customWidth="1"/>
    <col min="14350" max="14350" width="37.42578125" style="1" customWidth="1"/>
    <col min="14351" max="14351" width="30" style="1" bestFit="1" customWidth="1"/>
    <col min="14352" max="14352" width="26.5703125" style="1" customWidth="1"/>
    <col min="14353" max="14353" width="27.28515625" style="1" customWidth="1"/>
    <col min="14354" max="14354" width="12.28515625" style="1" bestFit="1" customWidth="1"/>
    <col min="14355" max="14355" width="12.42578125" style="1" bestFit="1" customWidth="1"/>
    <col min="14356" max="14356" width="13.7109375" style="1" bestFit="1" customWidth="1"/>
    <col min="14357" max="14357" width="11.28515625" style="1" bestFit="1" customWidth="1"/>
    <col min="14358" max="14358" width="11.140625" style="1" bestFit="1" customWidth="1"/>
    <col min="14359" max="14595" width="9.140625" style="1"/>
    <col min="14596" max="14596" width="0" style="1" hidden="1" customWidth="1"/>
    <col min="14597" max="14597" width="15.85546875" style="1" bestFit="1" customWidth="1"/>
    <col min="14598" max="14598" width="21.7109375" style="1" bestFit="1" customWidth="1"/>
    <col min="14599" max="14599" width="48.5703125" style="1" customWidth="1"/>
    <col min="14600" max="14602" width="18.28515625" style="1" bestFit="1" customWidth="1"/>
    <col min="14603" max="14604" width="18.28515625" style="1" customWidth="1"/>
    <col min="14605" max="14605" width="23.42578125" style="1" customWidth="1"/>
    <col min="14606" max="14606" width="37.42578125" style="1" customWidth="1"/>
    <col min="14607" max="14607" width="30" style="1" bestFit="1" customWidth="1"/>
    <col min="14608" max="14608" width="26.5703125" style="1" customWidth="1"/>
    <col min="14609" max="14609" width="27.28515625" style="1" customWidth="1"/>
    <col min="14610" max="14610" width="12.28515625" style="1" bestFit="1" customWidth="1"/>
    <col min="14611" max="14611" width="12.42578125" style="1" bestFit="1" customWidth="1"/>
    <col min="14612" max="14612" width="13.7109375" style="1" bestFit="1" customWidth="1"/>
    <col min="14613" max="14613" width="11.28515625" style="1" bestFit="1" customWidth="1"/>
    <col min="14614" max="14614" width="11.140625" style="1" bestFit="1" customWidth="1"/>
    <col min="14615" max="14851" width="9.140625" style="1"/>
    <col min="14852" max="14852" width="0" style="1" hidden="1" customWidth="1"/>
    <col min="14853" max="14853" width="15.85546875" style="1" bestFit="1" customWidth="1"/>
    <col min="14854" max="14854" width="21.7109375" style="1" bestFit="1" customWidth="1"/>
    <col min="14855" max="14855" width="48.5703125" style="1" customWidth="1"/>
    <col min="14856" max="14858" width="18.28515625" style="1" bestFit="1" customWidth="1"/>
    <col min="14859" max="14860" width="18.28515625" style="1" customWidth="1"/>
    <col min="14861" max="14861" width="23.42578125" style="1" customWidth="1"/>
    <col min="14862" max="14862" width="37.42578125" style="1" customWidth="1"/>
    <col min="14863" max="14863" width="30" style="1" bestFit="1" customWidth="1"/>
    <col min="14864" max="14864" width="26.5703125" style="1" customWidth="1"/>
    <col min="14865" max="14865" width="27.28515625" style="1" customWidth="1"/>
    <col min="14866" max="14866" width="12.28515625" style="1" bestFit="1" customWidth="1"/>
    <col min="14867" max="14867" width="12.42578125" style="1" bestFit="1" customWidth="1"/>
    <col min="14868" max="14868" width="13.7109375" style="1" bestFit="1" customWidth="1"/>
    <col min="14869" max="14869" width="11.28515625" style="1" bestFit="1" customWidth="1"/>
    <col min="14870" max="14870" width="11.140625" style="1" bestFit="1" customWidth="1"/>
    <col min="14871" max="15107" width="9.140625" style="1"/>
    <col min="15108" max="15108" width="0" style="1" hidden="1" customWidth="1"/>
    <col min="15109" max="15109" width="15.85546875" style="1" bestFit="1" customWidth="1"/>
    <col min="15110" max="15110" width="21.7109375" style="1" bestFit="1" customWidth="1"/>
    <col min="15111" max="15111" width="48.5703125" style="1" customWidth="1"/>
    <col min="15112" max="15114" width="18.28515625" style="1" bestFit="1" customWidth="1"/>
    <col min="15115" max="15116" width="18.28515625" style="1" customWidth="1"/>
    <col min="15117" max="15117" width="23.42578125" style="1" customWidth="1"/>
    <col min="15118" max="15118" width="37.42578125" style="1" customWidth="1"/>
    <col min="15119" max="15119" width="30" style="1" bestFit="1" customWidth="1"/>
    <col min="15120" max="15120" width="26.5703125" style="1" customWidth="1"/>
    <col min="15121" max="15121" width="27.28515625" style="1" customWidth="1"/>
    <col min="15122" max="15122" width="12.28515625" style="1" bestFit="1" customWidth="1"/>
    <col min="15123" max="15123" width="12.42578125" style="1" bestFit="1" customWidth="1"/>
    <col min="15124" max="15124" width="13.7109375" style="1" bestFit="1" customWidth="1"/>
    <col min="15125" max="15125" width="11.28515625" style="1" bestFit="1" customWidth="1"/>
    <col min="15126" max="15126" width="11.140625" style="1" bestFit="1" customWidth="1"/>
    <col min="15127" max="15363" width="9.140625" style="1"/>
    <col min="15364" max="15364" width="0" style="1" hidden="1" customWidth="1"/>
    <col min="15365" max="15365" width="15.85546875" style="1" bestFit="1" customWidth="1"/>
    <col min="15366" max="15366" width="21.7109375" style="1" bestFit="1" customWidth="1"/>
    <col min="15367" max="15367" width="48.5703125" style="1" customWidth="1"/>
    <col min="15368" max="15370" width="18.28515625" style="1" bestFit="1" customWidth="1"/>
    <col min="15371" max="15372" width="18.28515625" style="1" customWidth="1"/>
    <col min="15373" max="15373" width="23.42578125" style="1" customWidth="1"/>
    <col min="15374" max="15374" width="37.42578125" style="1" customWidth="1"/>
    <col min="15375" max="15375" width="30" style="1" bestFit="1" customWidth="1"/>
    <col min="15376" max="15376" width="26.5703125" style="1" customWidth="1"/>
    <col min="15377" max="15377" width="27.28515625" style="1" customWidth="1"/>
    <col min="15378" max="15378" width="12.28515625" style="1" bestFit="1" customWidth="1"/>
    <col min="15379" max="15379" width="12.42578125" style="1" bestFit="1" customWidth="1"/>
    <col min="15380" max="15380" width="13.7109375" style="1" bestFit="1" customWidth="1"/>
    <col min="15381" max="15381" width="11.28515625" style="1" bestFit="1" customWidth="1"/>
    <col min="15382" max="15382" width="11.140625" style="1" bestFit="1" customWidth="1"/>
    <col min="15383" max="15619" width="9.140625" style="1"/>
    <col min="15620" max="15620" width="0" style="1" hidden="1" customWidth="1"/>
    <col min="15621" max="15621" width="15.85546875" style="1" bestFit="1" customWidth="1"/>
    <col min="15622" max="15622" width="21.7109375" style="1" bestFit="1" customWidth="1"/>
    <col min="15623" max="15623" width="48.5703125" style="1" customWidth="1"/>
    <col min="15624" max="15626" width="18.28515625" style="1" bestFit="1" customWidth="1"/>
    <col min="15627" max="15628" width="18.28515625" style="1" customWidth="1"/>
    <col min="15629" max="15629" width="23.42578125" style="1" customWidth="1"/>
    <col min="15630" max="15630" width="37.42578125" style="1" customWidth="1"/>
    <col min="15631" max="15631" width="30" style="1" bestFit="1" customWidth="1"/>
    <col min="15632" max="15632" width="26.5703125" style="1" customWidth="1"/>
    <col min="15633" max="15633" width="27.28515625" style="1" customWidth="1"/>
    <col min="15634" max="15634" width="12.28515625" style="1" bestFit="1" customWidth="1"/>
    <col min="15635" max="15635" width="12.42578125" style="1" bestFit="1" customWidth="1"/>
    <col min="15636" max="15636" width="13.7109375" style="1" bestFit="1" customWidth="1"/>
    <col min="15637" max="15637" width="11.28515625" style="1" bestFit="1" customWidth="1"/>
    <col min="15638" max="15638" width="11.140625" style="1" bestFit="1" customWidth="1"/>
    <col min="15639" max="15875" width="9.140625" style="1"/>
    <col min="15876" max="15876" width="0" style="1" hidden="1" customWidth="1"/>
    <col min="15877" max="15877" width="15.85546875" style="1" bestFit="1" customWidth="1"/>
    <col min="15878" max="15878" width="21.7109375" style="1" bestFit="1" customWidth="1"/>
    <col min="15879" max="15879" width="48.5703125" style="1" customWidth="1"/>
    <col min="15880" max="15882" width="18.28515625" style="1" bestFit="1" customWidth="1"/>
    <col min="15883" max="15884" width="18.28515625" style="1" customWidth="1"/>
    <col min="15885" max="15885" width="23.42578125" style="1" customWidth="1"/>
    <col min="15886" max="15886" width="37.42578125" style="1" customWidth="1"/>
    <col min="15887" max="15887" width="30" style="1" bestFit="1" customWidth="1"/>
    <col min="15888" max="15888" width="26.5703125" style="1" customWidth="1"/>
    <col min="15889" max="15889" width="27.28515625" style="1" customWidth="1"/>
    <col min="15890" max="15890" width="12.28515625" style="1" bestFit="1" customWidth="1"/>
    <col min="15891" max="15891" width="12.42578125" style="1" bestFit="1" customWidth="1"/>
    <col min="15892" max="15892" width="13.7109375" style="1" bestFit="1" customWidth="1"/>
    <col min="15893" max="15893" width="11.28515625" style="1" bestFit="1" customWidth="1"/>
    <col min="15894" max="15894" width="11.140625" style="1" bestFit="1" customWidth="1"/>
    <col min="15895" max="16131" width="9.140625" style="1"/>
    <col min="16132" max="16132" width="0" style="1" hidden="1" customWidth="1"/>
    <col min="16133" max="16133" width="15.85546875" style="1" bestFit="1" customWidth="1"/>
    <col min="16134" max="16134" width="21.7109375" style="1" bestFit="1" customWidth="1"/>
    <col min="16135" max="16135" width="48.5703125" style="1" customWidth="1"/>
    <col min="16136" max="16138" width="18.28515625" style="1" bestFit="1" customWidth="1"/>
    <col min="16139" max="16140" width="18.28515625" style="1" customWidth="1"/>
    <col min="16141" max="16141" width="23.42578125" style="1" customWidth="1"/>
    <col min="16142" max="16142" width="37.42578125" style="1" customWidth="1"/>
    <col min="16143" max="16143" width="30" style="1" bestFit="1" customWidth="1"/>
    <col min="16144" max="16144" width="26.5703125" style="1" customWidth="1"/>
    <col min="16145" max="16145" width="27.28515625" style="1" customWidth="1"/>
    <col min="16146" max="16146" width="12.28515625" style="1" bestFit="1" customWidth="1"/>
    <col min="16147" max="16147" width="12.42578125" style="1" bestFit="1" customWidth="1"/>
    <col min="16148" max="16148" width="13.7109375" style="1" bestFit="1" customWidth="1"/>
    <col min="16149" max="16149" width="11.28515625" style="1" bestFit="1" customWidth="1"/>
    <col min="16150" max="16150" width="11.140625" style="1" bestFit="1" customWidth="1"/>
    <col min="16151" max="16384" width="9.140625" style="1"/>
  </cols>
  <sheetData>
    <row r="1" spans="1:24" ht="30.75">
      <c r="A1" s="1" t="s">
        <v>0</v>
      </c>
      <c r="B1" s="2" t="s">
        <v>149</v>
      </c>
      <c r="C1" s="2" t="s">
        <v>1</v>
      </c>
      <c r="D1" s="3" t="s">
        <v>138</v>
      </c>
      <c r="E1" s="3" t="s">
        <v>2</v>
      </c>
      <c r="F1" s="3" t="s">
        <v>140</v>
      </c>
      <c r="G1" s="83" t="s">
        <v>5</v>
      </c>
      <c r="H1" s="83" t="s">
        <v>6</v>
      </c>
      <c r="I1" s="3" t="s">
        <v>7</v>
      </c>
      <c r="J1" s="4" t="s">
        <v>8</v>
      </c>
      <c r="K1" s="84" t="s">
        <v>9</v>
      </c>
      <c r="L1" s="84" t="s">
        <v>10</v>
      </c>
      <c r="M1" s="83" t="s">
        <v>141</v>
      </c>
      <c r="N1" s="84" t="s">
        <v>149</v>
      </c>
      <c r="O1" s="5" t="s">
        <v>139</v>
      </c>
      <c r="P1" s="5" t="s">
        <v>11</v>
      </c>
      <c r="Q1" s="6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6" t="s">
        <v>75</v>
      </c>
    </row>
    <row r="2" spans="1:24">
      <c r="A2" s="1" t="s">
        <v>18</v>
      </c>
      <c r="B2" s="7">
        <v>1</v>
      </c>
      <c r="C2" s="7" t="s">
        <v>98</v>
      </c>
      <c r="D2" s="97">
        <v>42009</v>
      </c>
      <c r="E2" s="8" t="s">
        <v>23</v>
      </c>
      <c r="F2" s="9">
        <v>55000</v>
      </c>
      <c r="G2" s="9"/>
      <c r="H2" s="150"/>
      <c r="I2" s="7" t="s">
        <v>19</v>
      </c>
      <c r="J2" s="8" t="s">
        <v>22</v>
      </c>
      <c r="K2" s="97">
        <v>42035</v>
      </c>
      <c r="L2" s="97">
        <v>42023</v>
      </c>
      <c r="M2" s="85">
        <f>F2</f>
        <v>55000</v>
      </c>
      <c r="N2" s="128">
        <v>1</v>
      </c>
      <c r="O2" s="10"/>
      <c r="P2" s="11"/>
      <c r="Q2" s="11"/>
      <c r="R2" s="12">
        <v>55000</v>
      </c>
      <c r="T2" s="12"/>
      <c r="U2" s="12"/>
      <c r="V2" s="12">
        <f>+SUM(P2:R2)</f>
        <v>55000</v>
      </c>
      <c r="W2" s="13" t="e">
        <f t="shared" ref="W2:W11" si="0">+E2-SUM(P2:S2)+O2</f>
        <v>#VALUE!</v>
      </c>
      <c r="X2" s="13"/>
    </row>
    <row r="3" spans="1:24">
      <c r="B3" s="14">
        <v>1</v>
      </c>
      <c r="C3" s="14" t="s">
        <v>109</v>
      </c>
      <c r="D3" s="98">
        <v>42024</v>
      </c>
      <c r="E3" s="15" t="s">
        <v>110</v>
      </c>
      <c r="F3" s="16">
        <v>85000</v>
      </c>
      <c r="G3" s="16"/>
      <c r="H3" s="151"/>
      <c r="I3" s="14" t="s">
        <v>111</v>
      </c>
      <c r="J3" s="15" t="s">
        <v>112</v>
      </c>
      <c r="K3" s="98">
        <v>42094</v>
      </c>
      <c r="L3" s="99">
        <v>42163</v>
      </c>
      <c r="M3" s="87">
        <v>45000</v>
      </c>
      <c r="N3" s="129">
        <v>2</v>
      </c>
      <c r="O3" s="10"/>
      <c r="P3" s="11">
        <v>7727</v>
      </c>
      <c r="Q3" s="11"/>
      <c r="R3" s="12">
        <v>77273</v>
      </c>
      <c r="T3" s="12"/>
      <c r="U3" s="12"/>
      <c r="V3" s="12">
        <f t="shared" ref="V3" si="1">+SUM(P3:R3)</f>
        <v>85000</v>
      </c>
      <c r="W3" s="13" t="e">
        <f t="shared" si="0"/>
        <v>#VALUE!</v>
      </c>
      <c r="X3" s="13"/>
    </row>
    <row r="4" spans="1:24">
      <c r="B4" s="7">
        <v>1</v>
      </c>
      <c r="C4" s="7" t="s">
        <v>115</v>
      </c>
      <c r="D4" s="97">
        <v>42032</v>
      </c>
      <c r="E4" s="8" t="s">
        <v>116</v>
      </c>
      <c r="F4" s="9">
        <v>33850</v>
      </c>
      <c r="G4" s="9"/>
      <c r="H4" s="150"/>
      <c r="I4" s="7" t="s">
        <v>117</v>
      </c>
      <c r="J4" s="8" t="s">
        <v>112</v>
      </c>
      <c r="K4" s="97">
        <v>42063</v>
      </c>
      <c r="L4" s="97">
        <v>42060</v>
      </c>
      <c r="M4" s="85">
        <f>F4</f>
        <v>33850</v>
      </c>
      <c r="N4" s="128">
        <v>1</v>
      </c>
      <c r="O4" s="10"/>
      <c r="P4" s="11"/>
      <c r="Q4" s="11"/>
      <c r="R4" s="12">
        <v>33850</v>
      </c>
      <c r="T4" s="12"/>
      <c r="U4" s="12"/>
      <c r="V4" s="12">
        <f>+SUM(P4:R4)</f>
        <v>33850</v>
      </c>
      <c r="W4" s="13" t="e">
        <f t="shared" si="0"/>
        <v>#VALUE!</v>
      </c>
      <c r="X4" s="13"/>
    </row>
    <row r="5" spans="1:24">
      <c r="B5" s="14">
        <v>1</v>
      </c>
      <c r="C5" s="14" t="s">
        <v>119</v>
      </c>
      <c r="D5" s="98">
        <v>42034</v>
      </c>
      <c r="E5" s="15" t="s">
        <v>118</v>
      </c>
      <c r="F5" s="16">
        <v>53000</v>
      </c>
      <c r="G5" s="16"/>
      <c r="H5" s="151"/>
      <c r="I5" s="14" t="s">
        <v>111</v>
      </c>
      <c r="J5" s="15" t="s">
        <v>112</v>
      </c>
      <c r="K5" s="98">
        <v>42065</v>
      </c>
      <c r="L5" s="98">
        <v>42067</v>
      </c>
      <c r="M5" s="86">
        <f t="shared" ref="M5:M10" si="2">F5</f>
        <v>53000</v>
      </c>
      <c r="N5" s="130">
        <v>1</v>
      </c>
      <c r="O5" s="10"/>
      <c r="P5" s="11"/>
      <c r="Q5" s="11"/>
      <c r="R5" s="12">
        <v>53000</v>
      </c>
      <c r="T5" s="12"/>
      <c r="U5" s="12"/>
      <c r="V5" s="12">
        <f t="shared" ref="V5" si="3">+SUM(P5:R5)</f>
        <v>53000</v>
      </c>
      <c r="W5" s="13" t="e">
        <f t="shared" si="0"/>
        <v>#VALUE!</v>
      </c>
      <c r="X5" s="13"/>
    </row>
    <row r="6" spans="1:24" s="77" customFormat="1">
      <c r="B6" s="7">
        <v>1</v>
      </c>
      <c r="C6" s="7" t="s">
        <v>120</v>
      </c>
      <c r="D6" s="97">
        <v>42047</v>
      </c>
      <c r="E6" s="8" t="s">
        <v>21</v>
      </c>
      <c r="F6" s="9">
        <v>-83247</v>
      </c>
      <c r="G6" s="9">
        <v>113000</v>
      </c>
      <c r="H6" s="150"/>
      <c r="I6" s="7" t="s">
        <v>121</v>
      </c>
      <c r="J6" s="8" t="s">
        <v>22</v>
      </c>
      <c r="K6" s="97">
        <v>42350</v>
      </c>
      <c r="L6" s="97">
        <v>42350</v>
      </c>
      <c r="M6" s="85">
        <f t="shared" si="2"/>
        <v>-83247</v>
      </c>
      <c r="N6" s="128">
        <v>1</v>
      </c>
      <c r="O6" s="80">
        <v>-83247</v>
      </c>
      <c r="P6" s="81"/>
      <c r="Q6" s="81"/>
      <c r="R6" s="82"/>
      <c r="S6" s="78"/>
      <c r="T6" s="78"/>
      <c r="U6" s="78"/>
      <c r="V6" s="78">
        <f>+SUM(P6:R6)</f>
        <v>0</v>
      </c>
      <c r="W6" s="79" t="e">
        <f t="shared" si="0"/>
        <v>#VALUE!</v>
      </c>
      <c r="X6" s="79"/>
    </row>
    <row r="7" spans="1:24">
      <c r="B7" s="14">
        <v>1</v>
      </c>
      <c r="C7" s="14" t="s">
        <v>122</v>
      </c>
      <c r="D7" s="98">
        <v>42061</v>
      </c>
      <c r="E7" s="15" t="s">
        <v>113</v>
      </c>
      <c r="F7" s="16">
        <v>100000</v>
      </c>
      <c r="G7" s="16"/>
      <c r="H7" s="151"/>
      <c r="I7" s="14" t="s">
        <v>114</v>
      </c>
      <c r="J7" s="15" t="s">
        <v>112</v>
      </c>
      <c r="K7" s="98">
        <v>42061</v>
      </c>
      <c r="L7" s="98">
        <v>42075</v>
      </c>
      <c r="M7" s="86">
        <f t="shared" si="2"/>
        <v>100000</v>
      </c>
      <c r="N7" s="130">
        <v>1</v>
      </c>
      <c r="O7" s="10"/>
      <c r="P7" s="11"/>
      <c r="Q7" s="11"/>
      <c r="R7" s="76">
        <v>100000</v>
      </c>
      <c r="T7" s="12"/>
      <c r="U7" s="12"/>
      <c r="V7" s="12">
        <f>+SUM(P7:R7)</f>
        <v>100000</v>
      </c>
      <c r="W7" s="13" t="e">
        <f t="shared" si="0"/>
        <v>#VALUE!</v>
      </c>
      <c r="X7" s="13"/>
    </row>
    <row r="8" spans="1:24">
      <c r="B8" s="7">
        <v>1</v>
      </c>
      <c r="C8" s="7" t="s">
        <v>123</v>
      </c>
      <c r="D8" s="97">
        <v>42066</v>
      </c>
      <c r="E8" s="8" t="s">
        <v>124</v>
      </c>
      <c r="F8" s="9">
        <v>40000</v>
      </c>
      <c r="G8" s="9"/>
      <c r="H8" s="150"/>
      <c r="I8" s="7" t="s">
        <v>111</v>
      </c>
      <c r="J8" s="8" t="s">
        <v>112</v>
      </c>
      <c r="K8" s="97">
        <v>42094</v>
      </c>
      <c r="L8" s="97">
        <v>42107</v>
      </c>
      <c r="M8" s="85">
        <f t="shared" si="2"/>
        <v>40000</v>
      </c>
      <c r="N8" s="128">
        <v>2</v>
      </c>
      <c r="O8" s="10"/>
      <c r="P8" s="11"/>
      <c r="Q8" s="11"/>
      <c r="R8" s="12">
        <v>40000</v>
      </c>
      <c r="T8" s="12"/>
      <c r="U8" s="12"/>
      <c r="V8" s="12">
        <f t="shared" ref="V8:V11" si="4">+SUM(P8:R8)</f>
        <v>40000</v>
      </c>
      <c r="W8" s="13" t="e">
        <f t="shared" si="0"/>
        <v>#VALUE!</v>
      </c>
      <c r="X8" s="13"/>
    </row>
    <row r="9" spans="1:24">
      <c r="B9" s="14">
        <v>1</v>
      </c>
      <c r="C9" s="14" t="s">
        <v>125</v>
      </c>
      <c r="D9" s="98">
        <v>42074</v>
      </c>
      <c r="E9" s="15" t="s">
        <v>126</v>
      </c>
      <c r="F9" s="16">
        <v>45000</v>
      </c>
      <c r="G9" s="16"/>
      <c r="H9" s="151"/>
      <c r="I9" s="14" t="s">
        <v>114</v>
      </c>
      <c r="J9" s="15" t="s">
        <v>22</v>
      </c>
      <c r="K9" s="98">
        <v>42097</v>
      </c>
      <c r="L9" s="98">
        <v>42094</v>
      </c>
      <c r="M9" s="86">
        <f t="shared" si="2"/>
        <v>45000</v>
      </c>
      <c r="N9" s="130">
        <v>1</v>
      </c>
      <c r="O9" s="10"/>
      <c r="P9" s="11"/>
      <c r="Q9" s="11"/>
      <c r="R9" s="12">
        <v>45000</v>
      </c>
      <c r="T9" s="12"/>
      <c r="U9" s="12"/>
      <c r="V9" s="12">
        <f t="shared" si="4"/>
        <v>45000</v>
      </c>
      <c r="W9" s="13" t="e">
        <f t="shared" si="0"/>
        <v>#VALUE!</v>
      </c>
      <c r="X9" s="13"/>
    </row>
    <row r="10" spans="1:24">
      <c r="B10" s="7">
        <v>1</v>
      </c>
      <c r="C10" s="7" t="s">
        <v>127</v>
      </c>
      <c r="D10" s="97">
        <v>42074</v>
      </c>
      <c r="E10" s="8" t="s">
        <v>126</v>
      </c>
      <c r="F10" s="9">
        <v>33750</v>
      </c>
      <c r="G10" s="9"/>
      <c r="H10" s="150"/>
      <c r="I10" s="7" t="s">
        <v>114</v>
      </c>
      <c r="J10" s="8" t="s">
        <v>22</v>
      </c>
      <c r="K10" s="97">
        <v>42093</v>
      </c>
      <c r="L10" s="97">
        <v>42093</v>
      </c>
      <c r="M10" s="85">
        <f t="shared" si="2"/>
        <v>33750</v>
      </c>
      <c r="N10" s="128">
        <v>1</v>
      </c>
      <c r="O10" s="10"/>
      <c r="P10" s="11"/>
      <c r="Q10" s="11"/>
      <c r="R10" s="12">
        <v>33750</v>
      </c>
      <c r="T10" s="12"/>
      <c r="U10" s="12"/>
      <c r="V10" s="12">
        <f t="shared" si="4"/>
        <v>33750</v>
      </c>
      <c r="W10" s="13" t="e">
        <f t="shared" si="0"/>
        <v>#VALUE!</v>
      </c>
      <c r="X10" s="13"/>
    </row>
    <row r="11" spans="1:24">
      <c r="B11" s="14">
        <v>2</v>
      </c>
      <c r="C11" s="14" t="s">
        <v>128</v>
      </c>
      <c r="D11" s="98">
        <v>42103</v>
      </c>
      <c r="E11" s="15" t="s">
        <v>129</v>
      </c>
      <c r="F11" s="16">
        <v>24000</v>
      </c>
      <c r="G11" s="16"/>
      <c r="H11" s="151"/>
      <c r="I11" s="14" t="s">
        <v>111</v>
      </c>
      <c r="J11" s="15" t="s">
        <v>112</v>
      </c>
      <c r="K11" s="98">
        <v>42133</v>
      </c>
      <c r="L11" s="99"/>
      <c r="M11" s="87"/>
      <c r="N11" s="129">
        <v>2</v>
      </c>
      <c r="O11" s="10"/>
      <c r="P11" s="11"/>
      <c r="Q11" s="11"/>
      <c r="R11" s="12">
        <v>24000</v>
      </c>
      <c r="T11" s="12"/>
      <c r="U11" s="12"/>
      <c r="V11" s="12">
        <f t="shared" si="4"/>
        <v>24000</v>
      </c>
      <c r="W11" s="13" t="e">
        <f t="shared" si="0"/>
        <v>#VALUE!</v>
      </c>
      <c r="X11" s="13"/>
    </row>
    <row r="12" spans="1:24">
      <c r="B12" s="7">
        <v>2</v>
      </c>
      <c r="C12" s="7" t="s">
        <v>130</v>
      </c>
      <c r="D12" s="97">
        <v>42108</v>
      </c>
      <c r="E12" s="8" t="s">
        <v>131</v>
      </c>
      <c r="F12" s="9">
        <f>G12/H12</f>
        <v>279567.85443517816</v>
      </c>
      <c r="G12" s="9">
        <v>295000</v>
      </c>
      <c r="H12" s="150">
        <v>1.0551999999999999</v>
      </c>
      <c r="I12" s="7" t="s">
        <v>117</v>
      </c>
      <c r="J12" s="8" t="s">
        <v>22</v>
      </c>
      <c r="K12" s="97">
        <v>42108</v>
      </c>
      <c r="L12" s="97">
        <v>42175</v>
      </c>
      <c r="M12" s="85">
        <v>279568</v>
      </c>
      <c r="N12" s="128">
        <v>2</v>
      </c>
      <c r="O12" s="10"/>
      <c r="P12" s="12"/>
      <c r="Q12" s="76">
        <f>F12*0.8</f>
        <v>223654.28354814253</v>
      </c>
      <c r="T12" s="76">
        <f>F12-Q12</f>
        <v>55913.570887035632</v>
      </c>
      <c r="U12" s="12"/>
      <c r="V12" s="12">
        <f>+SUM(Q12:R12)</f>
        <v>223654.28354814253</v>
      </c>
      <c r="W12" s="13" t="e">
        <f>+E12-SUM(Q12:T12)+O12</f>
        <v>#VALUE!</v>
      </c>
      <c r="X12" s="13"/>
    </row>
    <row r="13" spans="1:24">
      <c r="B13" s="14">
        <v>2</v>
      </c>
      <c r="C13" s="14" t="s">
        <v>132</v>
      </c>
      <c r="D13" s="98">
        <v>42109</v>
      </c>
      <c r="E13" s="15" t="s">
        <v>133</v>
      </c>
      <c r="F13" s="16">
        <v>130000</v>
      </c>
      <c r="G13" s="16"/>
      <c r="H13" s="151"/>
      <c r="I13" s="14" t="s">
        <v>114</v>
      </c>
      <c r="J13" s="15" t="s">
        <v>112</v>
      </c>
      <c r="K13" s="98">
        <v>42109</v>
      </c>
      <c r="L13" s="99">
        <v>42186</v>
      </c>
      <c r="M13" s="87">
        <f>32500*2</f>
        <v>65000</v>
      </c>
      <c r="N13" s="129">
        <v>2</v>
      </c>
      <c r="O13" s="10"/>
      <c r="P13" s="11"/>
      <c r="Q13" s="11"/>
      <c r="R13" s="12">
        <f>(F13/12)*9</f>
        <v>97500</v>
      </c>
      <c r="S13" s="12">
        <f>F13-R13</f>
        <v>32500</v>
      </c>
      <c r="U13" s="12"/>
      <c r="V13" s="12">
        <f t="shared" ref="V13:V74" si="5">+SUM(P13:R13)</f>
        <v>97500</v>
      </c>
      <c r="W13" s="13" t="e">
        <f>+E13-SUM(P13:S13)+O13</f>
        <v>#VALUE!</v>
      </c>
      <c r="X13" s="13"/>
    </row>
    <row r="14" spans="1:24">
      <c r="B14" s="7">
        <v>2</v>
      </c>
      <c r="C14" s="7" t="s">
        <v>134</v>
      </c>
      <c r="D14" s="97">
        <v>42109</v>
      </c>
      <c r="E14" s="8" t="s">
        <v>133</v>
      </c>
      <c r="F14" s="9">
        <v>137500</v>
      </c>
      <c r="G14" s="9"/>
      <c r="H14" s="150"/>
      <c r="I14" s="7" t="s">
        <v>114</v>
      </c>
      <c r="J14" s="8" t="s">
        <v>112</v>
      </c>
      <c r="K14" s="97">
        <v>42109</v>
      </c>
      <c r="L14" s="99">
        <v>42187</v>
      </c>
      <c r="M14" s="87">
        <v>137500</v>
      </c>
      <c r="N14" s="129">
        <v>2</v>
      </c>
      <c r="O14" s="10"/>
      <c r="P14" s="11"/>
      <c r="Q14" s="76">
        <f>F14-T14-U14</f>
        <v>15000</v>
      </c>
      <c r="T14" s="76">
        <v>122500</v>
      </c>
      <c r="U14" s="11"/>
      <c r="V14" s="12">
        <f t="shared" si="5"/>
        <v>15000</v>
      </c>
      <c r="W14" s="13" t="e">
        <f>+E14-SUM(P14:T14)+O14</f>
        <v>#VALUE!</v>
      </c>
      <c r="X14" s="13"/>
    </row>
    <row r="15" spans="1:24">
      <c r="B15" s="14">
        <v>2</v>
      </c>
      <c r="C15" s="14" t="s">
        <v>135</v>
      </c>
      <c r="D15" s="98">
        <v>42114</v>
      </c>
      <c r="E15" s="15" t="s">
        <v>25</v>
      </c>
      <c r="F15" s="16">
        <v>45000</v>
      </c>
      <c r="G15" s="16"/>
      <c r="H15" s="151"/>
      <c r="I15" s="14" t="s">
        <v>117</v>
      </c>
      <c r="J15" s="15" t="s">
        <v>22</v>
      </c>
      <c r="K15" s="98">
        <v>42144</v>
      </c>
      <c r="L15" s="98">
        <v>42138</v>
      </c>
      <c r="M15" s="86">
        <f t="shared" ref="M15:M16" si="6">F15</f>
        <v>45000</v>
      </c>
      <c r="N15" s="130">
        <v>2</v>
      </c>
      <c r="O15" s="10"/>
      <c r="P15" s="11"/>
      <c r="Q15" s="11"/>
      <c r="R15" s="12">
        <f>F15*10/12</f>
        <v>37500</v>
      </c>
      <c r="S15" s="12">
        <f>F15*2/12</f>
        <v>7500</v>
      </c>
      <c r="U15" s="12"/>
      <c r="V15" s="12">
        <f t="shared" si="5"/>
        <v>37500</v>
      </c>
      <c r="W15" s="13" t="e">
        <f>+E15-SUM(P15:S15)+O15</f>
        <v>#VALUE!</v>
      </c>
      <c r="X15" s="13"/>
    </row>
    <row r="16" spans="1:24">
      <c r="B16" s="7">
        <v>2</v>
      </c>
      <c r="C16" s="7" t="s">
        <v>136</v>
      </c>
      <c r="D16" s="97">
        <v>42114</v>
      </c>
      <c r="E16" s="8" t="s">
        <v>25</v>
      </c>
      <c r="F16" s="9">
        <v>28000</v>
      </c>
      <c r="G16" s="9"/>
      <c r="H16" s="150"/>
      <c r="I16" s="7" t="s">
        <v>117</v>
      </c>
      <c r="J16" s="8" t="s">
        <v>22</v>
      </c>
      <c r="K16" s="97">
        <v>42144</v>
      </c>
      <c r="L16" s="97">
        <v>42139</v>
      </c>
      <c r="M16" s="85">
        <f t="shared" si="6"/>
        <v>28000</v>
      </c>
      <c r="N16" s="128">
        <v>2</v>
      </c>
      <c r="O16" s="10"/>
      <c r="P16" s="11"/>
      <c r="Q16" s="11"/>
      <c r="R16" s="12">
        <f>F16*10/12</f>
        <v>23333.333333333332</v>
      </c>
      <c r="S16" s="12">
        <f>F16*2/12</f>
        <v>4666.666666666667</v>
      </c>
      <c r="U16" s="12"/>
      <c r="V16" s="12">
        <f t="shared" si="5"/>
        <v>23333.333333333332</v>
      </c>
      <c r="W16" s="13" t="e">
        <f>+E16-SUM(P16:S16)+O16</f>
        <v>#VALUE!</v>
      </c>
      <c r="X16" s="13"/>
    </row>
    <row r="17" spans="2:24">
      <c r="B17" s="14">
        <v>2</v>
      </c>
      <c r="C17" s="14" t="s">
        <v>150</v>
      </c>
      <c r="D17" s="98">
        <v>42118</v>
      </c>
      <c r="E17" s="15" t="s">
        <v>151</v>
      </c>
      <c r="F17" s="16">
        <v>205000</v>
      </c>
      <c r="G17" s="16"/>
      <c r="H17" s="151"/>
      <c r="I17" s="14" t="s">
        <v>111</v>
      </c>
      <c r="J17" s="15" t="s">
        <v>22</v>
      </c>
      <c r="K17" s="98">
        <v>42140</v>
      </c>
      <c r="L17" s="98">
        <v>42152</v>
      </c>
      <c r="M17" s="86">
        <v>153750</v>
      </c>
      <c r="N17" s="130">
        <v>2</v>
      </c>
      <c r="O17" s="10"/>
      <c r="P17" s="11"/>
      <c r="Q17" s="11"/>
      <c r="R17" s="12">
        <f>F17</f>
        <v>205000</v>
      </c>
      <c r="T17" s="12"/>
      <c r="U17" s="12"/>
      <c r="V17" s="12">
        <f t="shared" si="5"/>
        <v>205000</v>
      </c>
      <c r="W17" s="13" t="e">
        <f>+E17-SUM(P17:T17)+O17</f>
        <v>#VALUE!</v>
      </c>
      <c r="X17" s="13"/>
    </row>
    <row r="18" spans="2:24">
      <c r="B18" s="7">
        <v>2</v>
      </c>
      <c r="C18" s="7" t="s">
        <v>165</v>
      </c>
      <c r="D18" s="97">
        <v>42136</v>
      </c>
      <c r="E18" s="8" t="s">
        <v>166</v>
      </c>
      <c r="F18" s="9">
        <v>25000</v>
      </c>
      <c r="G18" s="9"/>
      <c r="H18" s="150"/>
      <c r="I18" s="7" t="s">
        <v>19</v>
      </c>
      <c r="J18" s="8" t="s">
        <v>112</v>
      </c>
      <c r="K18" s="97">
        <v>42136</v>
      </c>
      <c r="L18" s="99">
        <v>42177</v>
      </c>
      <c r="M18" s="87">
        <v>21250</v>
      </c>
      <c r="N18" s="129">
        <v>2</v>
      </c>
      <c r="O18" s="10"/>
      <c r="P18" s="11"/>
      <c r="Q18" s="11">
        <v>25000</v>
      </c>
      <c r="T18" s="12"/>
      <c r="U18" s="12"/>
      <c r="V18" s="12">
        <f t="shared" si="5"/>
        <v>25000</v>
      </c>
      <c r="W18" s="13" t="e">
        <f>+E18-SUM(P18:T18)+O18</f>
        <v>#VALUE!</v>
      </c>
      <c r="X18" s="13"/>
    </row>
    <row r="19" spans="2:24">
      <c r="B19" s="14">
        <v>2</v>
      </c>
      <c r="C19" s="14" t="s">
        <v>167</v>
      </c>
      <c r="D19" s="98">
        <v>42146</v>
      </c>
      <c r="E19" s="15" t="s">
        <v>131</v>
      </c>
      <c r="F19" s="16">
        <f>G19/1.1164</f>
        <v>264242.20709423145</v>
      </c>
      <c r="G19" s="16">
        <v>295000</v>
      </c>
      <c r="H19" s="151"/>
      <c r="I19" s="14" t="s">
        <v>117</v>
      </c>
      <c r="J19" s="15" t="s">
        <v>22</v>
      </c>
      <c r="K19" s="98">
        <v>42174</v>
      </c>
      <c r="L19" s="99"/>
      <c r="M19" s="87"/>
      <c r="N19" s="129">
        <v>2</v>
      </c>
      <c r="O19" s="10"/>
      <c r="P19" s="11"/>
      <c r="Q19" s="76">
        <f>F19*0.8</f>
        <v>211393.76567538516</v>
      </c>
      <c r="T19" s="76">
        <f>F19*0.2</f>
        <v>52848.441418846291</v>
      </c>
      <c r="U19" s="12"/>
      <c r="V19" s="12">
        <f t="shared" si="5"/>
        <v>211393.76567538516</v>
      </c>
      <c r="W19" s="13" t="e">
        <f>+E19-SUM(P19:T19)+O19</f>
        <v>#VALUE!</v>
      </c>
      <c r="X19" s="13"/>
    </row>
    <row r="20" spans="2:24">
      <c r="B20" s="14">
        <v>2</v>
      </c>
      <c r="C20" s="14" t="s">
        <v>168</v>
      </c>
      <c r="D20" s="98">
        <v>42149</v>
      </c>
      <c r="E20" s="15" t="s">
        <v>162</v>
      </c>
      <c r="F20" s="16">
        <v>428000</v>
      </c>
      <c r="G20" s="16"/>
      <c r="H20" s="151"/>
      <c r="I20" s="14" t="s">
        <v>114</v>
      </c>
      <c r="J20" s="15" t="s">
        <v>112</v>
      </c>
      <c r="K20" s="98">
        <v>42149</v>
      </c>
      <c r="L20" s="98">
        <v>42158</v>
      </c>
      <c r="M20" s="86">
        <v>428000</v>
      </c>
      <c r="N20" s="130">
        <v>2</v>
      </c>
      <c r="O20" s="140"/>
      <c r="P20" s="11"/>
      <c r="Q20" s="11"/>
      <c r="R20" s="12">
        <f>F20*(7/24)</f>
        <v>124833.33333333334</v>
      </c>
      <c r="S20" s="12">
        <f>F20/2</f>
        <v>214000</v>
      </c>
      <c r="T20" s="12">
        <f>F20*(5/24)</f>
        <v>89166.666666666672</v>
      </c>
      <c r="U20" s="12"/>
      <c r="V20" s="12"/>
      <c r="W20" s="13"/>
      <c r="X20" s="13"/>
    </row>
    <row r="21" spans="2:24" ht="30">
      <c r="B21" s="7">
        <v>2</v>
      </c>
      <c r="C21" s="7" t="s">
        <v>169</v>
      </c>
      <c r="D21" s="97">
        <v>42151</v>
      </c>
      <c r="E21" s="141" t="s">
        <v>170</v>
      </c>
      <c r="F21" s="9">
        <v>38000</v>
      </c>
      <c r="G21" s="9"/>
      <c r="H21" s="150"/>
      <c r="I21" s="7" t="s">
        <v>111</v>
      </c>
      <c r="J21" s="8" t="s">
        <v>112</v>
      </c>
      <c r="K21" s="97">
        <v>42151</v>
      </c>
      <c r="L21" s="97">
        <v>42153</v>
      </c>
      <c r="M21" s="85">
        <v>38000</v>
      </c>
      <c r="N21" s="128">
        <v>2</v>
      </c>
      <c r="O21" s="140"/>
      <c r="P21" s="11"/>
      <c r="Q21" s="11"/>
      <c r="R21" s="12">
        <f>F21*(7/12)</f>
        <v>22166.666666666668</v>
      </c>
      <c r="S21" s="12">
        <f>F21*(5/12)</f>
        <v>15833.333333333334</v>
      </c>
      <c r="T21" s="12"/>
      <c r="U21" s="12"/>
      <c r="V21" s="12"/>
      <c r="W21" s="13"/>
      <c r="X21" s="13"/>
    </row>
    <row r="22" spans="2:24">
      <c r="B22" s="14">
        <v>2</v>
      </c>
      <c r="C22" s="14" t="s">
        <v>171</v>
      </c>
      <c r="D22" s="98">
        <v>42158</v>
      </c>
      <c r="E22" s="15" t="s">
        <v>172</v>
      </c>
      <c r="F22" s="16">
        <f>G22/1.1029</f>
        <v>90670.051681929457</v>
      </c>
      <c r="G22" s="16">
        <v>100000</v>
      </c>
      <c r="H22" s="151"/>
      <c r="I22" s="14" t="s">
        <v>114</v>
      </c>
      <c r="J22" s="15" t="s">
        <v>22</v>
      </c>
      <c r="K22" s="98">
        <v>42185</v>
      </c>
      <c r="L22" s="99"/>
      <c r="M22" s="87"/>
      <c r="N22" s="129">
        <v>2</v>
      </c>
      <c r="O22" s="140"/>
      <c r="P22" s="11"/>
      <c r="Q22" s="11">
        <f>F22</f>
        <v>90670.051681929457</v>
      </c>
      <c r="T22" s="12"/>
      <c r="U22" s="12"/>
      <c r="V22" s="12">
        <f t="shared" si="5"/>
        <v>90670.051681929457</v>
      </c>
      <c r="W22" s="13" t="e">
        <f t="shared" ref="W22:W42" si="7">+E22-SUM(P22:S22)+O22</f>
        <v>#VALUE!</v>
      </c>
      <c r="X22" s="13"/>
    </row>
    <row r="23" spans="2:24">
      <c r="B23" s="7">
        <v>2</v>
      </c>
      <c r="C23" s="7" t="s">
        <v>180</v>
      </c>
      <c r="D23" s="97">
        <v>42160</v>
      </c>
      <c r="E23" s="8" t="s">
        <v>23</v>
      </c>
      <c r="F23" s="9">
        <v>55000</v>
      </c>
      <c r="G23" s="9"/>
      <c r="H23" s="150"/>
      <c r="I23" s="7" t="s">
        <v>19</v>
      </c>
      <c r="J23" s="8" t="s">
        <v>22</v>
      </c>
      <c r="K23" s="97">
        <v>42216</v>
      </c>
      <c r="L23" s="99"/>
      <c r="M23" s="87"/>
      <c r="N23" s="129">
        <v>3</v>
      </c>
      <c r="O23" s="140"/>
      <c r="P23" s="11"/>
      <c r="Q23" s="11"/>
      <c r="R23" s="12">
        <f>F23*(5/6)</f>
        <v>45833.333333333336</v>
      </c>
      <c r="S23" s="12">
        <f>F23*(1/6)</f>
        <v>9166.6666666666661</v>
      </c>
      <c r="T23" s="12"/>
      <c r="U23" s="12"/>
      <c r="V23" s="12"/>
      <c r="W23" s="13"/>
      <c r="X23" s="13"/>
    </row>
    <row r="24" spans="2:24">
      <c r="B24" s="14">
        <v>2</v>
      </c>
      <c r="C24" s="14" t="s">
        <v>181</v>
      </c>
      <c r="D24" s="98">
        <v>42163</v>
      </c>
      <c r="E24" s="15" t="s">
        <v>152</v>
      </c>
      <c r="F24" s="16">
        <v>180000</v>
      </c>
      <c r="G24" s="16"/>
      <c r="H24" s="151"/>
      <c r="I24" s="14" t="s">
        <v>117</v>
      </c>
      <c r="J24" s="15" t="s">
        <v>182</v>
      </c>
      <c r="K24" s="98">
        <v>42163</v>
      </c>
      <c r="L24" s="98">
        <v>42181</v>
      </c>
      <c r="M24" s="86">
        <v>180000</v>
      </c>
      <c r="N24" s="130">
        <v>2</v>
      </c>
      <c r="O24" s="140"/>
      <c r="P24" s="11"/>
      <c r="Q24" s="11">
        <v>180000</v>
      </c>
      <c r="T24" s="12"/>
      <c r="U24" s="12"/>
      <c r="V24" s="12">
        <v>0</v>
      </c>
      <c r="W24" s="13" t="e">
        <v>#VALUE!</v>
      </c>
      <c r="X24" s="13"/>
    </row>
    <row r="25" spans="2:24">
      <c r="B25" s="7">
        <v>2</v>
      </c>
      <c r="C25" s="7" t="s">
        <v>183</v>
      </c>
      <c r="D25" s="97">
        <v>42163</v>
      </c>
      <c r="E25" s="8" t="s">
        <v>124</v>
      </c>
      <c r="F25" s="9">
        <v>40000</v>
      </c>
      <c r="G25" s="9"/>
      <c r="H25" s="150"/>
      <c r="I25" s="7" t="s">
        <v>111</v>
      </c>
      <c r="J25" s="8" t="s">
        <v>112</v>
      </c>
      <c r="K25" s="97">
        <v>42185</v>
      </c>
      <c r="L25" s="99"/>
      <c r="M25" s="87"/>
      <c r="N25" s="129">
        <v>2</v>
      </c>
      <c r="O25" s="140"/>
      <c r="P25" s="11"/>
      <c r="Q25" s="11"/>
      <c r="R25" s="12">
        <v>40000</v>
      </c>
      <c r="T25" s="12"/>
      <c r="U25" s="12"/>
      <c r="V25" s="12">
        <v>0</v>
      </c>
      <c r="W25" s="13" t="e">
        <v>#VALUE!</v>
      </c>
      <c r="X25" s="13"/>
    </row>
    <row r="26" spans="2:24">
      <c r="B26" s="14">
        <v>2</v>
      </c>
      <c r="C26" s="14" t="s">
        <v>186</v>
      </c>
      <c r="D26" s="98">
        <v>42173</v>
      </c>
      <c r="E26" s="15" t="s">
        <v>184</v>
      </c>
      <c r="F26" s="16">
        <v>33750</v>
      </c>
      <c r="G26" s="16"/>
      <c r="H26" s="151"/>
      <c r="I26" s="14" t="s">
        <v>114</v>
      </c>
      <c r="J26" s="15" t="s">
        <v>22</v>
      </c>
      <c r="K26" s="98">
        <v>42185</v>
      </c>
      <c r="L26" s="99"/>
      <c r="M26" s="87"/>
      <c r="N26" s="129">
        <v>2</v>
      </c>
      <c r="O26" s="140"/>
      <c r="P26" s="11"/>
      <c r="Q26" s="11"/>
      <c r="R26" s="12">
        <v>33750</v>
      </c>
      <c r="T26" s="12"/>
      <c r="U26" s="12"/>
      <c r="V26" s="12">
        <v>0</v>
      </c>
      <c r="W26" s="13" t="e">
        <v>#VALUE!</v>
      </c>
      <c r="X26" s="13"/>
    </row>
    <row r="27" spans="2:24">
      <c r="B27" s="14">
        <v>2</v>
      </c>
      <c r="C27" s="14" t="s">
        <v>187</v>
      </c>
      <c r="D27" s="98">
        <v>42173</v>
      </c>
      <c r="E27" s="15" t="s">
        <v>129</v>
      </c>
      <c r="F27" s="16">
        <v>24000</v>
      </c>
      <c r="G27" s="16"/>
      <c r="H27" s="151"/>
      <c r="I27" s="14" t="s">
        <v>111</v>
      </c>
      <c r="J27" s="15" t="s">
        <v>112</v>
      </c>
      <c r="K27" s="98">
        <v>42203</v>
      </c>
      <c r="L27" s="99"/>
      <c r="M27" s="87"/>
      <c r="N27" s="129">
        <v>2</v>
      </c>
      <c r="O27" s="10"/>
      <c r="P27" s="11"/>
      <c r="Q27" s="11"/>
      <c r="R27" s="12">
        <v>24000</v>
      </c>
      <c r="T27" s="12"/>
      <c r="U27" s="12"/>
      <c r="V27" s="12">
        <f t="shared" ref="V27" si="8">+SUM(P27:R27)</f>
        <v>24000</v>
      </c>
      <c r="W27" s="13" t="e">
        <f t="shared" ref="W27" si="9">+E27-SUM(P27:S27)+O27</f>
        <v>#VALUE!</v>
      </c>
      <c r="X27" s="13"/>
    </row>
    <row r="28" spans="2:24" ht="30">
      <c r="B28" s="14">
        <v>2</v>
      </c>
      <c r="C28" s="14" t="s">
        <v>188</v>
      </c>
      <c r="D28" s="98">
        <v>42181</v>
      </c>
      <c r="E28" s="168" t="s">
        <v>189</v>
      </c>
      <c r="F28" s="16">
        <v>149000</v>
      </c>
      <c r="G28" s="16"/>
      <c r="H28" s="151"/>
      <c r="I28" s="14" t="s">
        <v>117</v>
      </c>
      <c r="J28" s="15" t="s">
        <v>112</v>
      </c>
      <c r="K28" s="98">
        <v>42181</v>
      </c>
      <c r="L28" s="98">
        <v>42184</v>
      </c>
      <c r="M28" s="86">
        <v>149000</v>
      </c>
      <c r="N28" s="130">
        <v>2</v>
      </c>
      <c r="O28" s="140"/>
      <c r="P28" s="11"/>
      <c r="Q28" s="11"/>
      <c r="R28" s="12">
        <f>F28*7/12</f>
        <v>86916.666666666672</v>
      </c>
      <c r="S28" s="12">
        <f>F28-R28</f>
        <v>62083.333333333328</v>
      </c>
      <c r="T28" s="12"/>
      <c r="U28" s="12"/>
      <c r="V28" s="12"/>
      <c r="W28" s="13"/>
      <c r="X28" s="13"/>
    </row>
    <row r="29" spans="2:24">
      <c r="B29" s="7">
        <v>2</v>
      </c>
      <c r="C29" s="7" t="s">
        <v>195</v>
      </c>
      <c r="D29" s="97">
        <v>42184</v>
      </c>
      <c r="E29" s="8" t="s">
        <v>196</v>
      </c>
      <c r="F29" s="9">
        <v>50000</v>
      </c>
      <c r="G29" s="9"/>
      <c r="H29" s="150"/>
      <c r="I29" s="7" t="s">
        <v>111</v>
      </c>
      <c r="J29" s="8" t="s">
        <v>112</v>
      </c>
      <c r="K29" s="97">
        <v>42184</v>
      </c>
      <c r="L29" s="99"/>
      <c r="M29" s="87"/>
      <c r="N29" s="129"/>
      <c r="O29" s="140"/>
      <c r="P29" s="11"/>
      <c r="Q29" s="11"/>
      <c r="R29" s="12">
        <f>F29*0.5</f>
        <v>25000</v>
      </c>
      <c r="S29" s="12">
        <f>F29-R29</f>
        <v>25000</v>
      </c>
      <c r="T29" s="12"/>
      <c r="U29" s="12"/>
      <c r="V29" s="12"/>
      <c r="W29" s="13"/>
      <c r="X29" s="13"/>
    </row>
    <row r="30" spans="2:24">
      <c r="B30" s="14">
        <v>2</v>
      </c>
      <c r="C30" s="14" t="s">
        <v>197</v>
      </c>
      <c r="D30" s="98">
        <v>42185</v>
      </c>
      <c r="E30" s="15" t="s">
        <v>172</v>
      </c>
      <c r="F30" s="16">
        <f>G30/H30</f>
        <v>1033532.9341317365</v>
      </c>
      <c r="G30" s="16">
        <v>1156420</v>
      </c>
      <c r="H30" s="151">
        <v>1.1189</v>
      </c>
      <c r="I30" s="14" t="s">
        <v>114</v>
      </c>
      <c r="J30" s="15" t="s">
        <v>22</v>
      </c>
      <c r="K30" s="98">
        <v>42185</v>
      </c>
      <c r="L30" s="99"/>
      <c r="M30" s="87"/>
      <c r="N30" s="129"/>
      <c r="O30" s="140"/>
      <c r="P30" s="11"/>
      <c r="Q30" s="11">
        <f>863118-Q22</f>
        <v>772447.9483180705</v>
      </c>
      <c r="T30" s="12">
        <f>F30-Q30</f>
        <v>261084.98581366602</v>
      </c>
      <c r="U30" s="12"/>
      <c r="V30" s="12"/>
      <c r="W30" s="13"/>
      <c r="X30" s="13"/>
    </row>
    <row r="31" spans="2:24">
      <c r="B31" s="102"/>
      <c r="C31" s="102"/>
      <c r="D31" s="103"/>
      <c r="E31" s="104"/>
      <c r="F31" s="105"/>
      <c r="G31" s="105"/>
      <c r="H31" s="153"/>
      <c r="I31" s="102"/>
      <c r="J31" s="104"/>
      <c r="K31" s="103"/>
      <c r="L31" s="103"/>
      <c r="M31" s="106"/>
      <c r="N31" s="131"/>
      <c r="O31" s="10"/>
      <c r="P31" s="11"/>
      <c r="Q31" s="11"/>
      <c r="T31" s="12"/>
      <c r="U31" s="12"/>
      <c r="V31" s="12">
        <f t="shared" si="5"/>
        <v>0</v>
      </c>
      <c r="W31" s="13">
        <f t="shared" si="7"/>
        <v>0</v>
      </c>
      <c r="X31" s="13"/>
    </row>
    <row r="32" spans="2:24">
      <c r="B32" s="107"/>
      <c r="C32" s="107"/>
      <c r="D32" s="108"/>
      <c r="E32" s="109"/>
      <c r="F32" s="110"/>
      <c r="G32" s="110"/>
      <c r="H32" s="152"/>
      <c r="I32" s="107"/>
      <c r="J32" s="109"/>
      <c r="K32" s="108"/>
      <c r="L32" s="108"/>
      <c r="M32" s="111"/>
      <c r="N32" s="132"/>
      <c r="O32" s="10"/>
      <c r="P32" s="11"/>
      <c r="Q32" s="11"/>
      <c r="T32" s="12"/>
      <c r="U32" s="12"/>
      <c r="V32" s="12"/>
      <c r="W32" s="13"/>
      <c r="X32" s="13"/>
    </row>
    <row r="33" spans="2:24">
      <c r="B33" s="102">
        <v>3</v>
      </c>
      <c r="C33" s="102"/>
      <c r="D33" s="103"/>
      <c r="E33" s="104" t="s">
        <v>129</v>
      </c>
      <c r="F33" s="105">
        <v>24000</v>
      </c>
      <c r="G33" s="105"/>
      <c r="H33" s="153"/>
      <c r="I33" s="102" t="s">
        <v>111</v>
      </c>
      <c r="J33" s="104"/>
      <c r="K33" s="103"/>
      <c r="L33" s="103"/>
      <c r="M33" s="106">
        <v>24000</v>
      </c>
      <c r="N33" s="131">
        <v>3</v>
      </c>
      <c r="O33" s="10"/>
      <c r="P33" s="11"/>
      <c r="Q33" s="11"/>
      <c r="T33" s="12"/>
      <c r="U33" s="12"/>
      <c r="V33" s="12">
        <f t="shared" si="5"/>
        <v>0</v>
      </c>
      <c r="W33" s="13" t="e">
        <f t="shared" si="7"/>
        <v>#VALUE!</v>
      </c>
      <c r="X33" s="13"/>
    </row>
    <row r="34" spans="2:24">
      <c r="B34" s="107">
        <v>4</v>
      </c>
      <c r="C34" s="107"/>
      <c r="D34" s="108"/>
      <c r="E34" s="109" t="s">
        <v>129</v>
      </c>
      <c r="F34" s="110">
        <v>24000</v>
      </c>
      <c r="G34" s="110"/>
      <c r="H34" s="152"/>
      <c r="I34" s="107" t="s">
        <v>111</v>
      </c>
      <c r="J34" s="109"/>
      <c r="K34" s="108"/>
      <c r="L34" s="108"/>
      <c r="M34" s="111">
        <v>24000</v>
      </c>
      <c r="N34" s="132">
        <v>4</v>
      </c>
      <c r="O34" s="10"/>
      <c r="P34" s="11"/>
      <c r="Q34" s="11"/>
      <c r="T34" s="12"/>
      <c r="U34" s="12"/>
      <c r="V34" s="12">
        <f t="shared" si="5"/>
        <v>0</v>
      </c>
      <c r="W34" s="13" t="e">
        <f t="shared" si="7"/>
        <v>#VALUE!</v>
      </c>
      <c r="X34" s="13"/>
    </row>
    <row r="35" spans="2:24">
      <c r="B35" s="102">
        <v>3</v>
      </c>
      <c r="C35" s="102"/>
      <c r="D35" s="103"/>
      <c r="E35" s="104" t="s">
        <v>124</v>
      </c>
      <c r="F35" s="105">
        <v>40000</v>
      </c>
      <c r="G35" s="105"/>
      <c r="H35" s="153"/>
      <c r="I35" s="102" t="s">
        <v>111</v>
      </c>
      <c r="J35" s="104"/>
      <c r="K35" s="103"/>
      <c r="L35" s="103"/>
      <c r="M35" s="106">
        <v>40000</v>
      </c>
      <c r="N35" s="131">
        <v>3</v>
      </c>
      <c r="O35" s="10"/>
      <c r="P35" s="11"/>
      <c r="Q35" s="11"/>
      <c r="T35" s="12"/>
      <c r="U35" s="12"/>
      <c r="V35" s="12">
        <f t="shared" si="5"/>
        <v>0</v>
      </c>
      <c r="W35" s="13" t="e">
        <f t="shared" si="7"/>
        <v>#VALUE!</v>
      </c>
      <c r="X35" s="13"/>
    </row>
    <row r="36" spans="2:24">
      <c r="B36" s="107">
        <v>4</v>
      </c>
      <c r="C36" s="107"/>
      <c r="D36" s="108"/>
      <c r="E36" s="109" t="s">
        <v>124</v>
      </c>
      <c r="F36" s="110">
        <v>40000</v>
      </c>
      <c r="G36" s="110"/>
      <c r="H36" s="152"/>
      <c r="I36" s="107" t="s">
        <v>111</v>
      </c>
      <c r="J36" s="109"/>
      <c r="K36" s="108"/>
      <c r="L36" s="108"/>
      <c r="M36" s="111">
        <v>40000</v>
      </c>
      <c r="N36" s="132">
        <v>4</v>
      </c>
      <c r="O36" s="10"/>
      <c r="P36" s="11"/>
      <c r="Q36" s="11"/>
      <c r="T36" s="12"/>
      <c r="U36" s="12"/>
      <c r="V36" s="12">
        <f t="shared" si="5"/>
        <v>0</v>
      </c>
      <c r="W36" s="13" t="e">
        <f t="shared" si="7"/>
        <v>#VALUE!</v>
      </c>
      <c r="X36" s="13"/>
    </row>
    <row r="37" spans="2:24">
      <c r="B37" s="102">
        <v>3</v>
      </c>
      <c r="C37" s="102"/>
      <c r="D37" s="103"/>
      <c r="E37" s="104" t="s">
        <v>126</v>
      </c>
      <c r="F37" s="105">
        <v>33750</v>
      </c>
      <c r="G37" s="105"/>
      <c r="H37" s="153"/>
      <c r="I37" s="102" t="s">
        <v>114</v>
      </c>
      <c r="J37" s="104"/>
      <c r="K37" s="103"/>
      <c r="L37" s="103"/>
      <c r="M37" s="106">
        <v>33750</v>
      </c>
      <c r="N37" s="131">
        <v>3</v>
      </c>
      <c r="O37" s="10"/>
      <c r="P37" s="11"/>
      <c r="Q37" s="11"/>
      <c r="T37" s="12"/>
      <c r="U37" s="12"/>
      <c r="V37" s="12">
        <f t="shared" si="5"/>
        <v>0</v>
      </c>
      <c r="W37" s="13" t="e">
        <f t="shared" si="7"/>
        <v>#VALUE!</v>
      </c>
      <c r="X37" s="13"/>
    </row>
    <row r="38" spans="2:24">
      <c r="B38" s="107">
        <v>4</v>
      </c>
      <c r="C38" s="107"/>
      <c r="D38" s="108"/>
      <c r="E38" s="109" t="s">
        <v>126</v>
      </c>
      <c r="F38" s="110">
        <v>33750</v>
      </c>
      <c r="G38" s="110"/>
      <c r="H38" s="152"/>
      <c r="I38" s="107" t="s">
        <v>114</v>
      </c>
      <c r="J38" s="109"/>
      <c r="K38" s="108"/>
      <c r="L38" s="108"/>
      <c r="M38" s="111">
        <v>33750</v>
      </c>
      <c r="N38" s="132">
        <v>4</v>
      </c>
      <c r="O38" s="10"/>
      <c r="P38" s="11"/>
      <c r="Q38" s="11"/>
      <c r="T38" s="12"/>
      <c r="U38" s="12"/>
      <c r="V38" s="12">
        <f t="shared" si="5"/>
        <v>0</v>
      </c>
      <c r="W38" s="13" t="e">
        <f t="shared" si="7"/>
        <v>#VALUE!</v>
      </c>
      <c r="X38" s="13"/>
    </row>
    <row r="39" spans="2:24">
      <c r="B39" s="112">
        <v>3</v>
      </c>
      <c r="C39" s="112"/>
      <c r="D39" s="113"/>
      <c r="E39" s="114" t="s">
        <v>133</v>
      </c>
      <c r="F39" s="115">
        <v>412500</v>
      </c>
      <c r="G39" s="115"/>
      <c r="H39" s="154"/>
      <c r="I39" s="112" t="s">
        <v>114</v>
      </c>
      <c r="J39" s="114"/>
      <c r="K39" s="113"/>
      <c r="L39" s="113"/>
      <c r="M39" s="116">
        <v>412500</v>
      </c>
      <c r="N39" s="133">
        <v>3</v>
      </c>
      <c r="O39" s="10"/>
      <c r="P39" s="11"/>
      <c r="Q39" s="11"/>
      <c r="T39" s="12"/>
      <c r="U39" s="12"/>
      <c r="V39" s="12">
        <f t="shared" si="5"/>
        <v>0</v>
      </c>
      <c r="W39" s="13" t="e">
        <f t="shared" si="7"/>
        <v>#VALUE!</v>
      </c>
      <c r="X39" s="13"/>
    </row>
    <row r="40" spans="2:24">
      <c r="B40" s="117">
        <v>3</v>
      </c>
      <c r="C40" s="117"/>
      <c r="D40" s="118"/>
      <c r="E40" s="119" t="s">
        <v>153</v>
      </c>
      <c r="F40" s="120">
        <f>G40/H40</f>
        <v>280726.60648851551</v>
      </c>
      <c r="G40" s="16">
        <v>314105</v>
      </c>
      <c r="H40" s="151">
        <v>1.1189</v>
      </c>
      <c r="I40" s="117" t="s">
        <v>114</v>
      </c>
      <c r="J40" s="119"/>
      <c r="K40" s="118"/>
      <c r="L40" s="118"/>
      <c r="M40" s="121">
        <v>1438530</v>
      </c>
      <c r="N40" s="134">
        <v>3</v>
      </c>
      <c r="O40" s="10"/>
      <c r="P40" s="11"/>
      <c r="Q40" s="11"/>
      <c r="T40" s="12"/>
      <c r="U40" s="12"/>
      <c r="V40" s="12">
        <f t="shared" si="5"/>
        <v>0</v>
      </c>
      <c r="W40" s="13" t="e">
        <f t="shared" si="7"/>
        <v>#VALUE!</v>
      </c>
      <c r="X40" s="13"/>
    </row>
    <row r="41" spans="2:24">
      <c r="B41" s="112">
        <v>3</v>
      </c>
      <c r="C41" s="112"/>
      <c r="D41" s="113"/>
      <c r="E41" s="114" t="s">
        <v>116</v>
      </c>
      <c r="F41" s="115">
        <v>33850</v>
      </c>
      <c r="G41" s="115"/>
      <c r="H41" s="154"/>
      <c r="I41" s="112" t="s">
        <v>117</v>
      </c>
      <c r="J41" s="114"/>
      <c r="K41" s="113"/>
      <c r="L41" s="113"/>
      <c r="M41" s="116">
        <v>33850</v>
      </c>
      <c r="N41" s="133">
        <v>3</v>
      </c>
      <c r="O41" s="10"/>
      <c r="P41" s="11"/>
      <c r="Q41" s="11"/>
      <c r="T41" s="12"/>
      <c r="U41" s="12"/>
      <c r="V41" s="12">
        <f t="shared" si="5"/>
        <v>0</v>
      </c>
      <c r="W41" s="13" t="e">
        <f t="shared" si="7"/>
        <v>#VALUE!</v>
      </c>
      <c r="X41" s="13"/>
    </row>
    <row r="42" spans="2:24">
      <c r="B42" s="117">
        <v>3</v>
      </c>
      <c r="C42" s="117"/>
      <c r="D42" s="118"/>
      <c r="E42" s="119" t="s">
        <v>154</v>
      </c>
      <c r="F42" s="120">
        <v>16875</v>
      </c>
      <c r="G42" s="120"/>
      <c r="H42" s="155"/>
      <c r="I42" s="117" t="s">
        <v>19</v>
      </c>
      <c r="J42" s="119"/>
      <c r="K42" s="118"/>
      <c r="L42" s="118"/>
      <c r="M42" s="121">
        <v>16875</v>
      </c>
      <c r="N42" s="134">
        <v>3</v>
      </c>
      <c r="O42" s="10"/>
      <c r="P42" s="11"/>
      <c r="Q42" s="11"/>
      <c r="T42" s="12"/>
      <c r="U42" s="12"/>
      <c r="V42" s="12">
        <f t="shared" si="5"/>
        <v>0</v>
      </c>
      <c r="W42" s="13" t="e">
        <f t="shared" si="7"/>
        <v>#VALUE!</v>
      </c>
      <c r="X42" s="13"/>
    </row>
    <row r="43" spans="2:24">
      <c r="B43" s="112">
        <v>3</v>
      </c>
      <c r="C43" s="112"/>
      <c r="D43" s="113"/>
      <c r="E43" s="114" t="s">
        <v>110</v>
      </c>
      <c r="F43" s="115">
        <v>90000</v>
      </c>
      <c r="G43" s="115"/>
      <c r="H43" s="154"/>
      <c r="I43" s="112" t="s">
        <v>111</v>
      </c>
      <c r="J43" s="114"/>
      <c r="K43" s="113"/>
      <c r="L43" s="113"/>
      <c r="M43" s="116">
        <v>90000</v>
      </c>
      <c r="N43" s="133">
        <v>3</v>
      </c>
      <c r="O43" s="10"/>
      <c r="P43" s="11"/>
      <c r="Q43" s="11"/>
      <c r="T43" s="12"/>
      <c r="U43" s="12"/>
      <c r="V43" s="12">
        <f t="shared" si="5"/>
        <v>0</v>
      </c>
      <c r="W43" s="13" t="e">
        <f t="shared" ref="W43:W53" si="10">+E43-SUM(P43:S43)+O43</f>
        <v>#VALUE!</v>
      </c>
      <c r="X43" s="13"/>
    </row>
    <row r="44" spans="2:24">
      <c r="B44" s="112">
        <v>3</v>
      </c>
      <c r="C44" s="112"/>
      <c r="D44" s="113"/>
      <c r="E44" s="114" t="s">
        <v>155</v>
      </c>
      <c r="F44" s="115">
        <v>77000</v>
      </c>
      <c r="G44" s="115"/>
      <c r="H44" s="154"/>
      <c r="I44" s="112" t="s">
        <v>117</v>
      </c>
      <c r="J44" s="114"/>
      <c r="K44" s="113"/>
      <c r="L44" s="113"/>
      <c r="M44" s="116">
        <v>77000</v>
      </c>
      <c r="N44" s="133">
        <v>3</v>
      </c>
      <c r="O44" s="10"/>
      <c r="P44" s="11"/>
      <c r="Q44" s="11"/>
      <c r="T44" s="12"/>
      <c r="U44" s="12"/>
      <c r="V44" s="12">
        <f t="shared" si="5"/>
        <v>0</v>
      </c>
      <c r="W44" s="13" t="e">
        <f t="shared" si="10"/>
        <v>#VALUE!</v>
      </c>
      <c r="X44" s="13"/>
    </row>
    <row r="45" spans="2:24">
      <c r="B45" s="117">
        <v>3</v>
      </c>
      <c r="C45" s="117"/>
      <c r="D45" s="118"/>
      <c r="E45" s="119" t="s">
        <v>156</v>
      </c>
      <c r="F45" s="120">
        <v>100000</v>
      </c>
      <c r="G45" s="120"/>
      <c r="H45" s="155"/>
      <c r="I45" s="117" t="s">
        <v>117</v>
      </c>
      <c r="J45" s="119"/>
      <c r="K45" s="118"/>
      <c r="L45" s="118"/>
      <c r="M45" s="121">
        <v>100000</v>
      </c>
      <c r="N45" s="134">
        <v>3</v>
      </c>
      <c r="O45" s="10"/>
      <c r="P45" s="11"/>
      <c r="Q45" s="11"/>
      <c r="T45" s="12"/>
      <c r="U45" s="12"/>
      <c r="V45" s="12">
        <f t="shared" si="5"/>
        <v>0</v>
      </c>
      <c r="W45" s="13" t="e">
        <f t="shared" si="10"/>
        <v>#VALUE!</v>
      </c>
      <c r="X45" s="13"/>
    </row>
    <row r="46" spans="2:24">
      <c r="B46" s="112">
        <v>3</v>
      </c>
      <c r="C46" s="112"/>
      <c r="D46" s="113"/>
      <c r="E46" s="114" t="s">
        <v>157</v>
      </c>
      <c r="F46" s="115">
        <v>75000</v>
      </c>
      <c r="G46" s="115"/>
      <c r="H46" s="154"/>
      <c r="I46" s="112" t="s">
        <v>117</v>
      </c>
      <c r="J46" s="114"/>
      <c r="K46" s="113"/>
      <c r="L46" s="113"/>
      <c r="M46" s="116">
        <v>75000</v>
      </c>
      <c r="N46" s="133">
        <v>3</v>
      </c>
      <c r="O46" s="10"/>
      <c r="P46" s="11"/>
      <c r="Q46" s="11"/>
      <c r="T46" s="12"/>
      <c r="U46" s="12"/>
      <c r="V46" s="12">
        <f t="shared" si="5"/>
        <v>0</v>
      </c>
      <c r="W46" s="13" t="e">
        <f t="shared" si="10"/>
        <v>#VALUE!</v>
      </c>
      <c r="X46" s="13"/>
    </row>
    <row r="47" spans="2:24">
      <c r="B47" s="117">
        <v>3</v>
      </c>
      <c r="C47" s="117"/>
      <c r="D47" s="118"/>
      <c r="E47" s="119" t="s">
        <v>158</v>
      </c>
      <c r="F47" s="120">
        <v>75000</v>
      </c>
      <c r="G47" s="120"/>
      <c r="H47" s="155"/>
      <c r="I47" s="117" t="s">
        <v>111</v>
      </c>
      <c r="J47" s="119"/>
      <c r="K47" s="118"/>
      <c r="L47" s="118"/>
      <c r="M47" s="121">
        <v>75000</v>
      </c>
      <c r="N47" s="134">
        <v>3</v>
      </c>
      <c r="O47" s="10"/>
      <c r="P47" s="11"/>
      <c r="Q47" s="11"/>
      <c r="T47" s="12"/>
      <c r="U47" s="12"/>
      <c r="V47" s="12">
        <f t="shared" si="5"/>
        <v>0</v>
      </c>
      <c r="W47" s="13" t="e">
        <f t="shared" si="10"/>
        <v>#VALUE!</v>
      </c>
      <c r="X47" s="13"/>
    </row>
    <row r="48" spans="2:24">
      <c r="B48" s="112">
        <v>3</v>
      </c>
      <c r="C48" s="112"/>
      <c r="D48" s="113"/>
      <c r="E48" s="114" t="s">
        <v>159</v>
      </c>
      <c r="F48" s="115">
        <v>250000</v>
      </c>
      <c r="G48" s="115"/>
      <c r="H48" s="154"/>
      <c r="I48" s="112" t="s">
        <v>111</v>
      </c>
      <c r="J48" s="114"/>
      <c r="K48" s="113"/>
      <c r="L48" s="113"/>
      <c r="M48" s="116">
        <v>250000</v>
      </c>
      <c r="N48" s="133">
        <v>4</v>
      </c>
      <c r="O48" s="10"/>
      <c r="P48" s="11"/>
      <c r="Q48" s="11"/>
      <c r="T48" s="12"/>
      <c r="U48" s="12"/>
      <c r="V48" s="12">
        <f t="shared" si="5"/>
        <v>0</v>
      </c>
      <c r="W48" s="13" t="e">
        <f t="shared" si="10"/>
        <v>#VALUE!</v>
      </c>
      <c r="X48" s="13"/>
    </row>
    <row r="49" spans="1:24">
      <c r="B49" s="117">
        <v>3</v>
      </c>
      <c r="C49" s="117"/>
      <c r="D49" s="118"/>
      <c r="E49" s="119" t="s">
        <v>160</v>
      </c>
      <c r="F49" s="120">
        <v>220000</v>
      </c>
      <c r="G49" s="120"/>
      <c r="H49" s="155"/>
      <c r="I49" s="117" t="s">
        <v>111</v>
      </c>
      <c r="J49" s="119"/>
      <c r="K49" s="118"/>
      <c r="L49" s="118"/>
      <c r="M49" s="121">
        <v>220000</v>
      </c>
      <c r="N49" s="134">
        <v>4</v>
      </c>
      <c r="O49" s="10"/>
      <c r="P49" s="11"/>
      <c r="Q49" s="11"/>
      <c r="T49" s="12"/>
      <c r="U49" s="12"/>
      <c r="V49" s="12">
        <f t="shared" si="5"/>
        <v>0</v>
      </c>
      <c r="W49" s="13" t="e">
        <f t="shared" si="10"/>
        <v>#VALUE!</v>
      </c>
      <c r="X49" s="13"/>
    </row>
    <row r="50" spans="1:24">
      <c r="B50" s="14">
        <v>3</v>
      </c>
      <c r="C50" s="14"/>
      <c r="D50" s="98"/>
      <c r="E50" s="15" t="s">
        <v>161</v>
      </c>
      <c r="F50" s="16">
        <v>700000</v>
      </c>
      <c r="G50" s="16"/>
      <c r="H50" s="151"/>
      <c r="I50" s="14" t="s">
        <v>19</v>
      </c>
      <c r="J50" s="15"/>
      <c r="K50" s="98"/>
      <c r="L50" s="98"/>
      <c r="M50" s="86">
        <v>700000</v>
      </c>
      <c r="N50" s="101">
        <v>4</v>
      </c>
      <c r="O50" s="10"/>
      <c r="P50" s="11"/>
      <c r="Q50" s="11"/>
      <c r="T50" s="12"/>
      <c r="U50" s="12"/>
      <c r="V50" s="12">
        <f t="shared" si="5"/>
        <v>0</v>
      </c>
      <c r="W50" s="13" t="e">
        <f t="shared" si="10"/>
        <v>#VALUE!</v>
      </c>
      <c r="X50" s="13"/>
    </row>
    <row r="51" spans="1:24">
      <c r="B51" s="7">
        <v>3</v>
      </c>
      <c r="C51" s="7"/>
      <c r="D51" s="97"/>
      <c r="E51" s="8" t="s">
        <v>163</v>
      </c>
      <c r="F51" s="9">
        <v>100000</v>
      </c>
      <c r="G51" s="9"/>
      <c r="H51" s="150"/>
      <c r="I51" s="7" t="s">
        <v>117</v>
      </c>
      <c r="J51" s="8"/>
      <c r="K51" s="97"/>
      <c r="L51" s="97"/>
      <c r="M51" s="85">
        <v>100000</v>
      </c>
      <c r="N51" s="100">
        <v>4</v>
      </c>
      <c r="O51" s="10"/>
      <c r="P51" s="11"/>
      <c r="Q51" s="11"/>
      <c r="T51" s="12"/>
      <c r="U51" s="12"/>
      <c r="V51" s="12">
        <f t="shared" si="5"/>
        <v>0</v>
      </c>
      <c r="W51" s="13" t="e">
        <f t="shared" si="10"/>
        <v>#VALUE!</v>
      </c>
      <c r="X51" s="13"/>
    </row>
    <row r="52" spans="1:24">
      <c r="B52" s="14">
        <v>4</v>
      </c>
      <c r="C52" s="14"/>
      <c r="D52" s="98"/>
      <c r="E52" s="15" t="s">
        <v>164</v>
      </c>
      <c r="F52" s="16">
        <v>75000</v>
      </c>
      <c r="G52" s="16"/>
      <c r="H52" s="151"/>
      <c r="I52" s="14" t="s">
        <v>111</v>
      </c>
      <c r="J52" s="15"/>
      <c r="K52" s="98"/>
      <c r="L52" s="98"/>
      <c r="M52" s="86">
        <v>75000</v>
      </c>
      <c r="N52" s="101">
        <v>4</v>
      </c>
      <c r="O52" s="10"/>
      <c r="P52" s="11"/>
      <c r="Q52" s="11"/>
      <c r="T52" s="12"/>
      <c r="U52" s="12"/>
      <c r="V52" s="12">
        <f t="shared" si="5"/>
        <v>0</v>
      </c>
      <c r="W52" s="13" t="e">
        <f t="shared" si="10"/>
        <v>#VALUE!</v>
      </c>
      <c r="X52" s="13"/>
    </row>
    <row r="53" spans="1:24">
      <c r="B53" s="7"/>
      <c r="C53" s="7"/>
      <c r="D53" s="97"/>
      <c r="E53" s="8"/>
      <c r="F53" s="9"/>
      <c r="G53" s="9"/>
      <c r="H53" s="150"/>
      <c r="I53" s="7"/>
      <c r="J53" s="8"/>
      <c r="K53" s="97"/>
      <c r="L53" s="97"/>
      <c r="M53" s="85"/>
      <c r="N53" s="100"/>
      <c r="O53" s="10"/>
      <c r="P53" s="11"/>
      <c r="Q53" s="11"/>
      <c r="T53" s="12"/>
      <c r="U53" s="12"/>
      <c r="V53" s="12">
        <f t="shared" si="5"/>
        <v>0</v>
      </c>
      <c r="W53" s="13">
        <f t="shared" si="10"/>
        <v>0</v>
      </c>
      <c r="X53" s="13"/>
    </row>
    <row r="54" spans="1:24">
      <c r="B54" s="7"/>
      <c r="C54" s="7"/>
      <c r="D54" s="97"/>
      <c r="E54" s="8"/>
      <c r="F54" s="9"/>
      <c r="G54" s="9"/>
      <c r="H54" s="150"/>
      <c r="I54" s="7"/>
      <c r="J54" s="8"/>
      <c r="K54" s="97"/>
      <c r="L54" s="97"/>
      <c r="M54" s="85"/>
      <c r="N54" s="100"/>
      <c r="O54" s="10"/>
      <c r="P54" s="11"/>
      <c r="Q54" s="11"/>
      <c r="T54" s="12"/>
      <c r="U54" s="12"/>
      <c r="V54" s="12"/>
      <c r="W54" s="13"/>
      <c r="X54" s="13"/>
    </row>
    <row r="55" spans="1:24">
      <c r="B55" s="14"/>
      <c r="C55" s="14"/>
      <c r="D55" s="98"/>
      <c r="E55" s="15"/>
      <c r="F55" s="16"/>
      <c r="G55" s="16"/>
      <c r="H55" s="151"/>
      <c r="I55" s="14"/>
      <c r="J55" s="15"/>
      <c r="K55" s="98"/>
      <c r="L55" s="98"/>
      <c r="M55" s="86"/>
      <c r="N55" s="101"/>
      <c r="O55" s="10"/>
      <c r="P55" s="11"/>
      <c r="Q55" s="11"/>
      <c r="T55" s="12"/>
      <c r="U55" s="12"/>
      <c r="V55" s="12">
        <f t="shared" si="5"/>
        <v>0</v>
      </c>
      <c r="W55" s="13"/>
      <c r="X55" s="13"/>
    </row>
    <row r="56" spans="1:24">
      <c r="B56" s="14"/>
      <c r="C56" s="14"/>
      <c r="D56" s="98"/>
      <c r="E56" s="15"/>
      <c r="F56" s="16"/>
      <c r="G56" s="16"/>
      <c r="H56" s="151"/>
      <c r="I56" s="14"/>
      <c r="J56" s="15"/>
      <c r="K56" s="98"/>
      <c r="L56" s="98"/>
      <c r="M56" s="86"/>
      <c r="N56" s="101"/>
      <c r="O56" s="10"/>
      <c r="P56" s="11"/>
      <c r="Q56" s="11"/>
      <c r="T56" s="12"/>
      <c r="U56" s="12"/>
      <c r="V56" s="12">
        <f t="shared" si="5"/>
        <v>0</v>
      </c>
      <c r="W56" s="13"/>
      <c r="X56" s="13"/>
    </row>
    <row r="57" spans="1:24">
      <c r="B57" s="14"/>
      <c r="C57" s="14"/>
      <c r="D57" s="98"/>
      <c r="E57" s="15"/>
      <c r="F57" s="16"/>
      <c r="G57" s="16"/>
      <c r="H57" s="151"/>
      <c r="I57" s="14"/>
      <c r="J57" s="15"/>
      <c r="K57" s="98"/>
      <c r="L57" s="98"/>
      <c r="M57" s="86"/>
      <c r="N57" s="101"/>
      <c r="O57" s="10"/>
      <c r="P57" s="11"/>
      <c r="Q57" s="11"/>
      <c r="T57" s="12"/>
      <c r="U57" s="12"/>
      <c r="V57" s="12">
        <f t="shared" si="5"/>
        <v>0</v>
      </c>
      <c r="W57" s="13"/>
      <c r="X57" s="13"/>
    </row>
    <row r="58" spans="1:24">
      <c r="A58" s="1" t="s">
        <v>18</v>
      </c>
      <c r="B58" s="7"/>
      <c r="C58" s="7"/>
      <c r="D58" s="97"/>
      <c r="E58" s="8"/>
      <c r="F58" s="9"/>
      <c r="G58" s="9"/>
      <c r="H58" s="150"/>
      <c r="I58" s="7"/>
      <c r="J58" s="8"/>
      <c r="K58" s="97"/>
      <c r="L58" s="97"/>
      <c r="M58" s="85"/>
      <c r="N58" s="100"/>
      <c r="O58" s="10"/>
      <c r="P58" s="11"/>
      <c r="Q58" s="11"/>
      <c r="T58" s="12"/>
      <c r="U58" s="12"/>
      <c r="V58" s="12">
        <f t="shared" si="5"/>
        <v>0</v>
      </c>
      <c r="W58" s="13"/>
      <c r="X58" s="13"/>
    </row>
    <row r="59" spans="1:24">
      <c r="B59" s="14"/>
      <c r="C59" s="14"/>
      <c r="D59" s="98"/>
      <c r="E59" s="15"/>
      <c r="F59" s="16"/>
      <c r="G59" s="16"/>
      <c r="H59" s="151"/>
      <c r="I59" s="14"/>
      <c r="J59" s="15"/>
      <c r="K59" s="98"/>
      <c r="L59" s="98"/>
      <c r="M59" s="86"/>
      <c r="N59" s="101"/>
      <c r="O59" s="10"/>
      <c r="P59" s="11"/>
      <c r="Q59" s="11"/>
      <c r="T59" s="12"/>
      <c r="U59" s="12"/>
      <c r="V59" s="12">
        <f t="shared" si="5"/>
        <v>0</v>
      </c>
      <c r="W59" s="13"/>
      <c r="X59" s="13"/>
    </row>
    <row r="60" spans="1:24">
      <c r="B60" s="7"/>
      <c r="C60" s="7"/>
      <c r="D60" s="97"/>
      <c r="E60" s="8"/>
      <c r="F60" s="9"/>
      <c r="G60" s="9"/>
      <c r="H60" s="150"/>
      <c r="I60" s="7"/>
      <c r="J60" s="8"/>
      <c r="K60" s="97"/>
      <c r="L60" s="97"/>
      <c r="M60" s="85"/>
      <c r="N60" s="100"/>
      <c r="O60" s="10"/>
      <c r="P60" s="11"/>
      <c r="Q60" s="11"/>
      <c r="T60" s="12"/>
      <c r="U60" s="12"/>
      <c r="V60" s="12">
        <f t="shared" si="5"/>
        <v>0</v>
      </c>
      <c r="W60" s="13"/>
      <c r="X60" s="13"/>
    </row>
    <row r="61" spans="1:24">
      <c r="B61" s="14"/>
      <c r="C61" s="14"/>
      <c r="D61" s="98"/>
      <c r="E61" s="15"/>
      <c r="F61" s="16"/>
      <c r="G61" s="16"/>
      <c r="H61" s="151"/>
      <c r="I61" s="14"/>
      <c r="J61" s="15"/>
      <c r="K61" s="98"/>
      <c r="L61" s="98"/>
      <c r="M61" s="86"/>
      <c r="N61" s="101"/>
      <c r="O61" s="10"/>
      <c r="P61" s="11"/>
      <c r="Q61" s="11"/>
      <c r="T61" s="12"/>
      <c r="U61" s="12"/>
      <c r="V61" s="12">
        <f t="shared" si="5"/>
        <v>0</v>
      </c>
      <c r="W61" s="13"/>
      <c r="X61" s="13"/>
    </row>
    <row r="62" spans="1:24">
      <c r="B62" s="7"/>
      <c r="C62" s="7"/>
      <c r="D62" s="97"/>
      <c r="E62" s="8"/>
      <c r="F62" s="9"/>
      <c r="G62" s="9"/>
      <c r="H62" s="150"/>
      <c r="I62" s="7"/>
      <c r="J62" s="8"/>
      <c r="K62" s="97"/>
      <c r="L62" s="97"/>
      <c r="M62" s="85"/>
      <c r="N62" s="100"/>
      <c r="O62" s="10"/>
      <c r="P62" s="11"/>
      <c r="Q62" s="11"/>
      <c r="T62" s="12"/>
      <c r="U62" s="12"/>
      <c r="V62" s="12">
        <f t="shared" si="5"/>
        <v>0</v>
      </c>
      <c r="W62" s="13"/>
      <c r="X62" s="13"/>
    </row>
    <row r="63" spans="1:24">
      <c r="B63" s="14"/>
      <c r="C63" s="14"/>
      <c r="D63" s="98"/>
      <c r="E63" s="15"/>
      <c r="F63" s="16"/>
      <c r="G63" s="16"/>
      <c r="H63" s="151"/>
      <c r="I63" s="14"/>
      <c r="J63" s="15"/>
      <c r="K63" s="98"/>
      <c r="L63" s="98"/>
      <c r="M63" s="86"/>
      <c r="N63" s="101"/>
      <c r="O63" s="10"/>
      <c r="P63" s="11"/>
      <c r="Q63" s="11"/>
      <c r="T63" s="12"/>
      <c r="U63" s="12"/>
      <c r="V63" s="12">
        <f t="shared" si="5"/>
        <v>0</v>
      </c>
      <c r="W63" s="13"/>
      <c r="X63" s="13"/>
    </row>
    <row r="64" spans="1:24">
      <c r="B64" s="7"/>
      <c r="C64" s="7"/>
      <c r="D64" s="97"/>
      <c r="E64" s="8"/>
      <c r="F64" s="9"/>
      <c r="G64" s="9"/>
      <c r="H64" s="150"/>
      <c r="I64" s="7"/>
      <c r="J64" s="8"/>
      <c r="K64" s="97"/>
      <c r="L64" s="97"/>
      <c r="M64" s="85"/>
      <c r="N64" s="100"/>
      <c r="O64" s="10"/>
      <c r="P64" s="11"/>
      <c r="Q64" s="11"/>
      <c r="T64" s="12"/>
      <c r="U64" s="12"/>
      <c r="V64" s="12">
        <f t="shared" si="5"/>
        <v>0</v>
      </c>
      <c r="W64" s="13"/>
      <c r="X64" s="13"/>
    </row>
    <row r="65" spans="2:24">
      <c r="B65" s="14"/>
      <c r="C65" s="14"/>
      <c r="D65" s="98"/>
      <c r="E65" s="15"/>
      <c r="F65" s="16"/>
      <c r="G65" s="16"/>
      <c r="H65" s="151"/>
      <c r="I65" s="14"/>
      <c r="J65" s="15"/>
      <c r="K65" s="98"/>
      <c r="L65" s="98"/>
      <c r="M65" s="86"/>
      <c r="N65" s="101"/>
      <c r="O65" s="10"/>
      <c r="P65" s="11"/>
      <c r="Q65" s="11"/>
      <c r="T65" s="12"/>
      <c r="U65" s="12"/>
      <c r="V65" s="12">
        <f t="shared" si="5"/>
        <v>0</v>
      </c>
      <c r="W65" s="13"/>
      <c r="X65" s="13"/>
    </row>
    <row r="66" spans="2:24">
      <c r="B66" s="7"/>
      <c r="C66" s="7"/>
      <c r="D66" s="97"/>
      <c r="E66" s="8"/>
      <c r="F66" s="9"/>
      <c r="G66" s="9"/>
      <c r="H66" s="150"/>
      <c r="I66" s="7"/>
      <c r="J66" s="8"/>
      <c r="K66" s="97"/>
      <c r="L66" s="97"/>
      <c r="M66" s="85"/>
      <c r="N66" s="100"/>
      <c r="O66" s="10"/>
      <c r="P66" s="11"/>
      <c r="Q66" s="11"/>
      <c r="T66" s="12"/>
      <c r="U66" s="12"/>
      <c r="V66" s="12">
        <f t="shared" si="5"/>
        <v>0</v>
      </c>
      <c r="W66" s="13"/>
      <c r="X66" s="13"/>
    </row>
    <row r="67" spans="2:24">
      <c r="B67" s="14"/>
      <c r="C67" s="14"/>
      <c r="D67" s="98"/>
      <c r="E67" s="15"/>
      <c r="F67" s="16"/>
      <c r="G67" s="16"/>
      <c r="H67" s="151"/>
      <c r="I67" s="14"/>
      <c r="J67" s="15"/>
      <c r="K67" s="98"/>
      <c r="L67" s="98"/>
      <c r="M67" s="86"/>
      <c r="N67" s="101"/>
      <c r="O67" s="10"/>
      <c r="P67" s="11"/>
      <c r="Q67" s="11"/>
      <c r="T67" s="12"/>
      <c r="U67" s="12"/>
      <c r="V67" s="12">
        <f t="shared" si="5"/>
        <v>0</v>
      </c>
      <c r="W67" s="13"/>
      <c r="X67" s="13"/>
    </row>
    <row r="68" spans="2:24">
      <c r="B68" s="7"/>
      <c r="C68" s="7"/>
      <c r="D68" s="97"/>
      <c r="E68" s="8"/>
      <c r="F68" s="9"/>
      <c r="G68" s="9"/>
      <c r="H68" s="150"/>
      <c r="I68" s="7"/>
      <c r="J68" s="8"/>
      <c r="K68" s="97"/>
      <c r="L68" s="97"/>
      <c r="M68" s="85"/>
      <c r="N68" s="100"/>
      <c r="O68" s="10"/>
      <c r="P68" s="11"/>
      <c r="Q68" s="11"/>
      <c r="T68" s="12"/>
      <c r="U68" s="12"/>
      <c r="V68" s="12">
        <f t="shared" si="5"/>
        <v>0</v>
      </c>
      <c r="W68" s="13"/>
      <c r="X68" s="13"/>
    </row>
    <row r="69" spans="2:24">
      <c r="B69" s="14"/>
      <c r="C69" s="14"/>
      <c r="D69" s="98"/>
      <c r="E69" s="15"/>
      <c r="F69" s="16"/>
      <c r="G69" s="16"/>
      <c r="H69" s="151"/>
      <c r="I69" s="14"/>
      <c r="J69" s="15"/>
      <c r="K69" s="98"/>
      <c r="L69" s="98"/>
      <c r="M69" s="86"/>
      <c r="N69" s="101"/>
      <c r="O69" s="10"/>
      <c r="P69" s="11"/>
      <c r="Q69" s="11"/>
      <c r="T69" s="12"/>
      <c r="U69" s="12"/>
      <c r="V69" s="12">
        <f t="shared" si="5"/>
        <v>0</v>
      </c>
      <c r="W69" s="13"/>
      <c r="X69" s="13"/>
    </row>
    <row r="70" spans="2:24">
      <c r="B70" s="7"/>
      <c r="C70" s="7"/>
      <c r="D70" s="97"/>
      <c r="E70" s="8"/>
      <c r="F70" s="9"/>
      <c r="G70" s="9"/>
      <c r="H70" s="150"/>
      <c r="I70" s="7"/>
      <c r="J70" s="8"/>
      <c r="K70" s="97"/>
      <c r="L70" s="97"/>
      <c r="M70" s="85"/>
      <c r="N70" s="100"/>
      <c r="O70" s="10"/>
      <c r="P70" s="11"/>
      <c r="Q70" s="11"/>
      <c r="T70" s="12"/>
      <c r="U70" s="12"/>
      <c r="V70" s="12">
        <f t="shared" si="5"/>
        <v>0</v>
      </c>
      <c r="W70" s="13"/>
      <c r="X70" s="13"/>
    </row>
    <row r="71" spans="2:24">
      <c r="B71" s="14"/>
      <c r="C71" s="14"/>
      <c r="D71" s="98"/>
      <c r="E71" s="15"/>
      <c r="F71" s="16"/>
      <c r="G71" s="16"/>
      <c r="H71" s="151"/>
      <c r="I71" s="14"/>
      <c r="J71" s="15"/>
      <c r="K71" s="98"/>
      <c r="L71" s="98"/>
      <c r="M71" s="86"/>
      <c r="N71" s="101"/>
      <c r="O71" s="10"/>
      <c r="P71" s="11"/>
      <c r="Q71" s="11"/>
      <c r="T71" s="12"/>
      <c r="U71" s="12"/>
      <c r="V71" s="12">
        <f t="shared" si="5"/>
        <v>0</v>
      </c>
      <c r="W71" s="13"/>
      <c r="X71" s="13"/>
    </row>
    <row r="72" spans="2:24">
      <c r="B72" s="7"/>
      <c r="C72" s="7"/>
      <c r="D72" s="97"/>
      <c r="E72" s="8"/>
      <c r="F72" s="9"/>
      <c r="G72" s="9"/>
      <c r="H72" s="150"/>
      <c r="I72" s="7"/>
      <c r="J72" s="8"/>
      <c r="K72" s="97"/>
      <c r="L72" s="97"/>
      <c r="M72" s="85"/>
      <c r="N72" s="100"/>
      <c r="O72" s="10"/>
      <c r="P72" s="11"/>
      <c r="Q72" s="11"/>
      <c r="T72" s="12"/>
      <c r="U72" s="12"/>
      <c r="V72" s="12">
        <f t="shared" si="5"/>
        <v>0</v>
      </c>
      <c r="W72" s="13"/>
      <c r="X72" s="13"/>
    </row>
    <row r="73" spans="2:24">
      <c r="B73" s="14"/>
      <c r="C73" s="14"/>
      <c r="D73" s="98"/>
      <c r="E73" s="15"/>
      <c r="F73" s="16"/>
      <c r="G73" s="16"/>
      <c r="H73" s="151"/>
      <c r="I73" s="14"/>
      <c r="J73" s="15"/>
      <c r="K73" s="98"/>
      <c r="L73" s="98"/>
      <c r="M73" s="86"/>
      <c r="N73" s="101"/>
      <c r="O73" s="10"/>
      <c r="P73" s="11"/>
      <c r="Q73" s="11"/>
      <c r="T73" s="12"/>
      <c r="U73" s="12"/>
      <c r="V73" s="12">
        <f t="shared" si="5"/>
        <v>0</v>
      </c>
      <c r="W73" s="13"/>
      <c r="X73" s="13"/>
    </row>
    <row r="74" spans="2:24">
      <c r="B74" s="7"/>
      <c r="C74" s="7"/>
      <c r="D74" s="97"/>
      <c r="E74" s="8"/>
      <c r="F74" s="9"/>
      <c r="G74" s="9"/>
      <c r="H74" s="150"/>
      <c r="I74" s="7"/>
      <c r="J74" s="8"/>
      <c r="K74" s="97"/>
      <c r="L74" s="97"/>
      <c r="M74" s="85"/>
      <c r="N74" s="100"/>
      <c r="O74" s="10"/>
      <c r="P74" s="11"/>
      <c r="Q74" s="11"/>
      <c r="R74" s="12">
        <f>E74</f>
        <v>0</v>
      </c>
      <c r="T74" s="12"/>
      <c r="U74" s="12"/>
      <c r="V74" s="12">
        <f t="shared" si="5"/>
        <v>0</v>
      </c>
      <c r="W74" s="13"/>
      <c r="X74" s="13"/>
    </row>
    <row r="75" spans="2:24" ht="15.6" customHeight="1">
      <c r="F75" s="17">
        <f>SUM(F2:F74)</f>
        <v>6324067.6538315909</v>
      </c>
      <c r="G75" s="17"/>
      <c r="H75" s="17"/>
      <c r="J75" s="18"/>
      <c r="K75" s="18"/>
      <c r="L75" s="1"/>
      <c r="M75" s="17">
        <f>SUM(M2:M74)</f>
        <v>5706676</v>
      </c>
      <c r="N75" s="1"/>
      <c r="O75" s="17">
        <f>-SUM(O2:O74)</f>
        <v>83247</v>
      </c>
      <c r="P75" s="19">
        <f t="shared" ref="P75:V75" si="11">SUM(P2:P74)</f>
        <v>7727</v>
      </c>
      <c r="Q75" s="19">
        <f t="shared" si="11"/>
        <v>1518166.0492235278</v>
      </c>
      <c r="R75" s="17">
        <f t="shared" si="11"/>
        <v>1227706.3333333335</v>
      </c>
      <c r="S75" s="17">
        <f t="shared" si="11"/>
        <v>370750</v>
      </c>
      <c r="T75" s="17">
        <f t="shared" si="11"/>
        <v>581513.66478621459</v>
      </c>
      <c r="U75" s="17">
        <f t="shared" si="11"/>
        <v>0</v>
      </c>
      <c r="V75" s="17">
        <f t="shared" si="11"/>
        <v>1422651.4342387905</v>
      </c>
    </row>
    <row r="76" spans="2:24" ht="15.6" customHeight="1">
      <c r="F76" s="17"/>
      <c r="G76" s="17"/>
      <c r="H76" s="17"/>
      <c r="I76" s="17"/>
      <c r="J76" s="17"/>
      <c r="R76" s="11"/>
      <c r="S76" s="11"/>
      <c r="T76" s="12"/>
      <c r="U76" s="12"/>
      <c r="V76" s="12"/>
      <c r="W76" s="12"/>
      <c r="X76" s="12"/>
    </row>
    <row r="77" spans="2:24" ht="15.6" customHeight="1">
      <c r="F77" s="20" t="s">
        <v>59</v>
      </c>
      <c r="G77" s="20">
        <f>SUM(F75:G75)</f>
        <v>6324067.6538315909</v>
      </c>
      <c r="H77" s="21"/>
      <c r="I77" s="22"/>
      <c r="J77" s="23"/>
      <c r="K77" s="24"/>
      <c r="R77" s="11"/>
      <c r="S77" s="11"/>
      <c r="X77" s="12"/>
    </row>
    <row r="78" spans="2:24" ht="15.6" customHeight="1">
      <c r="H78" s="24"/>
      <c r="I78" s="24"/>
      <c r="J78" s="24"/>
      <c r="R78" s="11"/>
      <c r="S78" s="11"/>
      <c r="X78" s="12"/>
    </row>
    <row r="79" spans="2:24" ht="15.6" customHeight="1">
      <c r="H79" s="24"/>
      <c r="I79" s="12"/>
      <c r="J79" s="12"/>
      <c r="R79" s="11"/>
      <c r="S79" s="11"/>
      <c r="X79" s="12"/>
    </row>
    <row r="80" spans="2:24" ht="15.6" customHeight="1">
      <c r="E80" s="25" t="s">
        <v>60</v>
      </c>
      <c r="F80" s="25" t="s">
        <v>3</v>
      </c>
      <c r="G80" s="25" t="s">
        <v>4</v>
      </c>
      <c r="H80" s="25" t="s">
        <v>61</v>
      </c>
      <c r="I80" s="25" t="s">
        <v>17</v>
      </c>
      <c r="J80" s="12"/>
      <c r="R80" s="11"/>
      <c r="S80" s="11"/>
      <c r="X80" s="12"/>
    </row>
    <row r="81" spans="5:24" ht="15.6" customHeight="1">
      <c r="E81" s="26" t="s">
        <v>62</v>
      </c>
      <c r="F81" s="27">
        <f>+SUMIF($D$1:$D$266,"&lt;=31/01/2014",F$1:F$266)</f>
        <v>0</v>
      </c>
      <c r="G81" s="27" t="e">
        <f>+SUMIF($D$1:$D$266,"&lt;=31/01/2014",#REF!)</f>
        <v>#REF!</v>
      </c>
      <c r="H81" s="27">
        <f ca="1">+SUMIF($D$1:$D$266,"&lt;=31/01/2014",H$1:H$263)</f>
        <v>0</v>
      </c>
      <c r="I81" s="27">
        <f ca="1">+SUMIF($D$1:$D$266,"&lt;=31/01/2014",X$1:X$263)</f>
        <v>0</v>
      </c>
      <c r="J81" s="24"/>
      <c r="R81" s="11"/>
      <c r="S81" s="11"/>
      <c r="X81" s="12"/>
    </row>
    <row r="82" spans="5:24" ht="15.6" customHeight="1">
      <c r="E82" s="26" t="s">
        <v>63</v>
      </c>
      <c r="F82" s="27">
        <f>+SUMIF($D$1:$D$266,"&lt;=29/02/2012",F$1:F$266)-F81</f>
        <v>0</v>
      </c>
      <c r="G82" s="27" t="e">
        <f>+SUMIF($D$1:$D$266,"&lt;=29/02/2012",#REF!)-G81</f>
        <v>#REF!</v>
      </c>
      <c r="H82" s="27">
        <f ca="1">+SUMIF($D$1:$D$266,"&lt;=28/02/2014",H$1:H$263)-H81</f>
        <v>0</v>
      </c>
      <c r="I82" s="27">
        <f ca="1">+SUMIF($D$1:$D$266,"&lt;=28/02/2014",X$1:X$263)-I81</f>
        <v>0</v>
      </c>
      <c r="J82" s="24"/>
      <c r="R82" s="11"/>
      <c r="S82" s="11"/>
      <c r="X82" s="12"/>
    </row>
    <row r="83" spans="5:24" ht="15.6" customHeight="1">
      <c r="E83" s="26" t="s">
        <v>64</v>
      </c>
      <c r="F83" s="27">
        <f>+SUMIF($D$1:$D$266,"&lt;=31/03/2012",F$1:F$266)-SUM(F81:F82)</f>
        <v>0</v>
      </c>
      <c r="G83" s="27" t="e">
        <f>+SUMIF($D$1:$D$266,"&lt;=31/03/2012",#REF!)-SUM(G81:G82)</f>
        <v>#REF!</v>
      </c>
      <c r="H83" s="27">
        <f ca="1">+SUMIF($D$1:$D$266,"&lt;=31/03/2014",H$1:H$263)-SUM(H81:H82)</f>
        <v>0</v>
      </c>
      <c r="I83" s="27">
        <f ca="1">+SUMIF($D$1:$D$266,"&lt;=31/03/2014",X$1:X$263)-SUM(I81:I82)</f>
        <v>0</v>
      </c>
      <c r="J83" s="24"/>
      <c r="K83" s="28"/>
      <c r="R83" s="11"/>
      <c r="S83" s="11"/>
      <c r="X83" s="12"/>
    </row>
    <row r="84" spans="5:24" ht="15.6" customHeight="1">
      <c r="E84" s="26" t="s">
        <v>65</v>
      </c>
      <c r="F84" s="27">
        <f>+SUMIF($D$1:$D$266,"&lt;=30/04/2012",F$1:F$266)-SUM(F81:F83)</f>
        <v>0</v>
      </c>
      <c r="G84" s="27" t="e">
        <f>+SUMIF($D$1:$D$266,"&lt;=30/04/2012",G$1:G$266)-SUM(G81:G83)</f>
        <v>#REF!</v>
      </c>
      <c r="H84" s="27">
        <f ca="1">+SUMIF($D$1:$D$266,"&lt;=30/04/2014",H$1:H$263)-SUM(H81:H83)</f>
        <v>0</v>
      </c>
      <c r="I84" s="27">
        <f ca="1">+SUMIF($D$1:$D$266,"&lt;=30/04/2014",X$1:X$263)-SUM(I81:I83)</f>
        <v>0</v>
      </c>
      <c r="J84" s="24"/>
      <c r="K84" s="28"/>
      <c r="R84" s="11"/>
      <c r="S84" s="11"/>
      <c r="X84" s="12"/>
    </row>
    <row r="85" spans="5:24" ht="15.6" customHeight="1">
      <c r="E85" s="26" t="s">
        <v>66</v>
      </c>
      <c r="F85" s="27">
        <f>+SUMIF($D$1:$D$266,"&lt;=31/05/2012",F$1:F$266)-SUM(F81:F84)</f>
        <v>0</v>
      </c>
      <c r="G85" s="27" t="e">
        <f>+SUMIF($D$1:$D$266,"&lt;=31/05/2012",#REF!)-SUM(G81:G84)</f>
        <v>#REF!</v>
      </c>
      <c r="H85" s="27">
        <f ca="1">+SUMIF($D$1:$D$266,"&lt;=31/05/2014",H$1:H$263)-SUM(H81:H84)</f>
        <v>0</v>
      </c>
      <c r="I85" s="27">
        <f ca="1">+SUMIF($D$1:$D$266,"&lt;=31/05/2014",X$1:X$263)-SUM(I81:I84)</f>
        <v>0</v>
      </c>
      <c r="J85" s="24"/>
      <c r="K85" s="28"/>
      <c r="X85" s="29"/>
    </row>
    <row r="86" spans="5:24" ht="15.6" customHeight="1">
      <c r="E86" s="26" t="s">
        <v>67</v>
      </c>
      <c r="F86" s="27">
        <f>+SUMIF($D$1:$D$266,"&lt;=30/06/2012",F$1:F$266)-SUM(F81:F85)</f>
        <v>0</v>
      </c>
      <c r="G86" s="27" t="e">
        <f>+SUMIF($D$1:$D$266,"&lt;=30/06/2012",G$1:G$266)-SUM(G81:G85)</f>
        <v>#REF!</v>
      </c>
      <c r="H86" s="27">
        <f ca="1">+SUMIF($D$1:$D$266,"&lt;=30/06/2014",H$1:H$263)-SUM(H81:H85)</f>
        <v>0</v>
      </c>
      <c r="I86" s="27">
        <f ca="1">+SUMIF($D$1:$D$266,"&lt;=30/06/2014",X$1:X$263)-SUM(I81:I85)</f>
        <v>0</v>
      </c>
      <c r="J86" s="24"/>
      <c r="K86" s="28"/>
      <c r="X86" s="29"/>
    </row>
    <row r="87" spans="5:24" ht="15.6" customHeight="1">
      <c r="E87" s="26" t="s">
        <v>68</v>
      </c>
      <c r="F87" s="27">
        <f>+SUMIF($D$1:$D$266,"&lt;=31/07/2012",F$1:F$266)-SUM(F81:F86)</f>
        <v>0</v>
      </c>
      <c r="G87" s="27" t="e">
        <f>+SUMIF($D$1:$D$266,"&lt;=31/07/2012",#REF!)-SUM(G81:G86)</f>
        <v>#REF!</v>
      </c>
      <c r="H87" s="27">
        <f ca="1">+SUMIF($D$1:$D$266,"&lt;=31/07/2014",H$1:H$263)-SUM(H81:H86)</f>
        <v>0</v>
      </c>
      <c r="I87" s="27">
        <f ca="1">+SUMIF($D$1:$D$266,"&lt;=31/07/2014",X$1:X$263)-SUM(I81:I86)</f>
        <v>0</v>
      </c>
      <c r="J87" s="24"/>
      <c r="K87" s="28"/>
      <c r="X87" s="29"/>
    </row>
    <row r="88" spans="5:24">
      <c r="E88" s="26" t="s">
        <v>69</v>
      </c>
      <c r="F88" s="27">
        <f>+SUMIF($D$1:$D$266,"&lt;=31/08/2012",F$1:F$266)-SUM(F81:F87)</f>
        <v>0</v>
      </c>
      <c r="G88" s="27" t="e">
        <f>+SUMIF($D$1:$D$266,"&lt;=31/08/2012",#REF!)-SUM(G81:G87)</f>
        <v>#REF!</v>
      </c>
      <c r="H88" s="27">
        <f ca="1">+SUMIF($D$1:$D$266,"&lt;=31/08/2014",H$1:H$263)-SUM(H81:H87)</f>
        <v>0</v>
      </c>
      <c r="I88" s="27">
        <f ca="1">+SUMIF($D$1:$D$266,"&lt;=31/08/2014",X$1:X$263)-SUM(I81:I87)</f>
        <v>0</v>
      </c>
      <c r="J88" s="24"/>
      <c r="K88" s="28"/>
      <c r="X88" s="29"/>
    </row>
    <row r="89" spans="5:24">
      <c r="E89" s="26" t="s">
        <v>70</v>
      </c>
      <c r="F89" s="27">
        <f>+SUMIF($D$1:$D$266,"&lt;=30/09/2012",F$1:F$266)-SUM(F81:F88)</f>
        <v>0</v>
      </c>
      <c r="G89" s="27" t="e">
        <f>+SUMIF($D$1:$D$266,"&lt;=30/09/2012",#REF!)-SUM(G81:G88)</f>
        <v>#REF!</v>
      </c>
      <c r="H89" s="27">
        <f ca="1">+SUMIF($D$1:$D$266,"&lt;=30/09/2014",H$1:H$263)-SUM(H81:H88)</f>
        <v>0</v>
      </c>
      <c r="I89" s="27">
        <f ca="1">+SUMIF($D$1:$D$266,"&lt;=30/09/2014",X$1:X$263)-SUM(I81:I88)</f>
        <v>0</v>
      </c>
      <c r="J89" s="24"/>
      <c r="K89" s="28"/>
      <c r="U89" s="12"/>
      <c r="V89" s="12"/>
      <c r="W89" s="12"/>
      <c r="X89" s="29"/>
    </row>
    <row r="90" spans="5:24">
      <c r="E90" s="26" t="s">
        <v>71</v>
      </c>
      <c r="F90" s="27">
        <f>+SUMIF($D$1:$D$266,"&lt;=31/10/2012",F$1:F$266)-SUM(F81:F89)</f>
        <v>0</v>
      </c>
      <c r="G90" s="27" t="e">
        <f>+SUMIF($D$1:$D$266,"&lt;=31/10/2012",#REF!)-SUM(G81:G89)</f>
        <v>#REF!</v>
      </c>
      <c r="H90" s="27">
        <f ca="1">+SUMIF($D$1:$D$266,"&lt;=31/10/2014",H$1:H$263)-SUM(H81:H89)</f>
        <v>0</v>
      </c>
      <c r="I90" s="27">
        <f ca="1">+SUMIF($D$1:$D$266,"&lt;=31/10/2014",X$1:X$263)-SUM(I81:I89)</f>
        <v>0</v>
      </c>
      <c r="J90" s="24"/>
      <c r="K90" s="28"/>
      <c r="U90" s="12"/>
      <c r="V90" s="12"/>
      <c r="W90" s="12"/>
      <c r="X90" s="29"/>
    </row>
    <row r="91" spans="5:24">
      <c r="E91" s="26" t="s">
        <v>72</v>
      </c>
      <c r="F91" s="27">
        <f>+SUMIF($D$1:$D$266,"&lt;=30/11/2012",F$1:F$266)-SUM(F81:F90)</f>
        <v>0</v>
      </c>
      <c r="G91" s="27" t="e">
        <f>+SUMIF($D$1:$D$266,"&lt;=30/11/2012",#REF!)-SUM(G81:G90)</f>
        <v>#REF!</v>
      </c>
      <c r="H91" s="27">
        <f ca="1">+SUMIF($D$1:$D$266,"&lt;=30/11/2014",H$1:H$263)-SUM(H81:H90)</f>
        <v>0</v>
      </c>
      <c r="I91" s="27">
        <f ca="1">+SUMIF($D$1:$D$266,"&lt;=30/11/2014",X$1:X$263)-SUM(I81:I90)</f>
        <v>0</v>
      </c>
      <c r="J91" s="24"/>
      <c r="K91" s="28"/>
      <c r="X91" s="12"/>
    </row>
    <row r="92" spans="5:24">
      <c r="E92" s="26" t="s">
        <v>73</v>
      </c>
      <c r="F92" s="27">
        <f>+SUMIF($D$1:$D$266,"&lt;=31/12/2012",F$1:F$266)-SUM(F81:F91)</f>
        <v>0</v>
      </c>
      <c r="G92" s="27" t="e">
        <f>+SUMIF($D$1:$D$266,"&lt;=31/12/2012",#REF!)-SUM(G81:G91)</f>
        <v>#REF!</v>
      </c>
      <c r="H92" s="27">
        <f ca="1">+SUMIF($D$1:$D$266,"&lt;=31/12/2014",H$1:H$263)-SUM(H81:H91)</f>
        <v>0</v>
      </c>
      <c r="I92" s="27">
        <f ca="1">+SUMIF($D$1:$D$266,"&lt;=31/12/2014",X$1:X$263)-SUM(I81:I91)</f>
        <v>0</v>
      </c>
      <c r="J92" s="24"/>
      <c r="K92" s="28"/>
    </row>
    <row r="93" spans="5:24">
      <c r="E93" s="30"/>
      <c r="F93" s="31"/>
      <c r="G93" s="31"/>
      <c r="H93" s="31"/>
      <c r="I93" s="31"/>
      <c r="J93" s="12"/>
      <c r="K93" s="28"/>
      <c r="X93" s="13"/>
    </row>
    <row r="94" spans="5:24">
      <c r="E94" s="30"/>
      <c r="F94" s="31"/>
      <c r="G94" s="31"/>
      <c r="H94" s="32">
        <f ca="1">+SUM(H81:H93)</f>
        <v>0</v>
      </c>
      <c r="I94" s="32">
        <f ca="1">+SUM(I81:I93)</f>
        <v>0</v>
      </c>
      <c r="J94" s="12"/>
      <c r="K94" s="33"/>
    </row>
    <row r="96" spans="5:24">
      <c r="H96" s="24"/>
      <c r="I96" s="24"/>
      <c r="J96" s="24"/>
      <c r="K96" s="33"/>
    </row>
    <row r="98" spans="5:10">
      <c r="E98" s="34" t="s">
        <v>193</v>
      </c>
      <c r="F98" s="35"/>
      <c r="G98" s="36"/>
      <c r="H98" s="37"/>
      <c r="I98" s="24"/>
      <c r="J98" s="24"/>
    </row>
    <row r="99" spans="5:10">
      <c r="E99" s="41" t="s">
        <v>101</v>
      </c>
      <c r="F99" s="74" t="s">
        <v>102</v>
      </c>
      <c r="G99" s="28"/>
      <c r="H99" s="169">
        <v>87500</v>
      </c>
      <c r="I99" s="24"/>
      <c r="J99" s="24"/>
    </row>
    <row r="100" spans="5:10">
      <c r="E100" s="41" t="s">
        <v>108</v>
      </c>
      <c r="F100" s="74" t="s">
        <v>103</v>
      </c>
      <c r="G100" s="28"/>
      <c r="H100" s="169">
        <v>40000</v>
      </c>
      <c r="I100" s="24"/>
      <c r="J100" s="24"/>
    </row>
    <row r="101" spans="5:10">
      <c r="E101" s="41" t="s">
        <v>104</v>
      </c>
      <c r="F101" s="74" t="s">
        <v>105</v>
      </c>
      <c r="G101" s="28"/>
      <c r="H101" s="169">
        <v>8667</v>
      </c>
      <c r="I101" s="24"/>
      <c r="J101" s="24"/>
    </row>
    <row r="102" spans="5:10">
      <c r="E102" s="41" t="s">
        <v>106</v>
      </c>
      <c r="F102" s="74" t="s">
        <v>107</v>
      </c>
      <c r="G102" s="28"/>
      <c r="H102" s="169">
        <v>30000</v>
      </c>
      <c r="I102" s="24"/>
      <c r="J102" s="24"/>
    </row>
    <row r="103" spans="5:10">
      <c r="E103" s="41" t="s">
        <v>192</v>
      </c>
      <c r="F103" s="74" t="s">
        <v>155</v>
      </c>
      <c r="G103" s="28"/>
      <c r="H103" s="169">
        <v>92000</v>
      </c>
      <c r="I103" s="24"/>
      <c r="J103" s="24"/>
    </row>
    <row r="104" spans="5:10">
      <c r="E104" s="41" t="s">
        <v>20</v>
      </c>
      <c r="F104" s="28" t="s">
        <v>21</v>
      </c>
      <c r="G104" s="28"/>
      <c r="H104" s="170">
        <v>0</v>
      </c>
      <c r="I104" s="171" t="s">
        <v>190</v>
      </c>
      <c r="J104" s="24"/>
    </row>
    <row r="105" spans="5:10">
      <c r="E105" s="41" t="s">
        <v>24</v>
      </c>
      <c r="F105" s="28" t="s">
        <v>25</v>
      </c>
      <c r="G105" s="28"/>
      <c r="H105" s="170">
        <v>12166.666666666686</v>
      </c>
      <c r="I105" s="38"/>
      <c r="J105" s="24"/>
    </row>
    <row r="106" spans="5:10">
      <c r="E106" s="41" t="s">
        <v>29</v>
      </c>
      <c r="F106" s="28" t="s">
        <v>30</v>
      </c>
      <c r="G106" s="28"/>
      <c r="H106" s="170">
        <v>45507</v>
      </c>
      <c r="I106" s="38"/>
      <c r="J106" s="24"/>
    </row>
    <row r="107" spans="5:10">
      <c r="E107" s="41" t="s">
        <v>31</v>
      </c>
      <c r="F107" s="28" t="s">
        <v>32</v>
      </c>
      <c r="G107" s="28"/>
      <c r="H107" s="170">
        <v>12428.57142857144</v>
      </c>
      <c r="I107" s="38"/>
      <c r="J107" s="24"/>
    </row>
    <row r="108" spans="5:10">
      <c r="E108" s="41" t="s">
        <v>33</v>
      </c>
      <c r="F108" s="28" t="s">
        <v>34</v>
      </c>
      <c r="G108" s="28"/>
      <c r="H108" s="170">
        <v>15833</v>
      </c>
      <c r="I108" s="38"/>
      <c r="J108" s="24"/>
    </row>
    <row r="109" spans="5:10">
      <c r="E109" s="41" t="s">
        <v>35</v>
      </c>
      <c r="F109" s="28" t="s">
        <v>34</v>
      </c>
      <c r="G109" s="28"/>
      <c r="H109" s="170">
        <v>25000</v>
      </c>
      <c r="I109" s="38"/>
      <c r="J109" s="24"/>
    </row>
    <row r="110" spans="5:10">
      <c r="E110" s="41" t="s">
        <v>36</v>
      </c>
      <c r="F110" s="28" t="s">
        <v>37</v>
      </c>
      <c r="G110" s="28"/>
      <c r="H110" s="170">
        <v>20766.666666666668</v>
      </c>
      <c r="I110" s="38"/>
      <c r="J110" s="24"/>
    </row>
    <row r="111" spans="5:10">
      <c r="E111" s="41" t="s">
        <v>38</v>
      </c>
      <c r="F111" s="28" t="s">
        <v>27</v>
      </c>
      <c r="G111" s="28"/>
      <c r="H111" s="170">
        <v>22458</v>
      </c>
      <c r="I111" s="38"/>
      <c r="J111" s="24"/>
    </row>
    <row r="112" spans="5:10">
      <c r="E112" s="41" t="s">
        <v>39</v>
      </c>
      <c r="F112" s="28" t="s">
        <v>28</v>
      </c>
      <c r="G112" s="28"/>
      <c r="H112" s="170">
        <v>59854.803830707446</v>
      </c>
      <c r="I112" s="38"/>
      <c r="J112" s="24"/>
    </row>
    <row r="113" spans="5:10">
      <c r="E113" s="41" t="s">
        <v>40</v>
      </c>
      <c r="F113" s="28" t="s">
        <v>41</v>
      </c>
      <c r="G113" s="28"/>
      <c r="H113" s="170">
        <v>62500</v>
      </c>
      <c r="I113" s="38"/>
      <c r="J113" s="24"/>
    </row>
    <row r="114" spans="5:10">
      <c r="E114" s="41" t="s">
        <v>42</v>
      </c>
      <c r="F114" s="28" t="s">
        <v>43</v>
      </c>
      <c r="G114" s="28"/>
      <c r="H114" s="170">
        <v>119900</v>
      </c>
      <c r="I114" s="38"/>
      <c r="J114" s="24"/>
    </row>
    <row r="115" spans="5:10">
      <c r="E115" s="41" t="s">
        <v>44</v>
      </c>
      <c r="F115" s="28" t="s">
        <v>45</v>
      </c>
      <c r="G115" s="28"/>
      <c r="H115" s="170">
        <v>64000</v>
      </c>
      <c r="I115" s="38"/>
      <c r="J115" s="24"/>
    </row>
    <row r="116" spans="5:10">
      <c r="E116" s="41" t="s">
        <v>47</v>
      </c>
      <c r="F116" s="28" t="s">
        <v>46</v>
      </c>
      <c r="G116" s="28"/>
      <c r="H116" s="170">
        <v>16875</v>
      </c>
      <c r="I116" s="39"/>
      <c r="J116" s="24"/>
    </row>
    <row r="117" spans="5:10">
      <c r="E117" s="41" t="s">
        <v>48</v>
      </c>
      <c r="F117" s="28" t="s">
        <v>49</v>
      </c>
      <c r="G117" s="28"/>
      <c r="H117" s="170">
        <v>70000</v>
      </c>
      <c r="I117" s="39"/>
    </row>
    <row r="118" spans="5:10">
      <c r="E118" s="41" t="s">
        <v>50</v>
      </c>
      <c r="F118" s="28" t="s">
        <v>25</v>
      </c>
      <c r="G118" s="28"/>
      <c r="H118" s="170">
        <v>8500</v>
      </c>
      <c r="I118" s="38"/>
      <c r="J118" s="24"/>
    </row>
    <row r="119" spans="5:10">
      <c r="E119" s="41" t="s">
        <v>51</v>
      </c>
      <c r="F119" s="28" t="s">
        <v>52</v>
      </c>
      <c r="G119" s="28"/>
      <c r="H119" s="170">
        <v>0</v>
      </c>
      <c r="I119" s="38"/>
      <c r="J119" s="24"/>
    </row>
    <row r="120" spans="5:10">
      <c r="E120" s="41" t="s">
        <v>191</v>
      </c>
      <c r="F120" s="28" t="s">
        <v>152</v>
      </c>
      <c r="G120" s="28"/>
      <c r="H120" s="170">
        <v>180000</v>
      </c>
      <c r="I120" s="38"/>
      <c r="J120" s="24"/>
    </row>
    <row r="121" spans="5:10">
      <c r="E121" s="41" t="s">
        <v>53</v>
      </c>
      <c r="F121" s="28" t="s">
        <v>54</v>
      </c>
      <c r="G121" s="28"/>
      <c r="H121" s="170">
        <v>281170</v>
      </c>
      <c r="I121" s="38"/>
      <c r="J121" s="24"/>
    </row>
    <row r="122" spans="5:10">
      <c r="E122" s="41" t="s">
        <v>55</v>
      </c>
      <c r="F122" s="28" t="s">
        <v>26</v>
      </c>
      <c r="G122" s="28"/>
      <c r="H122" s="170">
        <v>140000</v>
      </c>
      <c r="I122" s="38"/>
      <c r="J122" s="24"/>
    </row>
    <row r="123" spans="5:10">
      <c r="E123" s="41" t="s">
        <v>56</v>
      </c>
      <c r="F123" s="28" t="s">
        <v>57</v>
      </c>
      <c r="G123" s="28"/>
      <c r="H123" s="170">
        <v>91000</v>
      </c>
      <c r="I123" s="39"/>
    </row>
    <row r="124" spans="5:10">
      <c r="E124" s="41" t="s">
        <v>99</v>
      </c>
      <c r="F124" s="28" t="s">
        <v>100</v>
      </c>
      <c r="G124" s="28"/>
      <c r="H124" s="170">
        <v>0</v>
      </c>
      <c r="I124" s="39"/>
    </row>
    <row r="125" spans="5:10">
      <c r="E125" s="41" t="s">
        <v>58</v>
      </c>
      <c r="F125" s="28" t="s">
        <v>28</v>
      </c>
      <c r="G125" s="28"/>
      <c r="H125" s="170">
        <v>94572.37</v>
      </c>
    </row>
    <row r="126" spans="5:10">
      <c r="E126" s="41"/>
      <c r="F126" s="28"/>
      <c r="G126" s="28"/>
      <c r="H126" s="40"/>
    </row>
    <row r="127" spans="5:10">
      <c r="E127" s="41"/>
      <c r="F127" s="28"/>
      <c r="G127" s="28"/>
      <c r="H127" s="40"/>
    </row>
    <row r="128" spans="5:10">
      <c r="E128" s="42"/>
      <c r="F128" s="43"/>
      <c r="G128" s="43"/>
      <c r="H128" s="44"/>
      <c r="I128" s="28">
        <f>+SUM(H98:H128)</f>
        <v>1600699.0785926124</v>
      </c>
      <c r="J128" s="45">
        <f>+I128/H129</f>
        <v>1</v>
      </c>
    </row>
    <row r="129" spans="5:10">
      <c r="G129" s="1"/>
      <c r="H129" s="13">
        <f>+SUM(H99:H128)</f>
        <v>1600699.0785926124</v>
      </c>
      <c r="J129" s="13"/>
    </row>
    <row r="130" spans="5:10">
      <c r="H130" s="79">
        <f>1600699-H129</f>
        <v>-7.8592612408101559E-2</v>
      </c>
    </row>
    <row r="131" spans="5:10" ht="17.25">
      <c r="G131" s="46" t="s">
        <v>74</v>
      </c>
      <c r="I131" s="47">
        <f ca="1">+I128+I94</f>
        <v>1600699.0785926124</v>
      </c>
    </row>
    <row r="133" spans="5:10">
      <c r="F133" s="1"/>
    </row>
    <row r="134" spans="5:10">
      <c r="E134" s="34" t="s">
        <v>194</v>
      </c>
      <c r="F134" s="35"/>
      <c r="G134" s="36"/>
      <c r="H134" s="37"/>
      <c r="I134" s="24"/>
      <c r="J134" s="24"/>
    </row>
    <row r="135" spans="5:10">
      <c r="E135" s="41" t="s">
        <v>98</v>
      </c>
      <c r="F135" s="74" t="s">
        <v>23</v>
      </c>
      <c r="G135" s="28"/>
      <c r="H135" s="40">
        <v>55000</v>
      </c>
    </row>
    <row r="136" spans="5:10">
      <c r="E136" s="41" t="s">
        <v>109</v>
      </c>
      <c r="F136" s="74" t="s">
        <v>110</v>
      </c>
      <c r="G136" s="28"/>
      <c r="H136" s="40">
        <v>77273</v>
      </c>
    </row>
    <row r="137" spans="5:10">
      <c r="E137" s="41" t="s">
        <v>115</v>
      </c>
      <c r="F137" s="74" t="s">
        <v>116</v>
      </c>
      <c r="G137" s="28"/>
      <c r="H137" s="40">
        <v>33850</v>
      </c>
    </row>
    <row r="138" spans="5:10">
      <c r="E138" s="41" t="s">
        <v>119</v>
      </c>
      <c r="F138" s="74" t="s">
        <v>118</v>
      </c>
      <c r="G138" s="28"/>
      <c r="H138" s="40">
        <v>53000</v>
      </c>
    </row>
    <row r="139" spans="5:10">
      <c r="E139" s="41" t="s">
        <v>120</v>
      </c>
      <c r="F139" s="74" t="s">
        <v>21</v>
      </c>
      <c r="G139" s="28"/>
      <c r="H139" s="40"/>
    </row>
    <row r="140" spans="5:10">
      <c r="E140" s="41" t="s">
        <v>122</v>
      </c>
      <c r="F140" s="74" t="s">
        <v>113</v>
      </c>
      <c r="G140" s="28"/>
      <c r="H140" s="40">
        <v>100000</v>
      </c>
    </row>
    <row r="141" spans="5:10">
      <c r="E141" s="41" t="s">
        <v>123</v>
      </c>
      <c r="F141" s="74" t="s">
        <v>124</v>
      </c>
      <c r="G141" s="28"/>
      <c r="H141" s="40">
        <v>40000</v>
      </c>
    </row>
    <row r="142" spans="5:10">
      <c r="E142" s="41" t="s">
        <v>125</v>
      </c>
      <c r="F142" s="74" t="s">
        <v>126</v>
      </c>
      <c r="G142" s="28"/>
      <c r="H142" s="40">
        <v>45000</v>
      </c>
    </row>
    <row r="143" spans="5:10">
      <c r="E143" s="41" t="s">
        <v>127</v>
      </c>
      <c r="F143" s="74" t="s">
        <v>126</v>
      </c>
      <c r="G143" s="28"/>
      <c r="H143" s="40">
        <v>33750</v>
      </c>
    </row>
    <row r="144" spans="5:10">
      <c r="E144" s="41" t="s">
        <v>128</v>
      </c>
      <c r="F144" s="74" t="s">
        <v>129</v>
      </c>
      <c r="G144" s="28"/>
      <c r="H144" s="40">
        <v>24000</v>
      </c>
    </row>
    <row r="145" spans="5:8">
      <c r="E145" s="41" t="s">
        <v>130</v>
      </c>
      <c r="F145" s="74" t="s">
        <v>131</v>
      </c>
      <c r="G145" s="28"/>
      <c r="H145" s="40">
        <v>223654.28354814253</v>
      </c>
    </row>
    <row r="146" spans="5:8">
      <c r="E146" s="41" t="s">
        <v>132</v>
      </c>
      <c r="F146" s="74" t="s">
        <v>133</v>
      </c>
      <c r="G146" s="28"/>
      <c r="H146" s="40">
        <v>97500</v>
      </c>
    </row>
    <row r="147" spans="5:8">
      <c r="E147" s="41" t="s">
        <v>134</v>
      </c>
      <c r="F147" s="74" t="s">
        <v>133</v>
      </c>
      <c r="G147" s="28"/>
      <c r="H147" s="40">
        <v>15000</v>
      </c>
    </row>
    <row r="148" spans="5:8">
      <c r="E148" s="41" t="s">
        <v>135</v>
      </c>
      <c r="F148" s="74" t="s">
        <v>25</v>
      </c>
      <c r="G148" s="28"/>
      <c r="H148" s="40">
        <v>37500</v>
      </c>
    </row>
    <row r="149" spans="5:8">
      <c r="E149" s="41" t="s">
        <v>136</v>
      </c>
      <c r="F149" s="74" t="s">
        <v>25</v>
      </c>
      <c r="G149" s="28"/>
      <c r="H149" s="40">
        <v>23333.333333333332</v>
      </c>
    </row>
    <row r="150" spans="5:8">
      <c r="E150" s="41" t="s">
        <v>150</v>
      </c>
      <c r="F150" s="74" t="s">
        <v>151</v>
      </c>
      <c r="G150" s="28"/>
      <c r="H150" s="40">
        <v>205000</v>
      </c>
    </row>
    <row r="151" spans="5:8">
      <c r="E151" s="41" t="s">
        <v>165</v>
      </c>
      <c r="F151" s="74" t="s">
        <v>166</v>
      </c>
      <c r="G151" s="28"/>
      <c r="H151" s="40">
        <v>25000</v>
      </c>
    </row>
    <row r="152" spans="5:8">
      <c r="E152" s="41" t="s">
        <v>167</v>
      </c>
      <c r="F152" s="74" t="s">
        <v>131</v>
      </c>
      <c r="G152" s="28"/>
      <c r="H152" s="40">
        <v>211393.76567538516</v>
      </c>
    </row>
    <row r="153" spans="5:8">
      <c r="E153" s="41" t="s">
        <v>168</v>
      </c>
      <c r="F153" s="74" t="s">
        <v>162</v>
      </c>
      <c r="G153" s="28"/>
      <c r="H153" s="40">
        <v>124833.33333333334</v>
      </c>
    </row>
    <row r="154" spans="5:8">
      <c r="E154" s="41" t="s">
        <v>169</v>
      </c>
      <c r="F154" s="74" t="s">
        <v>170</v>
      </c>
      <c r="G154" s="28"/>
      <c r="H154" s="40">
        <v>22166.666666666668</v>
      </c>
    </row>
    <row r="155" spans="5:8">
      <c r="E155" s="41" t="s">
        <v>171</v>
      </c>
      <c r="F155" s="74" t="s">
        <v>172</v>
      </c>
      <c r="G155" s="28"/>
      <c r="H155" s="40">
        <v>90670.051681929457</v>
      </c>
    </row>
    <row r="156" spans="5:8">
      <c r="E156" s="41" t="s">
        <v>180</v>
      </c>
      <c r="F156" s="74" t="s">
        <v>23</v>
      </c>
      <c r="G156" s="28"/>
      <c r="H156" s="40">
        <v>45833.333333333336</v>
      </c>
    </row>
    <row r="157" spans="5:8">
      <c r="E157" s="41" t="s">
        <v>181</v>
      </c>
      <c r="F157" s="74" t="s">
        <v>152</v>
      </c>
      <c r="G157" s="28"/>
      <c r="H157" s="40">
        <v>180000</v>
      </c>
    </row>
    <row r="158" spans="5:8">
      <c r="E158" s="41" t="s">
        <v>183</v>
      </c>
      <c r="F158" s="74" t="s">
        <v>124</v>
      </c>
      <c r="G158" s="28"/>
      <c r="H158" s="40">
        <v>40000</v>
      </c>
    </row>
    <row r="159" spans="5:8">
      <c r="E159" s="41" t="s">
        <v>186</v>
      </c>
      <c r="F159" s="74" t="s">
        <v>184</v>
      </c>
      <c r="G159" s="28"/>
      <c r="H159" s="40">
        <v>33750</v>
      </c>
    </row>
    <row r="160" spans="5:8">
      <c r="E160" s="41" t="s">
        <v>187</v>
      </c>
      <c r="F160" s="74" t="s">
        <v>129</v>
      </c>
      <c r="G160" s="28"/>
      <c r="H160" s="40">
        <v>24000</v>
      </c>
    </row>
    <row r="161" spans="5:8" ht="45">
      <c r="E161" s="41" t="s">
        <v>188</v>
      </c>
      <c r="F161" s="173" t="s">
        <v>189</v>
      </c>
      <c r="G161" s="28"/>
      <c r="H161" s="40">
        <v>86917</v>
      </c>
    </row>
    <row r="162" spans="5:8">
      <c r="E162" s="41" t="s">
        <v>195</v>
      </c>
      <c r="F162" s="74" t="s">
        <v>34</v>
      </c>
      <c r="G162" s="28"/>
      <c r="H162" s="40">
        <v>25000</v>
      </c>
    </row>
    <row r="163" spans="5:8">
      <c r="E163" s="42" t="s">
        <v>197</v>
      </c>
      <c r="F163" s="172" t="s">
        <v>172</v>
      </c>
      <c r="G163" s="43"/>
      <c r="H163" s="44">
        <v>772448</v>
      </c>
    </row>
    <row r="164" spans="5:8">
      <c r="H164" s="12">
        <f>SUM(H135:H163)</f>
        <v>2745872.7675721236</v>
      </c>
    </row>
    <row r="165" spans="5:8">
      <c r="E165" s="34" t="s">
        <v>199</v>
      </c>
      <c r="F165" s="35"/>
      <c r="G165" s="36"/>
      <c r="H165" s="37"/>
    </row>
    <row r="166" spans="5:8">
      <c r="E166" s="41"/>
      <c r="F166" s="74"/>
      <c r="G166" s="28"/>
      <c r="H166" s="75"/>
    </row>
    <row r="167" spans="5:8">
      <c r="E167" s="41"/>
      <c r="F167" s="74" t="s">
        <v>116</v>
      </c>
      <c r="G167" s="28"/>
      <c r="H167" s="40">
        <v>33850</v>
      </c>
    </row>
    <row r="168" spans="5:8">
      <c r="E168" s="41"/>
      <c r="F168" s="74" t="s">
        <v>124</v>
      </c>
      <c r="G168" s="28"/>
      <c r="H168" s="40">
        <v>80000</v>
      </c>
    </row>
    <row r="169" spans="5:8">
      <c r="E169" s="41"/>
      <c r="F169" s="74" t="s">
        <v>184</v>
      </c>
      <c r="G169" s="28"/>
      <c r="H169" s="40">
        <f>33750*2</f>
        <v>67500</v>
      </c>
    </row>
    <row r="170" spans="5:8">
      <c r="E170" s="41"/>
      <c r="F170" s="74" t="s">
        <v>129</v>
      </c>
      <c r="G170" s="28"/>
      <c r="H170" s="40">
        <f>24000*2</f>
        <v>48000</v>
      </c>
    </row>
    <row r="171" spans="5:8">
      <c r="E171" s="41"/>
      <c r="F171" s="74" t="s">
        <v>133</v>
      </c>
      <c r="G171" s="28"/>
      <c r="H171" s="40">
        <v>412500</v>
      </c>
    </row>
    <row r="172" spans="5:8">
      <c r="E172" s="41"/>
      <c r="F172" s="74" t="s">
        <v>172</v>
      </c>
      <c r="G172" s="28"/>
      <c r="H172" s="40">
        <v>0</v>
      </c>
    </row>
    <row r="173" spans="5:8">
      <c r="E173" s="41"/>
      <c r="F173" s="74" t="s">
        <v>154</v>
      </c>
      <c r="G173" s="28"/>
      <c r="H173" s="40">
        <v>16875</v>
      </c>
    </row>
    <row r="174" spans="5:8">
      <c r="E174" s="42"/>
      <c r="F174" s="174" t="s">
        <v>198</v>
      </c>
      <c r="G174" s="43"/>
      <c r="H174" s="44">
        <v>12500</v>
      </c>
    </row>
    <row r="175" spans="5:8">
      <c r="E175" s="24"/>
      <c r="F175" s="74"/>
      <c r="G175" s="28"/>
      <c r="H175" s="74">
        <f>SUM(H167:H174)</f>
        <v>671225</v>
      </c>
    </row>
    <row r="176" spans="5:8">
      <c r="E176" s="24"/>
      <c r="F176" s="74"/>
      <c r="G176" s="28"/>
      <c r="H176" s="24"/>
    </row>
    <row r="177" spans="5:8">
      <c r="E177" s="24"/>
      <c r="F177" s="74"/>
      <c r="G177" s="28"/>
      <c r="H177" s="24"/>
    </row>
    <row r="178" spans="5:8">
      <c r="E178" s="24"/>
      <c r="F178" s="74"/>
      <c r="G178" s="28"/>
      <c r="H178" s="24"/>
    </row>
    <row r="179" spans="5:8">
      <c r="E179" s="24"/>
      <c r="F179" s="74"/>
      <c r="G179" s="28"/>
      <c r="H179" s="24"/>
    </row>
    <row r="180" spans="5:8">
      <c r="E180" s="24"/>
      <c r="F180" s="28"/>
      <c r="G180" s="28"/>
      <c r="H180" s="24"/>
    </row>
  </sheetData>
  <autoFilter ref="A1:WWE75"/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showGridLines="0" workbookViewId="0">
      <selection activeCell="B4" sqref="B4"/>
    </sheetView>
  </sheetViews>
  <sheetFormatPr defaultRowHeight="15"/>
  <cols>
    <col min="1" max="1" width="19.85546875" bestFit="1" customWidth="1"/>
    <col min="2" max="2" width="17.42578125" bestFit="1" customWidth="1"/>
    <col min="3" max="3" width="12.42578125" style="167" customWidth="1"/>
    <col min="4" max="5" width="14.7109375" bestFit="1" customWidth="1"/>
    <col min="6" max="6" width="13.85546875" customWidth="1"/>
    <col min="7" max="7" width="11" customWidth="1"/>
    <col min="8" max="8" width="11.28515625" customWidth="1"/>
    <col min="9" max="10" width="15.28515625" bestFit="1" customWidth="1"/>
    <col min="11" max="11" width="14.5703125" bestFit="1" customWidth="1"/>
    <col min="12" max="12" width="12.42578125" bestFit="1" customWidth="1"/>
    <col min="13" max="14" width="12.42578125" customWidth="1"/>
  </cols>
  <sheetData>
    <row r="1" spans="1:14">
      <c r="B1" s="229" t="s">
        <v>142</v>
      </c>
      <c r="C1" s="230"/>
      <c r="D1" s="229" t="s">
        <v>146</v>
      </c>
      <c r="E1" s="230"/>
      <c r="F1" s="229" t="s">
        <v>147</v>
      </c>
      <c r="G1" s="230"/>
      <c r="H1" s="229" t="s">
        <v>148</v>
      </c>
      <c r="I1" s="230"/>
      <c r="J1" s="231" t="s">
        <v>76</v>
      </c>
      <c r="K1" s="232"/>
    </row>
    <row r="2" spans="1:14">
      <c r="B2" s="95" t="s">
        <v>143</v>
      </c>
      <c r="C2" s="95" t="s">
        <v>144</v>
      </c>
      <c r="D2" s="95" t="s">
        <v>143</v>
      </c>
      <c r="E2" s="96" t="s">
        <v>144</v>
      </c>
      <c r="F2" s="95" t="s">
        <v>143</v>
      </c>
      <c r="G2" s="96" t="s">
        <v>144</v>
      </c>
      <c r="H2" s="95" t="s">
        <v>143</v>
      </c>
      <c r="I2" s="96" t="s">
        <v>144</v>
      </c>
      <c r="J2" s="122" t="s">
        <v>143</v>
      </c>
      <c r="K2" s="123" t="s">
        <v>144</v>
      </c>
    </row>
    <row r="3" spans="1:14">
      <c r="A3" s="88" t="s">
        <v>111</v>
      </c>
      <c r="B3" s="90">
        <f>SUMIFS('Elenco Fatture'!$F$2:$F$74,'Elenco Fatture'!$I$2:$I$74,"Bettini",'Elenco Fatture'!$B$2:$B$74,"1",'Elenco Fatture'!D2:D74,"&lt;&gt;")</f>
        <v>178000</v>
      </c>
      <c r="C3" s="158">
        <f>SUMIFS('Elenco Fatture'!$M$2:$M$74,'Elenco Fatture'!$I$2:$I$74,"Bettini",'Elenco Fatture'!$N$2:$N$74, "1",'Elenco Fatture'!$L$2:$L$74,"&lt;&gt;")</f>
        <v>53000</v>
      </c>
      <c r="D3" s="90">
        <f>SUMIFS('Elenco Fatture'!$F$2:$F$74,'Elenco Fatture'!$I$2:$I$74,"Bettini",'Elenco Fatture'!$B$2:$B$74,"2",'Elenco Fatture'!D2:D74,"&lt;&gt;")</f>
        <v>381000</v>
      </c>
      <c r="E3" s="90">
        <f>SUMIFS('Elenco Fatture'!$M$2:$M$74,'Elenco Fatture'!$I$2:$I$74,"Bettini",'Elenco Fatture'!$N$2:$N$74, "2",'Elenco Fatture'!$L$2:$L$74,"&lt;&gt;")</f>
        <v>276750</v>
      </c>
      <c r="F3" s="90">
        <f>SUMIFS('Elenco Fatture'!$F$2:$F$74,'Elenco Fatture'!$I$2:$I$74,"Bettini",'Elenco Fatture'!$B$2:$B$74,"3",'Elenco Fatture'!D2:D74,"&lt;&gt;")</f>
        <v>0</v>
      </c>
      <c r="G3" s="90">
        <f>SUMIFS('Elenco Fatture'!$M$2:$M$74,'Elenco Fatture'!$I$2:$I$74,"Bettini",'Elenco Fatture'!$N$2:$N$74, "3",'Elenco Fatture'!$L$2:$L$74,"&lt;&gt;")</f>
        <v>0</v>
      </c>
      <c r="H3" s="90">
        <f>SUMIFS('Elenco Fatture'!$F$2:$F$74,'Elenco Fatture'!$I$2:$I$74,"Bettini",'Elenco Fatture'!$B$2:$B$74,"4",'Elenco Fatture'!D2:D74,"&lt;&gt;")</f>
        <v>0</v>
      </c>
      <c r="I3" s="90">
        <f>SUMIFS('Elenco Fatture'!$M$2:$M$74,'Elenco Fatture'!$I$2:$I$74,"Bettini",'Elenco Fatture'!$N$2:$N$74, "4",'Elenco Fatture'!$L$2:$L$74,"&lt;&gt;")</f>
        <v>0</v>
      </c>
      <c r="J3" s="124">
        <f>SUM(B3,D3,F3,H3)</f>
        <v>559000</v>
      </c>
      <c r="K3" s="124">
        <f>SUM(C3,E3,G3,I3)</f>
        <v>329750</v>
      </c>
    </row>
    <row r="4" spans="1:14">
      <c r="A4" s="89" t="s">
        <v>19</v>
      </c>
      <c r="B4" s="91">
        <f>SUMIFS('Elenco Fatture'!$F$2:$F$74,'Elenco Fatture'!$I$2:$I$74,"Luppi",'Elenco Fatture'!$B$2:$B$74, "1",'Elenco Fatture'!D2:D74,"&lt;&gt;")</f>
        <v>55000</v>
      </c>
      <c r="C4" s="159">
        <f>SUMIFS('Elenco Fatture'!$M$2:$M$74,'Elenco Fatture'!$I$2:$I$74,"Luppi",'Elenco Fatture'!$N$2:$N$74, "1",'Elenco Fatture'!$L$2:$L$74,"&lt;&gt;")</f>
        <v>55000</v>
      </c>
      <c r="D4" s="91">
        <f>SUMIFS('Elenco Fatture'!$F$2:$F$74,'Elenco Fatture'!$I$2:$I$74,"Luppi",'Elenco Fatture'!$B$2:$B$74, "2",'Elenco Fatture'!D2:D74,"&lt;&gt;")</f>
        <v>80000</v>
      </c>
      <c r="E4" s="91">
        <f>SUMIFS('Elenco Fatture'!$M$2:$M$74,'Elenco Fatture'!$I$2:$I$74,"Luppi",'Elenco Fatture'!$N$2:$N$74, "2",'Elenco Fatture'!$L$2:$L$74,"&lt;&gt;")</f>
        <v>21250</v>
      </c>
      <c r="F4" s="91">
        <f>SUMIFS('Elenco Fatture'!$F$2:$F$74,'Elenco Fatture'!$I$2:$I$74,"Luppi",'Elenco Fatture'!$B$2:$B$74, "3",'Elenco Fatture'!D2:D74,"&lt;&gt;")</f>
        <v>0</v>
      </c>
      <c r="G4" s="91">
        <f>SUMIFS('Elenco Fatture'!$M$2:$M$74,'Elenco Fatture'!$I$2:$I$74,"Luppi",'Elenco Fatture'!$N$2:$N$74, "3",'Elenco Fatture'!$L$2:$L$74,"&lt;&gt;")</f>
        <v>0</v>
      </c>
      <c r="H4" s="91">
        <f>SUMIFS('Elenco Fatture'!$F$2:$F$74,'Elenco Fatture'!$I$2:$I$74,"Luppi",'Elenco Fatture'!$B$2:$B$74, "4",'Elenco Fatture'!D2:D74,"&lt;&gt;")</f>
        <v>0</v>
      </c>
      <c r="I4" s="91">
        <f>SUMIFS('Elenco Fatture'!$M$2:$M$74,'Elenco Fatture'!$I$2:$I$74,"Luppi",'Elenco Fatture'!$N$2:$N$74, "4",'Elenco Fatture'!$L$2:$L$74,"&lt;&gt;")</f>
        <v>0</v>
      </c>
      <c r="J4" s="125">
        <f>SUM(B4,D4,F4,H4)</f>
        <v>135000</v>
      </c>
      <c r="K4" s="125">
        <f>SUM(C4,E4,G4,I4)</f>
        <v>76250</v>
      </c>
    </row>
    <row r="5" spans="1:14">
      <c r="A5" s="89" t="s">
        <v>117</v>
      </c>
      <c r="B5" s="91">
        <f>SUMIFS('Elenco Fatture'!$F$2:$F$74,'Elenco Fatture'!$I$2:$I$74,"Maglietta",'Elenco Fatture'!$B$2:$B$74, "1",'Elenco Fatture'!D2:D74,"&lt;&gt;")</f>
        <v>33850</v>
      </c>
      <c r="C5" s="159">
        <f>SUMIFS('Elenco Fatture'!$M$2:$M$74,'Elenco Fatture'!$I$2:$I$74,"Maglietta",'Elenco Fatture'!$N$2:$N$74, "1",'Elenco Fatture'!$L$2:$L$74,"&lt;&gt;")</f>
        <v>33850</v>
      </c>
      <c r="D5" s="91">
        <f>SUMIFS('Elenco Fatture'!$F$2:$F$74,'Elenco Fatture'!$I$2:$I$74,"Maglietta",'Elenco Fatture'!$B$2:$B$74, "2",'Elenco Fatture'!D2:D74,"&lt;&gt;")</f>
        <v>945810.06152940961</v>
      </c>
      <c r="E5" s="91">
        <f>SUMIFS('Elenco Fatture'!$M$2:$M$74,'Elenco Fatture'!$I$2:$I$74,"Maglietta",'Elenco Fatture'!$N$2:$N$74, "2",'Elenco Fatture'!$L$2:$L$74,"&lt;&gt;")</f>
        <v>681568</v>
      </c>
      <c r="F5" s="91">
        <f>SUMIFS('Elenco Fatture'!$F$2:$F$74,'Elenco Fatture'!$I$2:$I$74,"Maglietta",'Elenco Fatture'!$B$2:$B$74, "3",'Elenco Fatture'!D2:D74,"&lt;&gt;")</f>
        <v>0</v>
      </c>
      <c r="G5" s="91">
        <f>SUMIFS('Elenco Fatture'!$M$2:$M$74,'Elenco Fatture'!$I$2:$I$74,"Maglietta",'Elenco Fatture'!$N$2:$N$74, "3",'Elenco Fatture'!$L$2:$L$74,"&lt;&gt;")</f>
        <v>0</v>
      </c>
      <c r="H5" s="91">
        <f>SUMIFS('Elenco Fatture'!$F$2:$F$74,'Elenco Fatture'!$I$2:$I$74,"Maglietta",'Elenco Fatture'!$B$2:$B$74, "4",'Elenco Fatture'!D2:D74,"&lt;&gt;")</f>
        <v>0</v>
      </c>
      <c r="I5" s="91">
        <f>SUMIFS('Elenco Fatture'!$M$2:$M$74,'Elenco Fatture'!$I$2:$I$74,"Maglietta",'Elenco Fatture'!$N$2:$N$74, "4",'Elenco Fatture'!$L$2:$L$74,"&lt;&gt;")</f>
        <v>0</v>
      </c>
      <c r="J5" s="125">
        <f t="shared" ref="J5:J7" si="0">SUM(B5,D5,F5,H5)</f>
        <v>979660.06152940961</v>
      </c>
      <c r="K5" s="125">
        <f t="shared" ref="K5:K7" si="1">SUM(C5,E5,G5,I5)</f>
        <v>715418</v>
      </c>
    </row>
    <row r="6" spans="1:14">
      <c r="A6" s="89" t="s">
        <v>114</v>
      </c>
      <c r="B6" s="91">
        <f>SUMIFS('Elenco Fatture'!$F$2:$F$74,'Elenco Fatture'!$I$2:$I$74,"Shehata",'Elenco Fatture'!$B$2:$B$74, "1",'Elenco Fatture'!D2:D74,"&lt;&gt;")</f>
        <v>178750</v>
      </c>
      <c r="C6" s="159">
        <f>SUMIFS('Elenco Fatture'!$M$2:$M$74,'Elenco Fatture'!$I$2:$I$74,"Shehata",'Elenco Fatture'!$N$2:$N$74, "1",'Elenco Fatture'!$L$2:$L$74,"&lt;&gt;")</f>
        <v>178750</v>
      </c>
      <c r="D6" s="91">
        <f>SUMIFS('Elenco Fatture'!$F$2:$F$74,'Elenco Fatture'!$I$2:$I$74,"Shehata",'Elenco Fatture'!$B$2:$B$74, "2",'Elenco Fatture'!D2:D74,"&lt;&gt;")</f>
        <v>1853452.9858136661</v>
      </c>
      <c r="E6" s="91">
        <f>SUMIFS('Elenco Fatture'!$M$2:$M$74,'Elenco Fatture'!$I$2:$I$74,"Shehata",'Elenco Fatture'!$N$2:$N$74, "2",'Elenco Fatture'!$L$2:$L$74,"&lt;&gt;")</f>
        <v>630500</v>
      </c>
      <c r="F6" s="91">
        <f>SUMIFS('Elenco Fatture'!$F$2:$F$74,'Elenco Fatture'!$I$2:$I$74,"Shehata",'Elenco Fatture'!$B$2:$B$74, "3",'Elenco Fatture'!D2:D74,"&lt;&gt;")</f>
        <v>0</v>
      </c>
      <c r="G6" s="91">
        <f>SUMIFS('Elenco Fatture'!$M$2:$M$74,'Elenco Fatture'!$I$2:$I$74,"Shehata",'Elenco Fatture'!$N$2:$N$74, "3",'Elenco Fatture'!$L$2:$L$74,"&lt;&gt;")</f>
        <v>0</v>
      </c>
      <c r="H6" s="91">
        <f>SUMIFS('Elenco Fatture'!$F$2:$F$74,'Elenco Fatture'!$I$2:$I$74,"Shehata",'Elenco Fatture'!$B$2:$B$74, "4",'Elenco Fatture'!D2:D74,"&lt;&gt;")</f>
        <v>0</v>
      </c>
      <c r="I6" s="91">
        <f>SUMIFS('Elenco Fatture'!$M$2:$M$74,'Elenco Fatture'!$I$2:$I$74,"Shehata",'Elenco Fatture'!$N$2:$N$74, "4",'Elenco Fatture'!$L$2:$L$74,"&lt;&gt;")</f>
        <v>0</v>
      </c>
      <c r="J6" s="125">
        <f t="shared" si="0"/>
        <v>2032202.9858136661</v>
      </c>
      <c r="K6" s="125">
        <f t="shared" si="1"/>
        <v>809250</v>
      </c>
    </row>
    <row r="7" spans="1:14">
      <c r="A7" s="89" t="s">
        <v>137</v>
      </c>
      <c r="B7" s="91">
        <f>SUMIFS('Elenco Fatture'!$F$2:$F$74,'Elenco Fatture'!$I$2:$I$74,"Vinci",'Elenco Fatture'!$B$2:$B$74, "1",'Elenco Fatture'!D2:D74,"&lt;&gt;")</f>
        <v>0</v>
      </c>
      <c r="C7" s="159">
        <f>SUMIFS('Elenco Fatture'!$M$2:$M$74,'Elenco Fatture'!$I$2:$I$74,"Vinci",'Elenco Fatture'!$N$2:$N$74, "1")</f>
        <v>0</v>
      </c>
      <c r="D7" s="91">
        <f>SUMIFS('Elenco Fatture'!$F$2:$F$74,'Elenco Fatture'!$I$2:$I$74,"Vinci",'Elenco Fatture'!$B$2:$B$74, "2",'Elenco Fatture'!D2:D74,"&lt;&gt;")</f>
        <v>0</v>
      </c>
      <c r="E7" s="91">
        <f>SUMIFS('Elenco Fatture'!$M$2:$M$74,'Elenco Fatture'!$I$2:$I$74,"Vinci",'Elenco Fatture'!$N$2:$N$74, "2")</f>
        <v>0</v>
      </c>
      <c r="F7" s="91">
        <f>SUMIFS('Elenco Fatture'!$F$2:$F$74,'Elenco Fatture'!$I$2:$I$74,"Vinci",'Elenco Fatture'!$B$2:$B$74, "3",'Elenco Fatture'!D2:D74,"&lt;&gt;")</f>
        <v>0</v>
      </c>
      <c r="G7" s="91">
        <f>SUMIFS('Elenco Fatture'!$M$2:$M$74,'Elenco Fatture'!$I$2:$I$74,"Vinci",'Elenco Fatture'!$N$2:$N$74, "3")</f>
        <v>0</v>
      </c>
      <c r="H7" s="91">
        <f>SUMIFS('Elenco Fatture'!$F$2:$F$74,'Elenco Fatture'!$I$2:$I$74,"Vinci",'Elenco Fatture'!$B$2:$B$74, "4",'Elenco Fatture'!D2:D74,"&lt;&gt;")</f>
        <v>0</v>
      </c>
      <c r="I7" s="91">
        <f>SUMIFS('Elenco Fatture'!$M$2:$M$74,'Elenco Fatture'!$I$2:$I$74,"Vinci",'Elenco Fatture'!$N$2:$N$74, "4",'Elenco Fatture'!$L$2:$L$74,"&lt;&gt;")</f>
        <v>0</v>
      </c>
      <c r="J7" s="125">
        <f t="shared" si="0"/>
        <v>0</v>
      </c>
      <c r="K7" s="125">
        <f t="shared" si="1"/>
        <v>0</v>
      </c>
    </row>
    <row r="8" spans="1:14">
      <c r="A8" s="92" t="s">
        <v>145</v>
      </c>
      <c r="B8" s="93">
        <f>SUM(B3:B6)</f>
        <v>445600</v>
      </c>
      <c r="C8" s="160">
        <f>SUM(C3:C6)</f>
        <v>320600</v>
      </c>
      <c r="D8" s="93">
        <f>SUM(D3:D6)</f>
        <v>3260263.0473430757</v>
      </c>
      <c r="E8" s="94">
        <f>SUM(E3:E6)</f>
        <v>1610068</v>
      </c>
      <c r="F8" s="93">
        <f t="shared" ref="F8:I8" si="2">SUM(F3:F6)</f>
        <v>0</v>
      </c>
      <c r="G8" s="94">
        <f t="shared" si="2"/>
        <v>0</v>
      </c>
      <c r="H8" s="93">
        <f t="shared" si="2"/>
        <v>0</v>
      </c>
      <c r="I8" s="94">
        <f t="shared" si="2"/>
        <v>0</v>
      </c>
      <c r="J8" s="126">
        <f t="shared" ref="J8:K8" si="3">SUM(J3:J6)</f>
        <v>3705863.0473430757</v>
      </c>
      <c r="K8" s="127">
        <f t="shared" si="3"/>
        <v>1930668</v>
      </c>
    </row>
    <row r="10" spans="1:14" ht="30">
      <c r="A10" s="95" t="s">
        <v>173</v>
      </c>
      <c r="B10" s="95" t="s">
        <v>143</v>
      </c>
      <c r="C10" s="95" t="s">
        <v>144</v>
      </c>
      <c r="D10" s="142" t="s">
        <v>178</v>
      </c>
      <c r="E10" s="142" t="s">
        <v>176</v>
      </c>
      <c r="F10" s="142" t="s">
        <v>177</v>
      </c>
      <c r="G10" s="95" t="s">
        <v>200</v>
      </c>
      <c r="H10" s="142" t="s">
        <v>178</v>
      </c>
      <c r="I10" s="142" t="s">
        <v>201</v>
      </c>
      <c r="J10" s="142" t="s">
        <v>176</v>
      </c>
      <c r="K10" s="142" t="s">
        <v>177</v>
      </c>
      <c r="L10" s="178" t="s">
        <v>202</v>
      </c>
      <c r="M10" s="178" t="s">
        <v>203</v>
      </c>
      <c r="N10" s="179" t="s">
        <v>205</v>
      </c>
    </row>
    <row r="11" spans="1:14">
      <c r="A11" s="88" t="s">
        <v>111</v>
      </c>
      <c r="B11" s="136">
        <f>+B3+D3</f>
        <v>559000</v>
      </c>
      <c r="C11" s="161">
        <f t="shared" ref="B11:C14" si="4">+C3+E3</f>
        <v>329750</v>
      </c>
      <c r="D11" s="175">
        <v>5.0000000000000001E-3</v>
      </c>
      <c r="E11" s="144">
        <f>+D11*B11</f>
        <v>2795</v>
      </c>
      <c r="F11" s="144">
        <f>+D11*C11</f>
        <v>1648.75</v>
      </c>
      <c r="G11" s="136">
        <v>1000000</v>
      </c>
      <c r="H11" s="175">
        <v>5.0000000000000001E-3</v>
      </c>
      <c r="I11" s="177" t="str">
        <f t="shared" ref="I11" si="5">IF(B11&gt;G11*0.5,"YES","&lt;&gt;")</f>
        <v>YES</v>
      </c>
      <c r="J11" s="146">
        <f>B11*H11</f>
        <v>2795</v>
      </c>
      <c r="K11" s="146">
        <f>C11*H11</f>
        <v>1648.75</v>
      </c>
      <c r="L11" s="146">
        <f>J11+E11</f>
        <v>5590</v>
      </c>
      <c r="M11" s="146">
        <f>F11+K11</f>
        <v>3297.5</v>
      </c>
    </row>
    <row r="12" spans="1:14">
      <c r="A12" s="89" t="s">
        <v>19</v>
      </c>
      <c r="B12" s="135">
        <f t="shared" si="4"/>
        <v>135000</v>
      </c>
      <c r="C12" s="162">
        <f t="shared" si="4"/>
        <v>76250</v>
      </c>
      <c r="D12" s="176">
        <v>5.0000000000000001E-3</v>
      </c>
      <c r="E12" s="146">
        <f t="shared" ref="E12:E14" si="6">+D12*B12</f>
        <v>675</v>
      </c>
      <c r="F12" s="146">
        <f t="shared" ref="F12:F13" si="7">+D12*C12</f>
        <v>381.25</v>
      </c>
      <c r="G12" s="135">
        <v>3000000</v>
      </c>
      <c r="H12" s="176">
        <v>5.0000000000000001E-3</v>
      </c>
      <c r="I12" s="177" t="str">
        <f>IF(B12&gt;G12*0.5,"YES","NO")</f>
        <v>NO</v>
      </c>
      <c r="J12" s="146"/>
      <c r="K12" s="146"/>
      <c r="L12" s="146">
        <f>J12+E12</f>
        <v>675</v>
      </c>
      <c r="M12" s="146">
        <f t="shared" ref="M12:M16" si="8">F12+K12</f>
        <v>381.25</v>
      </c>
    </row>
    <row r="13" spans="1:14">
      <c r="A13" s="89" t="s">
        <v>117</v>
      </c>
      <c r="B13" s="135">
        <f>+B5+D5</f>
        <v>979660.06152940961</v>
      </c>
      <c r="C13" s="162">
        <f t="shared" si="4"/>
        <v>715418</v>
      </c>
      <c r="D13" s="176">
        <v>5.0000000000000001E-3</v>
      </c>
      <c r="E13" s="146">
        <f t="shared" si="6"/>
        <v>4898.3003076470477</v>
      </c>
      <c r="F13" s="146">
        <f t="shared" si="7"/>
        <v>3577.09</v>
      </c>
      <c r="G13" s="135">
        <v>3000000</v>
      </c>
      <c r="H13" s="176">
        <v>5.0000000000000001E-3</v>
      </c>
      <c r="I13" s="177" t="str">
        <f>IF(B13&gt;G13*0.5,"x","NO")</f>
        <v>NO</v>
      </c>
      <c r="J13" s="146"/>
      <c r="K13" s="146"/>
      <c r="L13" s="146">
        <f>J13+E13</f>
        <v>4898.3003076470477</v>
      </c>
      <c r="M13" s="146">
        <f t="shared" si="8"/>
        <v>3577.09</v>
      </c>
      <c r="N13" t="s">
        <v>204</v>
      </c>
    </row>
    <row r="14" spans="1:14">
      <c r="A14" s="89" t="s">
        <v>114</v>
      </c>
      <c r="B14" s="135">
        <f t="shared" si="4"/>
        <v>2032202.9858136661</v>
      </c>
      <c r="C14" s="162">
        <f t="shared" si="4"/>
        <v>809250</v>
      </c>
      <c r="D14" s="176">
        <v>5.0000000000000001E-3</v>
      </c>
      <c r="E14" s="146">
        <f t="shared" si="6"/>
        <v>10161.014929068331</v>
      </c>
      <c r="F14" s="146">
        <f>+D14*C14</f>
        <v>4046.25</v>
      </c>
      <c r="G14" s="135">
        <v>4000000</v>
      </c>
      <c r="H14" s="176">
        <v>5.0000000000000001E-3</v>
      </c>
      <c r="I14" s="177" t="str">
        <f>IF(B14&gt;G14*0.5,"YES","&lt;&gt;")</f>
        <v>YES</v>
      </c>
      <c r="J14" s="146">
        <f>B14*H14</f>
        <v>10161.014929068331</v>
      </c>
      <c r="K14" s="146">
        <f>C14*H14</f>
        <v>4046.25</v>
      </c>
      <c r="L14" s="146">
        <f>J14+E14</f>
        <v>20322.029858136662</v>
      </c>
      <c r="M14" s="146">
        <f>F14+K14</f>
        <v>8092.5</v>
      </c>
    </row>
    <row r="15" spans="1:14">
      <c r="A15" s="89" t="s">
        <v>179</v>
      </c>
      <c r="B15" s="135">
        <v>0</v>
      </c>
      <c r="C15" s="162">
        <v>0</v>
      </c>
      <c r="D15" s="148">
        <v>2.5000000000000001E-3</v>
      </c>
      <c r="E15" s="146">
        <f>+D15*$B$19</f>
        <v>9264.657618357689</v>
      </c>
      <c r="F15" s="146">
        <f>+D15*$C$19</f>
        <v>4826.67</v>
      </c>
      <c r="G15" s="135">
        <v>0</v>
      </c>
      <c r="H15" s="148"/>
      <c r="I15" s="146">
        <f>+H15*$B$19</f>
        <v>0</v>
      </c>
      <c r="J15" s="146">
        <f>+I15*$B$19</f>
        <v>0</v>
      </c>
      <c r="K15" s="146">
        <f>+J15*$B$19</f>
        <v>0</v>
      </c>
      <c r="L15" s="146">
        <f t="shared" ref="L15:L16" si="9">J15+E15</f>
        <v>9264.657618357689</v>
      </c>
      <c r="M15" s="146">
        <f t="shared" si="8"/>
        <v>4826.67</v>
      </c>
    </row>
    <row r="16" spans="1:14">
      <c r="A16" s="89" t="s">
        <v>137</v>
      </c>
      <c r="B16" s="135">
        <v>0</v>
      </c>
      <c r="C16" s="162">
        <v>0</v>
      </c>
      <c r="D16" s="148">
        <v>5.0000000000000001E-3</v>
      </c>
      <c r="E16" s="146">
        <f t="shared" ref="E16" si="10">+D16*$B$19</f>
        <v>18529.315236715378</v>
      </c>
      <c r="F16" s="146">
        <f t="shared" ref="F16" si="11">+D16*$C$19</f>
        <v>9653.34</v>
      </c>
      <c r="G16" s="135">
        <v>0</v>
      </c>
      <c r="H16" s="148"/>
      <c r="I16" s="146">
        <f t="shared" ref="I16:K16" si="12">+H16*$B$19</f>
        <v>0</v>
      </c>
      <c r="J16" s="146">
        <f t="shared" si="12"/>
        <v>0</v>
      </c>
      <c r="K16" s="146">
        <f t="shared" si="12"/>
        <v>0</v>
      </c>
      <c r="L16" s="146">
        <f t="shared" si="9"/>
        <v>18529.315236715378</v>
      </c>
      <c r="M16" s="146">
        <f t="shared" si="8"/>
        <v>9653.34</v>
      </c>
    </row>
    <row r="17" spans="1:14">
      <c r="A17" s="89" t="s">
        <v>174</v>
      </c>
      <c r="B17" s="135">
        <v>0</v>
      </c>
      <c r="C17" s="162">
        <v>0</v>
      </c>
      <c r="D17" s="148"/>
      <c r="E17" s="146"/>
      <c r="F17" s="146"/>
      <c r="G17" s="135">
        <v>0</v>
      </c>
      <c r="H17" s="148"/>
      <c r="I17" s="146"/>
      <c r="J17" s="146"/>
      <c r="K17" s="146"/>
      <c r="L17" s="146"/>
      <c r="M17" s="146"/>
    </row>
    <row r="18" spans="1:14">
      <c r="A18" s="89" t="s">
        <v>175</v>
      </c>
      <c r="B18" s="135">
        <v>0</v>
      </c>
      <c r="C18" s="162">
        <v>0</v>
      </c>
      <c r="D18" s="148"/>
      <c r="E18" s="146"/>
      <c r="F18" s="146"/>
      <c r="G18" s="135">
        <v>0</v>
      </c>
      <c r="H18" s="148"/>
      <c r="I18" s="146"/>
      <c r="J18" s="146"/>
      <c r="K18" s="146"/>
      <c r="L18" s="146"/>
      <c r="M18" s="146"/>
    </row>
    <row r="19" spans="1:14">
      <c r="A19" s="137" t="s">
        <v>145</v>
      </c>
      <c r="B19" s="138">
        <f>SUM(B11:B14)</f>
        <v>3705863.0473430757</v>
      </c>
      <c r="C19" s="163">
        <f>SUM(C11:C14)</f>
        <v>1930668</v>
      </c>
      <c r="D19" s="149"/>
      <c r="E19" s="149">
        <f>SUM(E11:E18)</f>
        <v>46323.288091788447</v>
      </c>
      <c r="F19" s="149">
        <f>SUM(F11:F18)</f>
        <v>24133.35</v>
      </c>
      <c r="G19" s="138">
        <f>SUM(G11:G14)</f>
        <v>11000000</v>
      </c>
      <c r="H19" s="149"/>
      <c r="I19" s="149">
        <f>SUM(I11:I18)</f>
        <v>0</v>
      </c>
      <c r="J19" s="149">
        <f>SUM(J11:J18)</f>
        <v>12956.014929068331</v>
      </c>
      <c r="K19" s="149">
        <f>SUM(K11:K18)</f>
        <v>5695</v>
      </c>
      <c r="L19" s="149">
        <f>SUM(L11:L18)</f>
        <v>59279.30302085678</v>
      </c>
      <c r="M19" s="149">
        <f>SUM(M11:M18)</f>
        <v>29828.350000000002</v>
      </c>
    </row>
    <row r="21" spans="1:14" ht="30">
      <c r="A21" s="95" t="s">
        <v>173</v>
      </c>
      <c r="B21" s="95" t="s">
        <v>143</v>
      </c>
      <c r="C21" s="95" t="s">
        <v>144</v>
      </c>
      <c r="D21" s="142" t="s">
        <v>178</v>
      </c>
      <c r="E21" s="142" t="s">
        <v>176</v>
      </c>
      <c r="F21" s="142" t="s">
        <v>177</v>
      </c>
      <c r="G21" s="95" t="s">
        <v>200</v>
      </c>
      <c r="H21" s="142" t="s">
        <v>178</v>
      </c>
      <c r="I21" s="142" t="s">
        <v>201</v>
      </c>
      <c r="J21" s="142" t="s">
        <v>176</v>
      </c>
      <c r="K21" s="142" t="s">
        <v>177</v>
      </c>
      <c r="L21" s="178" t="s">
        <v>202</v>
      </c>
      <c r="M21" s="178" t="s">
        <v>203</v>
      </c>
      <c r="N21" s="179" t="s">
        <v>205</v>
      </c>
    </row>
    <row r="22" spans="1:14">
      <c r="A22" s="88" t="s">
        <v>206</v>
      </c>
      <c r="B22" s="136">
        <f>$B$19</f>
        <v>3705863.0473430757</v>
      </c>
      <c r="C22" s="161">
        <f>$C$19</f>
        <v>1930668</v>
      </c>
      <c r="D22" s="175">
        <v>5.0000000000000001E-3</v>
      </c>
      <c r="E22" s="144">
        <f>+D22*B22</f>
        <v>18529.315236715378</v>
      </c>
      <c r="F22" s="144">
        <f>+D22*C22</f>
        <v>9653.34</v>
      </c>
      <c r="G22" s="161">
        <f>G$19</f>
        <v>11000000</v>
      </c>
      <c r="H22" s="175">
        <v>5.0000000000000001E-3</v>
      </c>
      <c r="I22" s="177" t="str">
        <f>IF($B$31&gt;=$G$31,"YES","NO")</f>
        <v>NO</v>
      </c>
      <c r="J22" s="146" t="str">
        <f>IF(I22="YES",B31*H22,"0")</f>
        <v>0</v>
      </c>
      <c r="K22" s="146">
        <f>C22*H22</f>
        <v>9653.34</v>
      </c>
      <c r="L22" s="146">
        <f>J22+E22</f>
        <v>18529.315236715378</v>
      </c>
      <c r="M22" s="146">
        <f>F22+K22</f>
        <v>19306.68</v>
      </c>
    </row>
    <row r="23" spans="1:14">
      <c r="A23" s="89" t="s">
        <v>207</v>
      </c>
      <c r="B23" s="135">
        <f t="shared" ref="B23:B31" si="13">$B$19</f>
        <v>3705863.0473430757</v>
      </c>
      <c r="C23" s="162">
        <f t="shared" ref="C23:C29" si="14">$C$19</f>
        <v>1930668</v>
      </c>
      <c r="D23" s="176">
        <v>5.0000000000000001E-3</v>
      </c>
      <c r="E23" s="146">
        <f t="shared" ref="E23:E25" si="15">+D23*B23</f>
        <v>18529.315236715378</v>
      </c>
      <c r="F23" s="146">
        <f t="shared" ref="F23:F24" si="16">+D23*C23</f>
        <v>9653.34</v>
      </c>
      <c r="G23" s="162">
        <f t="shared" ref="G23:G30" si="17">G$19</f>
        <v>11000000</v>
      </c>
      <c r="H23" s="176">
        <v>5.0000000000000001E-3</v>
      </c>
      <c r="I23" s="177" t="str">
        <f t="shared" ref="I23:I30" si="18">IF($B$31&gt;=$G$29,"YES","NO")</f>
        <v>NO</v>
      </c>
      <c r="J23" s="146"/>
      <c r="K23" s="146"/>
      <c r="L23" s="146">
        <f>J23+E23</f>
        <v>18529.315236715378</v>
      </c>
      <c r="M23" s="146">
        <f t="shared" ref="M23:M24" si="19">F23+K23</f>
        <v>9653.34</v>
      </c>
    </row>
    <row r="24" spans="1:14">
      <c r="A24" s="89" t="s">
        <v>208</v>
      </c>
      <c r="B24" s="135">
        <f t="shared" si="13"/>
        <v>3705863.0473430757</v>
      </c>
      <c r="C24" s="162">
        <f t="shared" si="14"/>
        <v>1930668</v>
      </c>
      <c r="D24" s="176">
        <v>5.0000000000000001E-3</v>
      </c>
      <c r="E24" s="146">
        <f t="shared" si="15"/>
        <v>18529.315236715378</v>
      </c>
      <c r="F24" s="146">
        <f t="shared" si="16"/>
        <v>9653.34</v>
      </c>
      <c r="G24" s="162">
        <f t="shared" si="17"/>
        <v>11000000</v>
      </c>
      <c r="H24" s="176">
        <v>5.0000000000000001E-3</v>
      </c>
      <c r="I24" s="177" t="str">
        <f t="shared" si="18"/>
        <v>NO</v>
      </c>
      <c r="J24" s="146"/>
      <c r="K24" s="146"/>
      <c r="L24" s="146">
        <f>J24+E24</f>
        <v>18529.315236715378</v>
      </c>
      <c r="M24" s="146">
        <f t="shared" si="19"/>
        <v>9653.34</v>
      </c>
      <c r="N24" t="s">
        <v>204</v>
      </c>
    </row>
    <row r="25" spans="1:14">
      <c r="A25" s="89" t="s">
        <v>209</v>
      </c>
      <c r="B25" s="135">
        <f t="shared" si="13"/>
        <v>3705863.0473430757</v>
      </c>
      <c r="C25" s="162">
        <f t="shared" si="14"/>
        <v>1930668</v>
      </c>
      <c r="D25" s="176">
        <v>5.0000000000000001E-3</v>
      </c>
      <c r="E25" s="146">
        <f t="shared" si="15"/>
        <v>18529.315236715378</v>
      </c>
      <c r="F25" s="146">
        <f>+D25*C25</f>
        <v>9653.34</v>
      </c>
      <c r="G25" s="162">
        <f t="shared" si="17"/>
        <v>11000000</v>
      </c>
      <c r="H25" s="176">
        <v>5.0000000000000001E-3</v>
      </c>
      <c r="I25" s="177" t="str">
        <f t="shared" si="18"/>
        <v>NO</v>
      </c>
      <c r="J25" s="146">
        <f>B25*H25</f>
        <v>18529.315236715378</v>
      </c>
      <c r="K25" s="146">
        <f>C25*H25</f>
        <v>9653.34</v>
      </c>
      <c r="L25" s="146">
        <f>J25+E25</f>
        <v>37058.630473430756</v>
      </c>
      <c r="M25" s="146">
        <f>F25+K25</f>
        <v>19306.68</v>
      </c>
    </row>
    <row r="26" spans="1:14">
      <c r="A26" s="89" t="s">
        <v>210</v>
      </c>
      <c r="B26" s="135">
        <f t="shared" si="13"/>
        <v>3705863.0473430757</v>
      </c>
      <c r="C26" s="162">
        <f t="shared" si="14"/>
        <v>1930668</v>
      </c>
      <c r="D26" s="148">
        <v>2.5000000000000001E-3</v>
      </c>
      <c r="E26" s="146">
        <f>+D26*$B$19</f>
        <v>9264.657618357689</v>
      </c>
      <c r="F26" s="146">
        <f>+D26*$C$19</f>
        <v>4826.67</v>
      </c>
      <c r="G26" s="162">
        <f t="shared" si="17"/>
        <v>11000000</v>
      </c>
      <c r="H26" s="148"/>
      <c r="I26" s="177" t="str">
        <f t="shared" si="18"/>
        <v>NO</v>
      </c>
      <c r="J26" s="146"/>
      <c r="K26" s="146"/>
      <c r="L26" s="146"/>
      <c r="M26" s="146"/>
    </row>
    <row r="27" spans="1:14">
      <c r="A27" s="89" t="s">
        <v>213</v>
      </c>
      <c r="B27" s="135">
        <f t="shared" si="13"/>
        <v>3705863.0473430757</v>
      </c>
      <c r="C27" s="162">
        <f t="shared" si="14"/>
        <v>1930668</v>
      </c>
      <c r="D27" s="148">
        <v>5.0000000000000001E-3</v>
      </c>
      <c r="E27" s="146">
        <f t="shared" ref="E27" si="20">+D27*$B$19</f>
        <v>18529.315236715378</v>
      </c>
      <c r="F27" s="146">
        <f t="shared" ref="F27" si="21">+D27*$C$19</f>
        <v>9653.34</v>
      </c>
      <c r="G27" s="162">
        <f t="shared" si="17"/>
        <v>11000000</v>
      </c>
      <c r="H27" s="148"/>
      <c r="I27" s="177" t="str">
        <f t="shared" si="18"/>
        <v>NO</v>
      </c>
      <c r="J27" s="146"/>
      <c r="K27" s="146"/>
      <c r="L27" s="146"/>
      <c r="M27" s="146"/>
    </row>
    <row r="28" spans="1:14">
      <c r="A28" s="89" t="s">
        <v>211</v>
      </c>
      <c r="B28" s="135">
        <f t="shared" si="13"/>
        <v>3705863.0473430757</v>
      </c>
      <c r="C28" s="162">
        <f t="shared" si="14"/>
        <v>1930668</v>
      </c>
      <c r="D28" s="148"/>
      <c r="E28" s="146"/>
      <c r="F28" s="146"/>
      <c r="G28" s="162">
        <f t="shared" si="17"/>
        <v>11000000</v>
      </c>
      <c r="H28" s="148"/>
      <c r="I28" s="177" t="str">
        <f t="shared" si="18"/>
        <v>NO</v>
      </c>
      <c r="J28" s="146"/>
      <c r="K28" s="146"/>
      <c r="L28" s="146"/>
      <c r="M28" s="146"/>
    </row>
    <row r="29" spans="1:14">
      <c r="A29" s="89" t="s">
        <v>212</v>
      </c>
      <c r="B29" s="135">
        <f t="shared" si="13"/>
        <v>3705863.0473430757</v>
      </c>
      <c r="C29" s="162">
        <f t="shared" si="14"/>
        <v>1930668</v>
      </c>
      <c r="D29" s="148"/>
      <c r="E29" s="146"/>
      <c r="F29" s="146"/>
      <c r="G29" s="162">
        <f t="shared" si="17"/>
        <v>11000000</v>
      </c>
      <c r="H29" s="148"/>
      <c r="I29" s="177" t="str">
        <f t="shared" si="18"/>
        <v>NO</v>
      </c>
      <c r="J29" s="146"/>
      <c r="K29" s="146"/>
      <c r="L29" s="146"/>
      <c r="M29" s="146"/>
    </row>
    <row r="30" spans="1:14">
      <c r="A30" s="89"/>
      <c r="B30" s="135"/>
      <c r="C30" s="162"/>
      <c r="D30" s="148"/>
      <c r="E30" s="146"/>
      <c r="F30" s="146"/>
      <c r="G30" s="162">
        <f t="shared" si="17"/>
        <v>11000000</v>
      </c>
      <c r="H30" s="148"/>
      <c r="I30" s="177" t="str">
        <f t="shared" si="18"/>
        <v>NO</v>
      </c>
      <c r="J30" s="146"/>
      <c r="K30" s="146"/>
      <c r="L30" s="146"/>
      <c r="M30" s="146"/>
    </row>
    <row r="31" spans="1:14">
      <c r="A31" s="137" t="s">
        <v>145</v>
      </c>
      <c r="B31" s="163">
        <f t="shared" si="13"/>
        <v>3705863.0473430757</v>
      </c>
      <c r="C31" s="163">
        <f>$C$19</f>
        <v>1930668</v>
      </c>
      <c r="D31" s="149"/>
      <c r="E31" s="149">
        <f>SUM(E22:E29)</f>
        <v>101911.23380193458</v>
      </c>
      <c r="F31" s="149">
        <f>SUM(F22:F29)</f>
        <v>53093.369999999995</v>
      </c>
      <c r="G31" s="138">
        <f>$G$19</f>
        <v>11000000</v>
      </c>
      <c r="H31" s="149"/>
      <c r="I31" s="149">
        <f>SUM(I22:I29)</f>
        <v>0</v>
      </c>
      <c r="J31" s="149">
        <f>SUM(J22:J29)</f>
        <v>18529.315236715378</v>
      </c>
      <c r="K31" s="149">
        <f>SUM(K22:K29)</f>
        <v>19306.68</v>
      </c>
      <c r="L31" s="149">
        <f>SUM(L22:L29)</f>
        <v>92646.576183576894</v>
      </c>
      <c r="M31" s="149">
        <f>SUM(M22:M29)</f>
        <v>57920.04</v>
      </c>
    </row>
    <row r="32" spans="1:14">
      <c r="A32" s="180"/>
      <c r="B32" s="181"/>
      <c r="C32" s="182"/>
      <c r="D32" s="149"/>
      <c r="E32" s="149"/>
      <c r="F32" s="149"/>
      <c r="G32" s="181"/>
      <c r="H32" s="183"/>
      <c r="I32" s="183"/>
      <c r="J32" s="183"/>
      <c r="K32" s="183"/>
      <c r="L32" s="183"/>
      <c r="M32" s="183"/>
    </row>
    <row r="33" spans="1:9">
      <c r="B33" s="139" t="s">
        <v>185</v>
      </c>
      <c r="C33" s="164" t="s">
        <v>145</v>
      </c>
      <c r="D33" s="142" t="s">
        <v>178</v>
      </c>
      <c r="E33" s="142" t="s">
        <v>176</v>
      </c>
      <c r="F33" s="142"/>
    </row>
    <row r="34" spans="1:9">
      <c r="A34" s="88" t="s">
        <v>111</v>
      </c>
      <c r="B34" s="90">
        <f>SUMIFS('Elenco Fatture'!$F$30:$F$74,'Elenco Fatture'!$I$30:$I$74,"Bettini",'Elenco Fatture'!$B$30:$B$74,"2")</f>
        <v>0</v>
      </c>
      <c r="C34" s="158">
        <f>+B34+B11</f>
        <v>559000</v>
      </c>
      <c r="D34" s="143">
        <v>0.02</v>
      </c>
      <c r="E34" s="156">
        <f>+C34*D34</f>
        <v>11180</v>
      </c>
      <c r="F34" s="144"/>
    </row>
    <row r="35" spans="1:9">
      <c r="A35" s="89" t="s">
        <v>19</v>
      </c>
      <c r="B35" s="91">
        <f>SUMIFS('Elenco Fatture'!$F$30:$F$74,'Elenco Fatture'!$I$30:$I$74,"Luppi",'Elenco Fatture'!$B$30:$B$74, "2")</f>
        <v>0</v>
      </c>
      <c r="C35" s="159">
        <f>+B35+B12</f>
        <v>135000</v>
      </c>
      <c r="D35" s="145">
        <v>0.01</v>
      </c>
      <c r="E35" s="157">
        <f t="shared" ref="E35:E38" si="22">+C35*D35</f>
        <v>1350</v>
      </c>
      <c r="F35" s="146"/>
    </row>
    <row r="36" spans="1:9">
      <c r="A36" s="89" t="s">
        <v>117</v>
      </c>
      <c r="B36" s="91">
        <f>SUMIFS('Elenco Fatture'!$F$30:$F$74,'Elenco Fatture'!$I$30:$I$74,"Maglietta",'Elenco Fatture'!$B$30:$B$74, "2")</f>
        <v>0</v>
      </c>
      <c r="C36" s="159">
        <f>+B36+B13</f>
        <v>979660.06152940961</v>
      </c>
      <c r="D36" s="145">
        <v>0.01</v>
      </c>
      <c r="E36" s="157">
        <f t="shared" si="22"/>
        <v>9796.6006152940954</v>
      </c>
      <c r="F36" s="146"/>
    </row>
    <row r="37" spans="1:9">
      <c r="A37" s="89" t="s">
        <v>114</v>
      </c>
      <c r="B37" s="91">
        <f>SUMIFS('Elenco Fatture'!$F$31:$F$74,'Elenco Fatture'!$I$31:$I$74,"Shehata",'Elenco Fatture'!$B$31:$B$74, "2")</f>
        <v>0</v>
      </c>
      <c r="C37" s="165">
        <f>+B37+B14</f>
        <v>2032202.9858136661</v>
      </c>
      <c r="D37" s="145">
        <v>0.01</v>
      </c>
      <c r="E37" s="157">
        <f t="shared" si="22"/>
        <v>20322.029858136662</v>
      </c>
      <c r="F37" s="146"/>
    </row>
    <row r="38" spans="1:9">
      <c r="A38" s="89" t="s">
        <v>137</v>
      </c>
      <c r="B38" s="91">
        <f>SUMIFS('Elenco Fatture'!$F$30:$F$74,'Elenco Fatture'!$I$30:$I$74,"Vinci",'Elenco Fatture'!$B$30:$B$74, "2")</f>
        <v>0</v>
      </c>
      <c r="C38" s="166">
        <f>+B38+B15</f>
        <v>0</v>
      </c>
      <c r="D38" s="147">
        <v>5.0000000000000001E-3</v>
      </c>
      <c r="E38" s="157">
        <f t="shared" si="22"/>
        <v>0</v>
      </c>
      <c r="F38" s="146"/>
      <c r="I38">
        <f>11*0.75</f>
        <v>8.25</v>
      </c>
    </row>
    <row r="39" spans="1:9">
      <c r="A39" s="137" t="s">
        <v>145</v>
      </c>
      <c r="B39" s="138">
        <f>SUM(B34:B37)</f>
        <v>0</v>
      </c>
      <c r="C39" s="163">
        <f>SUM(C34:C37)</f>
        <v>3705863.0473430757</v>
      </c>
      <c r="D39" s="147">
        <v>5.0000000000000001E-3</v>
      </c>
      <c r="E39" s="157"/>
      <c r="F39" s="146"/>
    </row>
    <row r="40" spans="1:9">
      <c r="D40" s="149"/>
      <c r="E40" s="149"/>
      <c r="F40" s="149"/>
    </row>
  </sheetData>
  <sortState ref="A27:E40">
    <sortCondition ref="E27:E40"/>
  </sortState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30"/>
  <sheetViews>
    <sheetView showGridLines="0" topLeftCell="B1" zoomScaleNormal="100" workbookViewId="0">
      <selection activeCell="D4" sqref="D4"/>
    </sheetView>
  </sheetViews>
  <sheetFormatPr defaultRowHeight="15"/>
  <cols>
    <col min="1" max="1" width="2.42578125" customWidth="1"/>
    <col min="2" max="2" width="22" bestFit="1" customWidth="1"/>
    <col min="3" max="3" width="13.42578125" style="185" bestFit="1" customWidth="1"/>
    <col min="4" max="4" width="9.42578125" bestFit="1" customWidth="1"/>
    <col min="5" max="5" width="9.7109375" bestFit="1" customWidth="1"/>
    <col min="6" max="6" width="12.42578125" style="185" customWidth="1"/>
    <col min="7" max="7" width="9.7109375" bestFit="1" customWidth="1"/>
    <col min="8" max="8" width="9.7109375" customWidth="1"/>
    <col min="9" max="9" width="13.42578125" bestFit="1" customWidth="1"/>
    <col min="10" max="10" width="13.42578125" customWidth="1"/>
    <col min="11" max="11" width="11.28515625" style="194" bestFit="1" customWidth="1"/>
    <col min="12" max="12" width="11.28515625" style="194" customWidth="1"/>
    <col min="13" max="13" width="12.28515625" style="194" bestFit="1" customWidth="1"/>
    <col min="14" max="15" width="12.28515625" style="194" customWidth="1"/>
    <col min="16" max="16" width="13.28515625" style="194" bestFit="1" customWidth="1"/>
    <col min="17" max="17" width="8" style="194" bestFit="1" customWidth="1"/>
    <col min="18" max="18" width="4" customWidth="1"/>
    <col min="19" max="19" width="22" bestFit="1" customWidth="1"/>
    <col min="20" max="20" width="17.7109375" bestFit="1" customWidth="1"/>
    <col min="21" max="22" width="13.42578125" bestFit="1" customWidth="1"/>
    <col min="23" max="24" width="13.85546875" bestFit="1" customWidth="1"/>
  </cols>
  <sheetData>
    <row r="2" spans="2:24" ht="34.5" customHeight="1">
      <c r="C2" s="208" t="s">
        <v>214</v>
      </c>
      <c r="D2" s="209" t="s">
        <v>215</v>
      </c>
      <c r="E2" s="209" t="s">
        <v>216</v>
      </c>
      <c r="F2" s="210" t="s">
        <v>217</v>
      </c>
      <c r="G2" s="209" t="s">
        <v>218</v>
      </c>
      <c r="H2" s="209" t="s">
        <v>246</v>
      </c>
      <c r="I2" s="209" t="s">
        <v>219</v>
      </c>
      <c r="J2" s="184" t="s">
        <v>245</v>
      </c>
      <c r="K2" s="189" t="s">
        <v>225</v>
      </c>
      <c r="L2" s="189" t="s">
        <v>247</v>
      </c>
      <c r="M2" s="189" t="s">
        <v>243</v>
      </c>
      <c r="N2" s="189"/>
      <c r="O2" s="189" t="s">
        <v>248</v>
      </c>
      <c r="P2" s="189" t="s">
        <v>244</v>
      </c>
      <c r="Q2" s="206"/>
      <c r="S2" s="195" t="s">
        <v>173</v>
      </c>
      <c r="T2" s="95" t="s">
        <v>253</v>
      </c>
      <c r="U2" s="95" t="s">
        <v>251</v>
      </c>
      <c r="V2" s="95" t="s">
        <v>247</v>
      </c>
      <c r="W2" s="95" t="s">
        <v>244</v>
      </c>
      <c r="X2" s="95" t="s">
        <v>254</v>
      </c>
    </row>
    <row r="3" spans="2:24">
      <c r="B3" s="186" t="s">
        <v>227</v>
      </c>
      <c r="C3" s="124"/>
      <c r="D3" s="211"/>
      <c r="E3" s="211"/>
      <c r="F3" s="124"/>
      <c r="G3" s="211"/>
      <c r="H3" s="211"/>
      <c r="I3" s="211"/>
      <c r="J3" s="197"/>
      <c r="K3" s="190"/>
      <c r="L3" s="216"/>
      <c r="M3" s="200"/>
      <c r="N3" s="200"/>
      <c r="O3" s="218"/>
      <c r="P3" s="200"/>
      <c r="Q3" s="135"/>
      <c r="S3" s="89" t="s">
        <v>111</v>
      </c>
      <c r="T3" s="91">
        <f>SUMIFS($C$4:$C$100,$K$4:$K$100,"Bettini")</f>
        <v>687000</v>
      </c>
      <c r="U3" s="91">
        <f>SUMIFS($I$4:$I$100,$K$4:$K$100,"Bettini")</f>
        <v>656250</v>
      </c>
      <c r="V3" s="91">
        <f>SUMIFS($M$4:$M$100,$K$4:$K$100,"Bettini")</f>
        <v>528250</v>
      </c>
      <c r="W3" s="91">
        <f>SUMIFS($P$4:$P$100,$K$4:$K$100,"Bettini")</f>
        <v>306687.5</v>
      </c>
      <c r="X3" s="91">
        <f>SUMIFS($O$4:$O$100,$K$4:$K$100,"Bettini")</f>
        <v>329750</v>
      </c>
    </row>
    <row r="4" spans="2:24">
      <c r="B4" s="89" t="s">
        <v>220</v>
      </c>
      <c r="C4" s="125">
        <f>'Elenco Fatture'!F24*2</f>
        <v>360000</v>
      </c>
      <c r="D4" s="125">
        <v>2500</v>
      </c>
      <c r="E4" s="125"/>
      <c r="F4" s="125">
        <f>C4*0.15</f>
        <v>54000</v>
      </c>
      <c r="G4" s="125"/>
      <c r="H4" s="125"/>
      <c r="I4" s="125">
        <f>C4-SUM(D4:H4)</f>
        <v>303500</v>
      </c>
      <c r="J4" s="202">
        <f>I4/C4</f>
        <v>0.84305555555555556</v>
      </c>
      <c r="K4" s="191" t="s">
        <v>117</v>
      </c>
      <c r="L4" s="217">
        <f>'Elenco Fatture'!F24*2</f>
        <v>360000</v>
      </c>
      <c r="M4" s="91">
        <f>('Elenco Fatture'!F24+180000)*'Net Sales &amp; Bonus Q1+Q2'!J4</f>
        <v>303500</v>
      </c>
      <c r="N4" s="222">
        <f>+M4/L4</f>
        <v>0.84305555555555556</v>
      </c>
      <c r="O4" s="217">
        <f>('Elenco Fatture'!$M$24+180000)</f>
        <v>360000</v>
      </c>
      <c r="P4" s="91">
        <f>('Elenco Fatture'!$M$24+180000)*'Net Sales &amp; Bonus Q1+Q2'!$J$4</f>
        <v>303500</v>
      </c>
      <c r="Q4" s="222">
        <f>+P4/O4</f>
        <v>0.84305555555555556</v>
      </c>
      <c r="S4" s="89" t="s">
        <v>19</v>
      </c>
      <c r="T4" s="91">
        <f>SUMIFS($C$4:$C$100,$K$4:$K$100,"Luppi")</f>
        <v>135000</v>
      </c>
      <c r="U4" s="91">
        <f>SUMIFS($I$4:$I$100,$K$4:$K$100,"Luppi")</f>
        <v>132500</v>
      </c>
      <c r="V4" s="91">
        <f>SUMIFS($M$4:$M$100,$K$4:$K$100,"Luppi")</f>
        <v>132500</v>
      </c>
      <c r="W4" s="91">
        <f>SUMIFS($P$4:$P$100,$K$4:$K$100,"Luppi")</f>
        <v>74125</v>
      </c>
      <c r="X4" s="91">
        <f>SUMIFS($O$4:$O$100,$K$4:$K$100,"Luppi")</f>
        <v>76250</v>
      </c>
    </row>
    <row r="5" spans="2:24">
      <c r="B5" s="89" t="s">
        <v>221</v>
      </c>
      <c r="C5" s="125">
        <f>SUM('Elenco Fatture'!F12,'Elenco Fatture'!F19)</f>
        <v>543810.06152940961</v>
      </c>
      <c r="D5" s="125">
        <v>2500</v>
      </c>
      <c r="E5" s="125"/>
      <c r="F5" s="125">
        <f>C5*0.1695</f>
        <v>92175.805429234941</v>
      </c>
      <c r="G5" s="125"/>
      <c r="H5" s="125"/>
      <c r="I5" s="125">
        <f>C5-SUM(D5:H5)</f>
        <v>449134.25610017468</v>
      </c>
      <c r="J5" s="202">
        <f>I5/C5</f>
        <v>0.82590280664728966</v>
      </c>
      <c r="K5" s="191" t="s">
        <v>117</v>
      </c>
      <c r="L5" s="219">
        <f>(SUM('Elenco Fatture'!F12,'Elenco Fatture'!F19))</f>
        <v>543810.06152940961</v>
      </c>
      <c r="M5" s="198">
        <f>(SUM('Elenco Fatture'!F12,'Elenco Fatture'!F19))*'Net Sales &amp; Bonus Q1+Q2'!J5</f>
        <v>449134.25610017468</v>
      </c>
      <c r="N5" s="223">
        <f t="shared" ref="N5:N24" si="0">+M5/L5</f>
        <v>0.82590280664728966</v>
      </c>
      <c r="O5" s="219">
        <f>'Elenco Fatture'!$M$12</f>
        <v>279568</v>
      </c>
      <c r="P5" s="198">
        <f>'Elenco Fatture'!$M$12*'Net Sales &amp; Bonus Q1+Q2'!$J$5</f>
        <v>230895.99584876947</v>
      </c>
      <c r="Q5" s="222">
        <f t="shared" ref="Q5:Q24" si="1">+P5/O5</f>
        <v>0.82590280664728966</v>
      </c>
      <c r="S5" s="89" t="s">
        <v>117</v>
      </c>
      <c r="T5" s="91">
        <f>SUMIFS($C$4:$C$100,$K$4:$K$100,"Maglietta")</f>
        <v>1193510.0615294096</v>
      </c>
      <c r="U5" s="91">
        <f>SUMIFS($I$4:$I$100,$K$4:$K$100,"Maglietta")</f>
        <v>1019458.4261001748</v>
      </c>
      <c r="V5" s="91">
        <f>SUMIFS($M$4:$M$100,$K$4:$K$100,"Maglietta")</f>
        <v>997046.3411001747</v>
      </c>
      <c r="W5" s="91">
        <f>SUMIFS($P$4:$P$100,$K$4:$K$100,"Maglietta")</f>
        <v>778808.0808487694</v>
      </c>
      <c r="X5" s="91">
        <f>SUMIFS($O$4:$O$100,$K$4:$K$100,"Maglietta")</f>
        <v>895418</v>
      </c>
    </row>
    <row r="6" spans="2:24">
      <c r="B6" s="89" t="s">
        <v>222</v>
      </c>
      <c r="C6" s="125">
        <v>550000</v>
      </c>
      <c r="D6" s="125">
        <v>2500</v>
      </c>
      <c r="E6" s="125"/>
      <c r="F6" s="125"/>
      <c r="G6" s="125"/>
      <c r="H6" s="125"/>
      <c r="I6" s="125">
        <f t="shared" ref="I6:I24" si="2">C6-SUM(D6:H6)</f>
        <v>547500</v>
      </c>
      <c r="J6" s="202">
        <f>I6/C6</f>
        <v>0.99545454545454548</v>
      </c>
      <c r="K6" s="191" t="s">
        <v>114</v>
      </c>
      <c r="L6" s="219">
        <f>'Elenco Fatture'!F14</f>
        <v>137500</v>
      </c>
      <c r="M6" s="198">
        <f>'Elenco Fatture'!F14*'Net Sales &amp; Bonus Q1+Q2'!J6</f>
        <v>136875</v>
      </c>
      <c r="N6" s="223">
        <f t="shared" si="0"/>
        <v>0.99545454545454548</v>
      </c>
      <c r="O6" s="219">
        <f>'Elenco Fatture'!$M$14</f>
        <v>137500</v>
      </c>
      <c r="P6" s="198">
        <f>'Elenco Fatture'!$M$14*'Net Sales &amp; Bonus Q1+Q2'!$J$6</f>
        <v>136875</v>
      </c>
      <c r="Q6" s="222">
        <f t="shared" si="1"/>
        <v>0.99545454545454548</v>
      </c>
      <c r="S6" s="89" t="s">
        <v>114</v>
      </c>
      <c r="T6" s="91">
        <f>SUMIFS($C$4:$C$100,$K$4:$K$100,"Shehata")</f>
        <v>2792930</v>
      </c>
      <c r="U6" s="91">
        <f>SUMIFS($I$4:$I$100,$K$4:$K$100,"Shehata")</f>
        <v>2464394</v>
      </c>
      <c r="V6" s="91">
        <f>SUMIFS($M$4:$M$100,$K$4:$K$100,"Shehata")</f>
        <v>1770748.6467771532</v>
      </c>
      <c r="W6" s="91">
        <f>SUMIFS($P$4:$P$100,$K$4:$K$100,"Shehata")</f>
        <v>808476.25</v>
      </c>
      <c r="X6" s="91">
        <f>SUMIFS($O$4:$O$100,$K$4:$K$100,"Shehata")</f>
        <v>809250</v>
      </c>
    </row>
    <row r="7" spans="2:24">
      <c r="B7" s="89" t="s">
        <v>223</v>
      </c>
      <c r="C7" s="125">
        <v>1404930</v>
      </c>
      <c r="D7" s="125">
        <v>2500</v>
      </c>
      <c r="E7" s="125">
        <v>41000</v>
      </c>
      <c r="F7" s="125">
        <f>C7*0.2</f>
        <v>280986</v>
      </c>
      <c r="G7" s="125">
        <v>1210</v>
      </c>
      <c r="H7" s="125"/>
      <c r="I7" s="125">
        <f t="shared" si="2"/>
        <v>1079234</v>
      </c>
      <c r="J7" s="202">
        <f>I7/C7</f>
        <v>0.7681763504231528</v>
      </c>
      <c r="K7" s="191" t="s">
        <v>114</v>
      </c>
      <c r="L7" s="219">
        <f>(SUM('Elenco Fatture'!F22,'Elenco Fatture'!F30))</f>
        <v>1124202.9858136659</v>
      </c>
      <c r="M7" s="198">
        <f>(SUM('Elenco Fatture'!F22,'Elenco Fatture'!F30))*'Net Sales &amp; Bonus Q1+Q2'!J7</f>
        <v>863586.14677715325</v>
      </c>
      <c r="N7" s="223">
        <f t="shared" si="0"/>
        <v>0.7681763504231528</v>
      </c>
      <c r="O7" s="219">
        <f>(SUM('Elenco Fatture'!$M$22,'Elenco Fatture'!$M$30))</f>
        <v>0</v>
      </c>
      <c r="P7" s="198">
        <f>(SUM('Elenco Fatture'!$M$22,'Elenco Fatture'!$M$30))*'Net Sales &amp; Bonus Q1+Q2'!$J$7</f>
        <v>0</v>
      </c>
      <c r="Q7" s="222"/>
      <c r="S7" s="137" t="s">
        <v>145</v>
      </c>
      <c r="T7" s="138">
        <f>SUM(T3:T6)</f>
        <v>4808440.0615294091</v>
      </c>
      <c r="U7" s="138">
        <f>SUM(U3:U6)</f>
        <v>4272602.4261001749</v>
      </c>
      <c r="V7" s="138">
        <f t="shared" ref="V7:W7" si="3">SUM(V3:V6)</f>
        <v>3428544.9878773279</v>
      </c>
      <c r="W7" s="138">
        <f t="shared" si="3"/>
        <v>1968096.8308487693</v>
      </c>
      <c r="X7" s="138">
        <f t="shared" ref="X7" si="4">SUM(X3:X6)</f>
        <v>2110668</v>
      </c>
    </row>
    <row r="8" spans="2:24">
      <c r="B8" s="89" t="s">
        <v>224</v>
      </c>
      <c r="C8" s="125">
        <f>'Elenco Fatture'!F18</f>
        <v>25000</v>
      </c>
      <c r="D8" s="125">
        <v>2500</v>
      </c>
      <c r="E8" s="125"/>
      <c r="F8" s="125"/>
      <c r="G8" s="125"/>
      <c r="H8" s="125"/>
      <c r="I8" s="125">
        <f t="shared" si="2"/>
        <v>22500</v>
      </c>
      <c r="J8" s="202">
        <f>I8/C8</f>
        <v>0.9</v>
      </c>
      <c r="K8" s="191" t="s">
        <v>19</v>
      </c>
      <c r="L8" s="219">
        <f>'Elenco Fatture'!F18</f>
        <v>25000</v>
      </c>
      <c r="M8" s="198">
        <f>'Elenco Fatture'!F18*'Net Sales &amp; Bonus Q1+Q2'!$J$8</f>
        <v>22500</v>
      </c>
      <c r="N8" s="223">
        <f t="shared" si="0"/>
        <v>0.9</v>
      </c>
      <c r="O8" s="219">
        <f>'Elenco Fatture'!$M$18</f>
        <v>21250</v>
      </c>
      <c r="P8" s="198">
        <f>'Elenco Fatture'!$M$18*'Net Sales &amp; Bonus Q1+Q2'!$J$8</f>
        <v>19125</v>
      </c>
      <c r="Q8" s="222">
        <f t="shared" si="1"/>
        <v>0.9</v>
      </c>
      <c r="T8" s="196">
        <f>T7-H25</f>
        <v>4777690.0615294091</v>
      </c>
      <c r="U8" s="196">
        <f>U7-I25</f>
        <v>0</v>
      </c>
      <c r="V8" s="196">
        <f>V7-J25</f>
        <v>3428544.9878773279</v>
      </c>
      <c r="W8" s="196">
        <f>W7-P25</f>
        <v>0</v>
      </c>
      <c r="X8" s="196">
        <f>X7-O25</f>
        <v>0</v>
      </c>
    </row>
    <row r="9" spans="2:24">
      <c r="B9" s="186" t="s">
        <v>228</v>
      </c>
      <c r="C9" s="124"/>
      <c r="D9" s="124"/>
      <c r="E9" s="124"/>
      <c r="F9" s="124"/>
      <c r="G9" s="124"/>
      <c r="H9" s="124"/>
      <c r="I9" s="124"/>
      <c r="J9" s="200"/>
      <c r="K9" s="190"/>
      <c r="L9" s="218"/>
      <c r="M9" s="200"/>
      <c r="N9" s="224"/>
      <c r="O9" s="218"/>
      <c r="P9" s="200"/>
      <c r="Q9" s="222"/>
    </row>
    <row r="10" spans="2:24">
      <c r="B10" s="89" t="s">
        <v>226</v>
      </c>
      <c r="C10" s="125">
        <v>110000</v>
      </c>
      <c r="D10" s="125"/>
      <c r="E10" s="125"/>
      <c r="F10" s="125"/>
      <c r="G10" s="125"/>
      <c r="H10" s="125"/>
      <c r="I10" s="125">
        <f t="shared" si="2"/>
        <v>110000</v>
      </c>
      <c r="J10" s="202">
        <f t="shared" ref="J10:J24" si="5">I10/C10</f>
        <v>1</v>
      </c>
      <c r="K10" s="191" t="s">
        <v>19</v>
      </c>
      <c r="L10" s="219">
        <f>SUM('Elenco Fatture'!F2,'Elenco Fatture'!F23)</f>
        <v>110000</v>
      </c>
      <c r="M10" s="198">
        <f>SUM('Elenco Fatture'!F2,'Elenco Fatture'!F23)*'Net Sales &amp; Bonus Q1+Q2'!$J$10</f>
        <v>110000</v>
      </c>
      <c r="N10" s="223">
        <f t="shared" si="0"/>
        <v>1</v>
      </c>
      <c r="O10" s="219">
        <f>SUM('Elenco Fatture'!$M$2,'Elenco Fatture'!$M$23)</f>
        <v>55000</v>
      </c>
      <c r="P10" s="198">
        <f>SUM('Elenco Fatture'!$M$2,'Elenco Fatture'!$M$23)*'Net Sales &amp; Bonus Q1+Q2'!$J$10</f>
        <v>55000</v>
      </c>
      <c r="Q10" s="222">
        <f t="shared" si="1"/>
        <v>1</v>
      </c>
      <c r="S10" t="s">
        <v>249</v>
      </c>
      <c r="T10" s="91">
        <f>SUMIFS($C$3:$C$99,$K$3:$K$99,"Bettini")</f>
        <v>687000</v>
      </c>
    </row>
    <row r="11" spans="2:24">
      <c r="B11" s="89" t="s">
        <v>229</v>
      </c>
      <c r="C11" s="125">
        <v>85000</v>
      </c>
      <c r="D11" s="125"/>
      <c r="E11" s="125"/>
      <c r="F11" s="125"/>
      <c r="G11" s="125"/>
      <c r="H11" s="125"/>
      <c r="I11" s="125">
        <f t="shared" si="2"/>
        <v>85000</v>
      </c>
      <c r="J11" s="202">
        <f t="shared" si="5"/>
        <v>1</v>
      </c>
      <c r="K11" s="191" t="s">
        <v>111</v>
      </c>
      <c r="L11" s="219">
        <f>'Elenco Fatture'!F3</f>
        <v>85000</v>
      </c>
      <c r="M11" s="198">
        <f>'Elenco Fatture'!F3*'Net Sales &amp; Bonus Q1+Q2'!$J$11</f>
        <v>85000</v>
      </c>
      <c r="N11" s="223">
        <f t="shared" si="0"/>
        <v>1</v>
      </c>
      <c r="O11" s="219">
        <f>'Elenco Fatture'!$M$3</f>
        <v>45000</v>
      </c>
      <c r="P11" s="198">
        <f>'Elenco Fatture'!$M$3*'Net Sales &amp; Bonus Q1+Q2'!$J$11</f>
        <v>45000</v>
      </c>
      <c r="Q11" s="222">
        <f t="shared" si="1"/>
        <v>1</v>
      </c>
      <c r="S11" t="s">
        <v>250</v>
      </c>
      <c r="T11" s="91">
        <f>SUMIFS($I$3:$I$99,$K$3:$K$99,"Bettini")</f>
        <v>656250</v>
      </c>
    </row>
    <row r="12" spans="2:24">
      <c r="B12" s="89" t="s">
        <v>230</v>
      </c>
      <c r="C12" s="125">
        <v>67700</v>
      </c>
      <c r="D12" s="125"/>
      <c r="E12" s="125"/>
      <c r="F12" s="125">
        <v>22875.83</v>
      </c>
      <c r="G12" s="125"/>
      <c r="H12" s="125"/>
      <c r="I12" s="125">
        <f t="shared" si="2"/>
        <v>44824.17</v>
      </c>
      <c r="J12" s="202">
        <f t="shared" si="5"/>
        <v>0.66210000000000002</v>
      </c>
      <c r="K12" s="191" t="s">
        <v>117</v>
      </c>
      <c r="L12" s="219">
        <f>'Elenco Fatture'!F4</f>
        <v>33850</v>
      </c>
      <c r="M12" s="198">
        <f>'Elenco Fatture'!F4*'Net Sales &amp; Bonus Q1+Q2'!$J$12</f>
        <v>22412.084999999999</v>
      </c>
      <c r="N12" s="223">
        <f t="shared" si="0"/>
        <v>0.66210000000000002</v>
      </c>
      <c r="O12" s="219">
        <f>'Elenco Fatture'!$M$4</f>
        <v>33850</v>
      </c>
      <c r="P12" s="198">
        <f>'Elenco Fatture'!$M$4*'Net Sales &amp; Bonus Q1+Q2'!$J$12</f>
        <v>22412.084999999999</v>
      </c>
      <c r="Q12" s="222">
        <f t="shared" si="1"/>
        <v>0.66210000000000002</v>
      </c>
      <c r="S12" t="s">
        <v>252</v>
      </c>
      <c r="T12" s="91">
        <f>SUMIFS($L$1:$L$97,$K$3:$K$99,"Bettini")</f>
        <v>591000</v>
      </c>
    </row>
    <row r="13" spans="2:24">
      <c r="B13" s="89" t="s">
        <v>231</v>
      </c>
      <c r="C13" s="125">
        <v>53000</v>
      </c>
      <c r="D13" s="125"/>
      <c r="E13" s="125"/>
      <c r="F13" s="125"/>
      <c r="G13" s="125"/>
      <c r="H13" s="125"/>
      <c r="I13" s="125">
        <f t="shared" si="2"/>
        <v>53000</v>
      </c>
      <c r="J13" s="202">
        <f t="shared" si="5"/>
        <v>1</v>
      </c>
      <c r="K13" s="191" t="s">
        <v>111</v>
      </c>
      <c r="L13" s="219">
        <f>'Elenco Fatture'!F5</f>
        <v>53000</v>
      </c>
      <c r="M13" s="198">
        <f>'Elenco Fatture'!F5*'Net Sales &amp; Bonus Q1+Q2'!$J$13</f>
        <v>53000</v>
      </c>
      <c r="N13" s="223">
        <f t="shared" si="0"/>
        <v>1</v>
      </c>
      <c r="O13" s="219">
        <f>'Elenco Fatture'!$M$5</f>
        <v>53000</v>
      </c>
      <c r="P13" s="198">
        <f>'Elenco Fatture'!$M$5*'Net Sales &amp; Bonus Q1+Q2'!$J$13</f>
        <v>53000</v>
      </c>
      <c r="Q13" s="222">
        <f t="shared" si="1"/>
        <v>1</v>
      </c>
    </row>
    <row r="14" spans="2:24">
      <c r="B14" s="89" t="s">
        <v>232</v>
      </c>
      <c r="C14" s="125">
        <v>100000</v>
      </c>
      <c r="D14" s="125"/>
      <c r="E14" s="125"/>
      <c r="F14" s="125"/>
      <c r="G14" s="125"/>
      <c r="H14" s="125"/>
      <c r="I14" s="125">
        <f t="shared" si="2"/>
        <v>100000</v>
      </c>
      <c r="J14" s="202">
        <f t="shared" si="5"/>
        <v>1</v>
      </c>
      <c r="K14" s="191" t="s">
        <v>114</v>
      </c>
      <c r="L14" s="219">
        <f>'Elenco Fatture'!F7</f>
        <v>100000</v>
      </c>
      <c r="M14" s="198">
        <f>'Elenco Fatture'!F7*'Net Sales &amp; Bonus Q1+Q2'!$J$14</f>
        <v>100000</v>
      </c>
      <c r="N14" s="223">
        <f t="shared" si="0"/>
        <v>1</v>
      </c>
      <c r="O14" s="219">
        <f>'Elenco Fatture'!$M$7</f>
        <v>100000</v>
      </c>
      <c r="P14" s="198">
        <f>'Elenco Fatture'!$M$7*'Net Sales &amp; Bonus Q1+Q2'!$J$14</f>
        <v>100000</v>
      </c>
      <c r="Q14" s="222">
        <f t="shared" si="1"/>
        <v>1</v>
      </c>
    </row>
    <row r="15" spans="2:24">
      <c r="B15" s="89" t="s">
        <v>233</v>
      </c>
      <c r="C15" s="125">
        <v>160000</v>
      </c>
      <c r="D15" s="125"/>
      <c r="E15" s="125"/>
      <c r="F15" s="125"/>
      <c r="G15" s="125"/>
      <c r="H15" s="125"/>
      <c r="I15" s="125">
        <f t="shared" si="2"/>
        <v>160000</v>
      </c>
      <c r="J15" s="202">
        <f t="shared" si="5"/>
        <v>1</v>
      </c>
      <c r="K15" s="191" t="s">
        <v>111</v>
      </c>
      <c r="L15" s="219">
        <f>SUM('Elenco Fatture'!F8,'Elenco Fatture'!F25)</f>
        <v>80000</v>
      </c>
      <c r="M15" s="198">
        <f>SUM('Elenco Fatture'!F8,'Elenco Fatture'!F25)*'Net Sales &amp; Bonus Q1+Q2'!$J$15</f>
        <v>80000</v>
      </c>
      <c r="N15" s="223">
        <f t="shared" si="0"/>
        <v>1</v>
      </c>
      <c r="O15" s="219">
        <f>SUM('Elenco Fatture'!$M$8,'Elenco Fatture'!$M$25)</f>
        <v>40000</v>
      </c>
      <c r="P15" s="198">
        <f>SUM('Elenco Fatture'!$M$8,'Elenco Fatture'!$M$25)*'Net Sales &amp; Bonus Q1+Q2'!$J$15</f>
        <v>40000</v>
      </c>
      <c r="Q15" s="222">
        <f t="shared" si="1"/>
        <v>1</v>
      </c>
    </row>
    <row r="16" spans="2:24">
      <c r="B16" s="89" t="s">
        <v>234</v>
      </c>
      <c r="C16" s="125">
        <f>(33750*4)+45000</f>
        <v>180000</v>
      </c>
      <c r="D16" s="125"/>
      <c r="E16" s="125"/>
      <c r="F16" s="125"/>
      <c r="G16" s="125">
        <v>340</v>
      </c>
      <c r="H16" s="125"/>
      <c r="I16" s="125">
        <f t="shared" si="2"/>
        <v>179660</v>
      </c>
      <c r="J16" s="202">
        <f t="shared" si="5"/>
        <v>0.99811111111111106</v>
      </c>
      <c r="K16" s="191" t="s">
        <v>114</v>
      </c>
      <c r="L16" s="219">
        <f>SUM('Elenco Fatture'!F9:F10,'Elenco Fatture'!F26)</f>
        <v>112500</v>
      </c>
      <c r="M16" s="198">
        <f>SUM('Elenco Fatture'!F9:F10,'Elenco Fatture'!F26)*'Net Sales &amp; Bonus Q1+Q2'!$J$16</f>
        <v>112287.5</v>
      </c>
      <c r="N16" s="223">
        <f t="shared" si="0"/>
        <v>0.99811111111111106</v>
      </c>
      <c r="O16" s="219">
        <f>SUM('Elenco Fatture'!$M$9:$M$10,'Elenco Fatture'!$M$26)</f>
        <v>78750</v>
      </c>
      <c r="P16" s="198">
        <f>SUM('Elenco Fatture'!$M$9:$M$10,'Elenco Fatture'!$M$26)*'Net Sales &amp; Bonus Q1+Q2'!$J$16</f>
        <v>78601.25</v>
      </c>
      <c r="Q16" s="222">
        <f t="shared" si="1"/>
        <v>0.99811111111111106</v>
      </c>
    </row>
    <row r="17" spans="2:17">
      <c r="B17" s="89" t="s">
        <v>129</v>
      </c>
      <c r="C17" s="125">
        <f>24000*4</f>
        <v>96000</v>
      </c>
      <c r="D17" s="125"/>
      <c r="E17" s="125"/>
      <c r="F17" s="125"/>
      <c r="G17" s="125"/>
      <c r="H17" s="125"/>
      <c r="I17" s="125">
        <f t="shared" si="2"/>
        <v>96000</v>
      </c>
      <c r="J17" s="202">
        <f t="shared" si="5"/>
        <v>1</v>
      </c>
      <c r="K17" s="191" t="s">
        <v>111</v>
      </c>
      <c r="L17" s="219">
        <f>SUM('Elenco Fatture'!F11,'Elenco Fatture'!F27)</f>
        <v>48000</v>
      </c>
      <c r="M17" s="198">
        <f>SUM('Elenco Fatture'!F11,'Elenco Fatture'!F27)*'Net Sales &amp; Bonus Q1+Q2'!$J$17</f>
        <v>48000</v>
      </c>
      <c r="N17" s="223">
        <f t="shared" si="0"/>
        <v>1</v>
      </c>
      <c r="O17" s="219">
        <f>SUM('Elenco Fatture'!$M$11,'Elenco Fatture'!$M$27)</f>
        <v>0</v>
      </c>
      <c r="P17" s="198">
        <f>SUM('Elenco Fatture'!$M$11,'Elenco Fatture'!$M$27)*'Net Sales &amp; Bonus Q1+Q2'!$J$17</f>
        <v>0</v>
      </c>
      <c r="Q17" s="222"/>
    </row>
    <row r="18" spans="2:17">
      <c r="B18" s="89" t="s">
        <v>235</v>
      </c>
      <c r="C18" s="125">
        <v>130000</v>
      </c>
      <c r="D18" s="125"/>
      <c r="E18" s="125"/>
      <c r="F18" s="125"/>
      <c r="G18" s="125"/>
      <c r="H18" s="125"/>
      <c r="I18" s="125">
        <f t="shared" si="2"/>
        <v>130000</v>
      </c>
      <c r="J18" s="202">
        <f t="shared" si="5"/>
        <v>1</v>
      </c>
      <c r="K18" s="191" t="s">
        <v>114</v>
      </c>
      <c r="L18" s="219">
        <f>'Elenco Fatture'!F13</f>
        <v>130000</v>
      </c>
      <c r="M18" s="198">
        <f>'Elenco Fatture'!F13*'Net Sales &amp; Bonus Q1+Q2'!$J$18</f>
        <v>130000</v>
      </c>
      <c r="N18" s="223">
        <f t="shared" si="0"/>
        <v>1</v>
      </c>
      <c r="O18" s="219">
        <f>'Elenco Fatture'!$M$13</f>
        <v>65000</v>
      </c>
      <c r="P18" s="198">
        <f>'Elenco Fatture'!$M$13*'Net Sales &amp; Bonus Q1+Q2'!$J$18</f>
        <v>65000</v>
      </c>
      <c r="Q18" s="222">
        <f t="shared" si="1"/>
        <v>1</v>
      </c>
    </row>
    <row r="19" spans="2:17">
      <c r="B19" s="89" t="s">
        <v>236</v>
      </c>
      <c r="C19" s="125">
        <v>73000</v>
      </c>
      <c r="D19" s="125"/>
      <c r="E19" s="125"/>
      <c r="F19" s="125"/>
      <c r="G19" s="125"/>
      <c r="H19" s="125"/>
      <c r="I19" s="125">
        <f t="shared" si="2"/>
        <v>73000</v>
      </c>
      <c r="J19" s="202">
        <f t="shared" si="5"/>
        <v>1</v>
      </c>
      <c r="K19" s="191" t="s">
        <v>117</v>
      </c>
      <c r="L19" s="219">
        <f>+'Elenco Fatture'!F15+'Elenco Fatture'!F16</f>
        <v>73000</v>
      </c>
      <c r="M19" s="198">
        <f>SUM('Elenco Fatture'!F15:F16)*'Net Sales &amp; Bonus Q1+Q2'!$J$19</f>
        <v>73000</v>
      </c>
      <c r="N19" s="223">
        <f t="shared" si="0"/>
        <v>1</v>
      </c>
      <c r="O19" s="219">
        <f>SUM('Elenco Fatture'!$M$15:$M$16)</f>
        <v>73000</v>
      </c>
      <c r="P19" s="198">
        <f>SUM('Elenco Fatture'!$M$15:$M$16)*'Net Sales &amp; Bonus Q1+Q2'!$J$19</f>
        <v>73000</v>
      </c>
      <c r="Q19" s="222">
        <f t="shared" si="1"/>
        <v>1</v>
      </c>
    </row>
    <row r="20" spans="2:17">
      <c r="B20" s="89" t="s">
        <v>237</v>
      </c>
      <c r="C20" s="125">
        <v>205000</v>
      </c>
      <c r="D20" s="125"/>
      <c r="E20" s="125"/>
      <c r="F20" s="125"/>
      <c r="G20" s="125"/>
      <c r="H20" s="125">
        <f>C20*0.15</f>
        <v>30750</v>
      </c>
      <c r="I20" s="125">
        <f t="shared" si="2"/>
        <v>174250</v>
      </c>
      <c r="J20" s="202">
        <f t="shared" si="5"/>
        <v>0.85</v>
      </c>
      <c r="K20" s="191" t="s">
        <v>111</v>
      </c>
      <c r="L20" s="219">
        <f>'Elenco Fatture'!F17</f>
        <v>205000</v>
      </c>
      <c r="M20" s="198">
        <f>'Elenco Fatture'!F17*'Net Sales &amp; Bonus Q1+Q2'!$J$20</f>
        <v>174250</v>
      </c>
      <c r="N20" s="223">
        <f t="shared" si="0"/>
        <v>0.85</v>
      </c>
      <c r="O20" s="219">
        <f>'Elenco Fatture'!$M$17</f>
        <v>153750</v>
      </c>
      <c r="P20" s="198">
        <f>'Elenco Fatture'!$M$17*'Net Sales &amp; Bonus Q1+Q2'!$J$20</f>
        <v>130687.5</v>
      </c>
      <c r="Q20" s="222">
        <f t="shared" si="1"/>
        <v>0.85</v>
      </c>
    </row>
    <row r="21" spans="2:17">
      <c r="B21" s="89" t="s">
        <v>238</v>
      </c>
      <c r="C21" s="125">
        <v>428000</v>
      </c>
      <c r="D21" s="125"/>
      <c r="E21" s="125"/>
      <c r="F21" s="125"/>
      <c r="G21" s="125"/>
      <c r="H21" s="125"/>
      <c r="I21" s="125">
        <f t="shared" si="2"/>
        <v>428000</v>
      </c>
      <c r="J21" s="202">
        <f t="shared" si="5"/>
        <v>1</v>
      </c>
      <c r="K21" s="191" t="s">
        <v>114</v>
      </c>
      <c r="L21" s="219">
        <f>'Elenco Fatture'!F20</f>
        <v>428000</v>
      </c>
      <c r="M21" s="198">
        <f>'Elenco Fatture'!F20*'Net Sales &amp; Bonus Q1+Q2'!$J$21</f>
        <v>428000</v>
      </c>
      <c r="N21" s="223">
        <f t="shared" si="0"/>
        <v>1</v>
      </c>
      <c r="O21" s="219">
        <f>'Elenco Fatture'!$M$20</f>
        <v>428000</v>
      </c>
      <c r="P21" s="198">
        <f>'Elenco Fatture'!$M$20*'Net Sales &amp; Bonus Q1+Q2'!$J$21</f>
        <v>428000</v>
      </c>
      <c r="Q21" s="222">
        <f t="shared" si="1"/>
        <v>1</v>
      </c>
    </row>
    <row r="22" spans="2:17">
      <c r="B22" s="89" t="s">
        <v>239</v>
      </c>
      <c r="C22" s="125">
        <v>38000</v>
      </c>
      <c r="D22" s="125"/>
      <c r="E22" s="125"/>
      <c r="F22" s="125"/>
      <c r="G22" s="125"/>
      <c r="H22" s="125"/>
      <c r="I22" s="125">
        <f t="shared" si="2"/>
        <v>38000</v>
      </c>
      <c r="J22" s="202">
        <f t="shared" si="5"/>
        <v>1</v>
      </c>
      <c r="K22" s="191" t="s">
        <v>111</v>
      </c>
      <c r="L22" s="219">
        <f>'Elenco Fatture'!F21</f>
        <v>38000</v>
      </c>
      <c r="M22" s="198">
        <f>'Elenco Fatture'!F21*'Net Sales &amp; Bonus Q1+Q2'!$J$22</f>
        <v>38000</v>
      </c>
      <c r="N22" s="223">
        <f t="shared" si="0"/>
        <v>1</v>
      </c>
      <c r="O22" s="219">
        <f>'Elenco Fatture'!$M$21</f>
        <v>38000</v>
      </c>
      <c r="P22" s="198">
        <f>'Elenco Fatture'!$M$21*'Net Sales &amp; Bonus Q1+Q2'!$J$22</f>
        <v>38000</v>
      </c>
      <c r="Q22" s="222">
        <f t="shared" si="1"/>
        <v>1</v>
      </c>
    </row>
    <row r="23" spans="2:17">
      <c r="B23" s="89" t="s">
        <v>240</v>
      </c>
      <c r="C23" s="125">
        <v>149000</v>
      </c>
      <c r="D23" s="125"/>
      <c r="E23" s="125"/>
      <c r="F23" s="125"/>
      <c r="G23" s="125"/>
      <c r="H23" s="125"/>
      <c r="I23" s="125">
        <f t="shared" si="2"/>
        <v>149000</v>
      </c>
      <c r="J23" s="202">
        <f t="shared" si="5"/>
        <v>1</v>
      </c>
      <c r="K23" s="191" t="s">
        <v>117</v>
      </c>
      <c r="L23" s="219">
        <f>'Elenco Fatture'!F28</f>
        <v>149000</v>
      </c>
      <c r="M23" s="198">
        <f>'Elenco Fatture'!F28*'Net Sales &amp; Bonus Q1+Q2'!$J$23</f>
        <v>149000</v>
      </c>
      <c r="N23" s="223">
        <f t="shared" si="0"/>
        <v>1</v>
      </c>
      <c r="O23" s="219">
        <f>'Elenco Fatture'!$M$28</f>
        <v>149000</v>
      </c>
      <c r="P23" s="198">
        <f>'Elenco Fatture'!$M$28*'Net Sales &amp; Bonus Q1+Q2'!$J$23</f>
        <v>149000</v>
      </c>
      <c r="Q23" s="222">
        <f t="shared" si="1"/>
        <v>1</v>
      </c>
    </row>
    <row r="24" spans="2:17">
      <c r="B24" s="187" t="s">
        <v>241</v>
      </c>
      <c r="C24" s="212">
        <v>50000</v>
      </c>
      <c r="D24" s="212"/>
      <c r="E24" s="212"/>
      <c r="F24" s="212"/>
      <c r="G24" s="212"/>
      <c r="H24" s="212"/>
      <c r="I24" s="212">
        <f t="shared" si="2"/>
        <v>50000</v>
      </c>
      <c r="J24" s="203">
        <f t="shared" si="5"/>
        <v>1</v>
      </c>
      <c r="K24" s="192" t="s">
        <v>111</v>
      </c>
      <c r="L24" s="94">
        <f>'Elenco Fatture'!F29</f>
        <v>50000</v>
      </c>
      <c r="M24" s="199">
        <f>'Elenco Fatture'!F29*'Net Sales &amp; Bonus Q1+Q2'!$J$24</f>
        <v>50000</v>
      </c>
      <c r="N24" s="225">
        <f t="shared" si="0"/>
        <v>1</v>
      </c>
      <c r="O24" s="94">
        <f>'Elenco Fatture'!$M$29</f>
        <v>0</v>
      </c>
      <c r="P24" s="199">
        <f>'Elenco Fatture'!$M$29*'Net Sales &amp; Bonus Q1+Q2'!$J$24</f>
        <v>0</v>
      </c>
      <c r="Q24" s="222" t="e">
        <f t="shared" si="1"/>
        <v>#DIV/0!</v>
      </c>
    </row>
    <row r="25" spans="2:17">
      <c r="B25" s="137" t="s">
        <v>145</v>
      </c>
      <c r="C25" s="205">
        <f>SUM(C4:C24)</f>
        <v>4808440.0615294091</v>
      </c>
      <c r="D25" s="205">
        <f t="shared" ref="D25:H25" si="6">SUM(D4:D24)</f>
        <v>12500</v>
      </c>
      <c r="E25" s="205">
        <f t="shared" si="6"/>
        <v>41000</v>
      </c>
      <c r="F25" s="205">
        <f t="shared" si="6"/>
        <v>450037.63542923494</v>
      </c>
      <c r="G25" s="205">
        <f t="shared" si="6"/>
        <v>1550</v>
      </c>
      <c r="H25" s="205">
        <f t="shared" si="6"/>
        <v>30750</v>
      </c>
      <c r="I25" s="205">
        <f>SUM(I4:I24)</f>
        <v>4272602.4261001749</v>
      </c>
      <c r="J25" s="201"/>
      <c r="K25" s="193"/>
      <c r="L25" s="138">
        <f>SUM(L4:L24)</f>
        <v>3885863.0473430753</v>
      </c>
      <c r="M25" s="138">
        <f>SUM(M4:M24)</f>
        <v>3428544.9878773279</v>
      </c>
      <c r="N25" s="138"/>
      <c r="O25" s="138">
        <f t="shared" ref="O25:P25" si="7">SUM(O4:O24)</f>
        <v>2110668</v>
      </c>
      <c r="P25" s="138">
        <f t="shared" si="7"/>
        <v>1968096.8308487693</v>
      </c>
      <c r="Q25" s="181"/>
    </row>
    <row r="26" spans="2:17">
      <c r="B26" s="137" t="s">
        <v>242</v>
      </c>
      <c r="C26" s="213"/>
      <c r="D26" s="214"/>
      <c r="E26" s="214"/>
      <c r="F26" s="215"/>
      <c r="G26" s="214"/>
      <c r="H26" s="214"/>
      <c r="I26" s="227">
        <f>I25/C25</f>
        <v>0.88856310392297966</v>
      </c>
      <c r="J26" s="188"/>
      <c r="K26" s="193"/>
      <c r="L26" s="193"/>
      <c r="M26" s="226">
        <f>M25/L25</f>
        <v>0.88231235792562623</v>
      </c>
      <c r="N26" s="220"/>
      <c r="O26" s="221"/>
      <c r="P26" s="228">
        <f>P25/O25</f>
        <v>0.93245211035026321</v>
      </c>
      <c r="Q26" s="207"/>
    </row>
    <row r="27" spans="2:17">
      <c r="M27" s="204"/>
      <c r="N27" s="204"/>
      <c r="O27" s="204"/>
    </row>
    <row r="28" spans="2:17">
      <c r="M28" s="204"/>
      <c r="N28" s="204"/>
      <c r="O28" s="204"/>
    </row>
    <row r="29" spans="2:17">
      <c r="M29" s="204"/>
      <c r="N29" s="204"/>
      <c r="O29" s="204"/>
    </row>
    <row r="30" spans="2:17">
      <c r="M30" s="204"/>
      <c r="N30" s="204"/>
      <c r="O30" s="204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L18:M18 M16 M19 M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J40"/>
  <sheetViews>
    <sheetView workbookViewId="0">
      <selection activeCell="C4" sqref="C4"/>
    </sheetView>
  </sheetViews>
  <sheetFormatPr defaultColWidth="8.85546875" defaultRowHeight="15"/>
  <cols>
    <col min="1" max="1" width="8.85546875" style="48"/>
    <col min="2" max="2" width="58.7109375" style="48" bestFit="1" customWidth="1"/>
    <col min="3" max="4" width="18.5703125" style="48" customWidth="1"/>
    <col min="5" max="5" width="18.28515625" style="48" bestFit="1" customWidth="1"/>
    <col min="6" max="6" width="12" style="48" bestFit="1" customWidth="1"/>
    <col min="7" max="7" width="10.85546875" style="48" bestFit="1" customWidth="1"/>
    <col min="8" max="8" width="17.7109375" style="48" bestFit="1" customWidth="1"/>
    <col min="9" max="10" width="12.7109375" style="48" bestFit="1" customWidth="1"/>
    <col min="11" max="16384" width="8.85546875" style="48"/>
  </cols>
  <sheetData>
    <row r="2" spans="1:9">
      <c r="B2" s="49"/>
      <c r="C2" s="50" t="s">
        <v>76</v>
      </c>
      <c r="D2" s="51" t="s">
        <v>77</v>
      </c>
      <c r="E2" s="51" t="s">
        <v>78</v>
      </c>
      <c r="F2" s="51" t="s">
        <v>79</v>
      </c>
      <c r="G2" s="52"/>
    </row>
    <row r="3" spans="1:9">
      <c r="B3" s="48" t="s">
        <v>89</v>
      </c>
      <c r="C3" s="54">
        <f>+SUM(D3:F3)</f>
        <v>5128514.4815818667</v>
      </c>
      <c r="D3" s="55">
        <f>+'Elenco Fatture'!R75</f>
        <v>1227706.3333333335</v>
      </c>
      <c r="E3" s="55">
        <f>SUM('Elenco Fatture'!Q75,'Elenco Fatture'!S75,'Elenco Fatture'!T75,'Elenco Fatture'!U75,'Elenco Fatture'!V75)</f>
        <v>3893081.1482485328</v>
      </c>
      <c r="F3" s="56">
        <f>+'Elenco Fatture'!P75</f>
        <v>7727</v>
      </c>
      <c r="G3" s="55"/>
      <c r="H3" s="57"/>
      <c r="I3" s="56"/>
    </row>
    <row r="4" spans="1:9">
      <c r="A4" s="48" t="s">
        <v>80</v>
      </c>
      <c r="B4" s="48" t="s">
        <v>90</v>
      </c>
      <c r="C4" s="54">
        <f>+SUM(D4:F4)</f>
        <v>-2004165.099025005</v>
      </c>
      <c r="D4" s="55">
        <v>0</v>
      </c>
      <c r="E4" s="55">
        <f>-SUM('Elenco Fatture'!T75:V75)</f>
        <v>-2004165.099025005</v>
      </c>
      <c r="F4" s="55">
        <v>0</v>
      </c>
      <c r="G4" s="56"/>
      <c r="I4" s="56"/>
    </row>
    <row r="5" spans="1:9">
      <c r="A5" s="48" t="s">
        <v>80</v>
      </c>
      <c r="B5" s="48" t="s">
        <v>91</v>
      </c>
      <c r="C5" s="54">
        <f>+SUM(D5:F5)</f>
        <v>1600699.0785926124</v>
      </c>
      <c r="D5" s="55">
        <v>0</v>
      </c>
      <c r="E5" s="55">
        <f>'Elenco Fatture'!H129</f>
        <v>1600699.0785926124</v>
      </c>
      <c r="F5" s="56">
        <v>0</v>
      </c>
      <c r="G5" s="56"/>
      <c r="I5" s="56"/>
    </row>
    <row r="6" spans="1:9">
      <c r="A6" s="48" t="s">
        <v>80</v>
      </c>
      <c r="B6" s="53" t="s">
        <v>81</v>
      </c>
      <c r="C6" s="54">
        <f>+SUM(D6:F6)</f>
        <v>0</v>
      </c>
      <c r="D6" s="56">
        <v>0</v>
      </c>
      <c r="E6" s="56">
        <v>0</v>
      </c>
      <c r="F6" s="56">
        <f>-'Elenco Fatture'!Q78</f>
        <v>0</v>
      </c>
      <c r="G6" s="56"/>
      <c r="I6" s="56"/>
    </row>
    <row r="7" spans="1:9">
      <c r="B7" s="49" t="s">
        <v>82</v>
      </c>
      <c r="C7" s="58">
        <f>+SUM(C3:C6)</f>
        <v>4725048.4611494746</v>
      </c>
      <c r="D7" s="55"/>
      <c r="E7" s="55"/>
      <c r="F7" s="55"/>
      <c r="G7" s="56"/>
      <c r="I7" s="56"/>
    </row>
    <row r="8" spans="1:9">
      <c r="C8" s="73"/>
      <c r="D8" s="56"/>
      <c r="E8" s="56"/>
      <c r="F8" s="56"/>
      <c r="G8" s="56"/>
      <c r="I8" s="56"/>
    </row>
    <row r="9" spans="1:9">
      <c r="B9" s="48" t="s">
        <v>92</v>
      </c>
      <c r="C9" s="54">
        <f>+SUM(D9:F9)</f>
        <v>0</v>
      </c>
      <c r="D9" s="56">
        <v>0</v>
      </c>
      <c r="E9" s="55"/>
      <c r="F9" s="59"/>
      <c r="I9" s="56"/>
    </row>
    <row r="10" spans="1:9">
      <c r="B10" s="48" t="s">
        <v>93</v>
      </c>
      <c r="C10" s="54">
        <f>+SUM(D10:F10)</f>
        <v>0</v>
      </c>
      <c r="E10" s="55"/>
      <c r="F10" s="59"/>
      <c r="I10" s="56"/>
    </row>
    <row r="11" spans="1:9">
      <c r="B11" s="49" t="s">
        <v>82</v>
      </c>
      <c r="C11" s="58">
        <f>SUM(C7:C10)</f>
        <v>4725048.4611494746</v>
      </c>
      <c r="F11" s="59"/>
      <c r="I11" s="56"/>
    </row>
    <row r="12" spans="1:9">
      <c r="B12" s="49"/>
      <c r="C12" s="58"/>
      <c r="F12" s="59"/>
      <c r="I12" s="56"/>
    </row>
    <row r="13" spans="1:9">
      <c r="B13" s="53" t="s">
        <v>83</v>
      </c>
      <c r="C13" s="54">
        <f t="shared" ref="C13:C14" si="0">+SUM(D13:F13)</f>
        <v>0</v>
      </c>
      <c r="D13" s="56"/>
      <c r="E13" s="55"/>
      <c r="F13" s="59"/>
      <c r="I13" s="56"/>
    </row>
    <row r="14" spans="1:9">
      <c r="B14" s="48" t="s">
        <v>84</v>
      </c>
      <c r="C14" s="54">
        <f t="shared" si="0"/>
        <v>0</v>
      </c>
      <c r="D14" s="56"/>
      <c r="F14" s="59"/>
      <c r="I14" s="56"/>
    </row>
    <row r="15" spans="1:9">
      <c r="B15" s="49" t="s">
        <v>82</v>
      </c>
      <c r="C15" s="58">
        <f>+C11+C13+C14</f>
        <v>4725048.4611494746</v>
      </c>
      <c r="F15" s="59"/>
      <c r="I15" s="56"/>
    </row>
    <row r="16" spans="1:9">
      <c r="C16" s="73"/>
      <c r="F16" s="59"/>
      <c r="I16" s="56"/>
    </row>
    <row r="17" spans="2:10">
      <c r="B17" s="59"/>
      <c r="C17" s="60"/>
      <c r="D17" s="60"/>
      <c r="E17" s="60"/>
      <c r="F17" s="59"/>
      <c r="I17" s="56"/>
    </row>
    <row r="18" spans="2:10">
      <c r="B18" s="59"/>
      <c r="C18" s="60"/>
      <c r="D18" s="61"/>
      <c r="E18" s="59"/>
      <c r="F18" s="59"/>
      <c r="I18" s="56"/>
    </row>
    <row r="19" spans="2:10">
      <c r="B19" s="59"/>
      <c r="C19" s="60"/>
      <c r="D19" s="61"/>
      <c r="E19" s="61"/>
      <c r="F19" s="61"/>
      <c r="G19" s="57"/>
    </row>
    <row r="20" spans="2:10">
      <c r="B20" s="59"/>
      <c r="C20" s="60"/>
      <c r="D20" s="61"/>
      <c r="E20" s="61"/>
      <c r="F20" s="59"/>
    </row>
    <row r="21" spans="2:10">
      <c r="B21" s="59"/>
      <c r="C21" s="62"/>
      <c r="D21" s="61"/>
      <c r="E21" s="61"/>
    </row>
    <row r="22" spans="2:10">
      <c r="B22" s="59"/>
      <c r="C22" s="60"/>
      <c r="D22" s="60"/>
      <c r="E22" s="60"/>
    </row>
    <row r="23" spans="2:10">
      <c r="C23" s="56"/>
      <c r="E23" s="57"/>
    </row>
    <row r="24" spans="2:10">
      <c r="C24" s="63"/>
    </row>
    <row r="25" spans="2:10">
      <c r="B25" s="49" t="s">
        <v>94</v>
      </c>
    </row>
    <row r="26" spans="2:10" ht="15.75">
      <c r="B26" s="64" t="s">
        <v>95</v>
      </c>
      <c r="C26" s="65">
        <f>+D3</f>
        <v>1227706.3333333335</v>
      </c>
      <c r="E26" s="60">
        <f>+C26-D26</f>
        <v>1227706.3333333335</v>
      </c>
    </row>
    <row r="27" spans="2:10" ht="15.75">
      <c r="B27" s="64" t="s">
        <v>96</v>
      </c>
      <c r="C27" s="65">
        <f>+E3+E4</f>
        <v>1888916.0492235278</v>
      </c>
      <c r="E27" s="60">
        <f t="shared" ref="E27:E31" si="1">+C27-D27</f>
        <v>1888916.0492235278</v>
      </c>
    </row>
    <row r="28" spans="2:10" hidden="1">
      <c r="I28" s="56"/>
      <c r="J28" s="56"/>
    </row>
    <row r="29" spans="2:10" ht="15.75">
      <c r="B29" s="64" t="s">
        <v>97</v>
      </c>
      <c r="C29" s="65">
        <f>+C5</f>
        <v>1600699.0785926124</v>
      </c>
      <c r="E29" s="60"/>
    </row>
    <row r="30" spans="2:10" ht="15.75" hidden="1">
      <c r="B30" s="64" t="s">
        <v>85</v>
      </c>
      <c r="C30" s="66"/>
      <c r="E30" s="60">
        <f t="shared" si="1"/>
        <v>0</v>
      </c>
    </row>
    <row r="31" spans="2:10" ht="15.75">
      <c r="B31" s="67" t="s">
        <v>76</v>
      </c>
      <c r="C31" s="68">
        <f>+SUM(C26:C30)</f>
        <v>4717321.4611494737</v>
      </c>
      <c r="E31" s="60">
        <f t="shared" si="1"/>
        <v>4717321.4611494737</v>
      </c>
    </row>
    <row r="32" spans="2:10" ht="15.75">
      <c r="B32" s="64" t="s">
        <v>86</v>
      </c>
      <c r="C32" s="65">
        <f>+C9</f>
        <v>0</v>
      </c>
      <c r="E32" s="60">
        <f>+C32-D28</f>
        <v>0</v>
      </c>
    </row>
    <row r="33" spans="2:4" ht="15.75" hidden="1">
      <c r="B33" s="64" t="s">
        <v>87</v>
      </c>
      <c r="C33" s="65">
        <f>+C13</f>
        <v>0</v>
      </c>
    </row>
    <row r="34" spans="2:4" ht="15.75">
      <c r="B34" s="64" t="s">
        <v>88</v>
      </c>
      <c r="C34" s="65">
        <f>+C14</f>
        <v>0</v>
      </c>
    </row>
    <row r="35" spans="2:4" ht="15.75">
      <c r="B35" s="67" t="s">
        <v>76</v>
      </c>
      <c r="C35" s="68">
        <f>+C31+C32+C33+C34</f>
        <v>4717321.4611494737</v>
      </c>
      <c r="D35" s="69">
        <f>SUM(D33:D34)</f>
        <v>0</v>
      </c>
    </row>
    <row r="36" spans="2:4">
      <c r="B36" s="70"/>
    </row>
    <row r="38" spans="2:4">
      <c r="B38" s="71"/>
    </row>
    <row r="39" spans="2:4">
      <c r="B39" s="71"/>
    </row>
    <row r="40" spans="2:4">
      <c r="B40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Elenco Fatture</vt:lpstr>
      <vt:lpstr>Recap Sales</vt:lpstr>
      <vt:lpstr>Net Sales &amp; Bonus Q1+Q2</vt:lpstr>
      <vt:lpstr>Prospetto Ricavi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2015-07-02T13:13:35Z</cp:lastPrinted>
  <dcterms:created xsi:type="dcterms:W3CDTF">2015-01-08T16:48:58Z</dcterms:created>
  <dcterms:modified xsi:type="dcterms:W3CDTF">2015-07-03T15:25:36Z</dcterms:modified>
</cp:coreProperties>
</file>