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615" windowHeight="11760"/>
  </bookViews>
  <sheets>
    <sheet name="Elenco Fatture" sheetId="1" r:id="rId1"/>
    <sheet name="Prospetto ricavi" sheetId="3" r:id="rId2"/>
    <sheet name="ita CC check" sheetId="2" r:id="rId3"/>
  </sheets>
  <definedNames>
    <definedName name="_xlnm._FilterDatabase" localSheetId="0" hidden="1">'Elenco Fatture'!$1:$92</definedName>
  </definedNames>
  <calcPr calcId="125725"/>
</workbook>
</file>

<file path=xl/calcChain.xml><?xml version="1.0" encoding="utf-8"?>
<calcChain xmlns="http://schemas.openxmlformats.org/spreadsheetml/2006/main">
  <c r="R62" i="1"/>
  <c r="S62"/>
  <c r="X62" s="1"/>
  <c r="R61"/>
  <c r="W61" s="1"/>
  <c r="S61"/>
  <c r="T61"/>
  <c r="T75" s="1"/>
  <c r="X60"/>
  <c r="X59"/>
  <c r="X57"/>
  <c r="P56"/>
  <c r="W56" s="1"/>
  <c r="O55"/>
  <c r="X55" s="1"/>
  <c r="Q54"/>
  <c r="W54" s="1"/>
  <c r="X33"/>
  <c r="Q53"/>
  <c r="W53" s="1"/>
  <c r="X52"/>
  <c r="Q51"/>
  <c r="W51" s="1"/>
  <c r="Q49"/>
  <c r="W49" s="1"/>
  <c r="X31"/>
  <c r="X48"/>
  <c r="G47"/>
  <c r="G46"/>
  <c r="R45"/>
  <c r="S45"/>
  <c r="Q44"/>
  <c r="X44" s="1"/>
  <c r="X28"/>
  <c r="P43"/>
  <c r="W43" s="1"/>
  <c r="R40"/>
  <c r="W40" s="1"/>
  <c r="R39"/>
  <c r="X58"/>
  <c r="G38"/>
  <c r="R38" s="1"/>
  <c r="G37"/>
  <c r="Q37" s="1"/>
  <c r="W37" s="1"/>
  <c r="X27"/>
  <c r="G36"/>
  <c r="X36" s="1"/>
  <c r="X35"/>
  <c r="R32"/>
  <c r="X32" s="1"/>
  <c r="S32"/>
  <c r="Q30"/>
  <c r="X30" s="1"/>
  <c r="X26"/>
  <c r="X25"/>
  <c r="X24"/>
  <c r="Q23"/>
  <c r="W23" s="1"/>
  <c r="O22"/>
  <c r="X22" s="1"/>
  <c r="R21"/>
  <c r="O21" s="1"/>
  <c r="X21" s="1"/>
  <c r="S21"/>
  <c r="O20"/>
  <c r="X20" s="1"/>
  <c r="X42"/>
  <c r="O19"/>
  <c r="O18"/>
  <c r="X18" s="1"/>
  <c r="X54"/>
  <c r="O17"/>
  <c r="X17" s="1"/>
  <c r="X41"/>
  <c r="O16"/>
  <c r="X16" s="1"/>
  <c r="R15"/>
  <c r="X15" s="1"/>
  <c r="P14"/>
  <c r="W14"/>
  <c r="O13"/>
  <c r="X13" s="1"/>
  <c r="R12"/>
  <c r="W12"/>
  <c r="O11"/>
  <c r="X11" s="1"/>
  <c r="O10"/>
  <c r="X10" s="1"/>
  <c r="O9"/>
  <c r="X9" s="1"/>
  <c r="O8"/>
  <c r="X8" s="1"/>
  <c r="S7"/>
  <c r="O7" s="1"/>
  <c r="X7" s="1"/>
  <c r="O6"/>
  <c r="X6" s="1"/>
  <c r="O5"/>
  <c r="R3"/>
  <c r="W3"/>
  <c r="O2"/>
  <c r="Q64"/>
  <c r="X64" s="1"/>
  <c r="G74"/>
  <c r="X74" s="1"/>
  <c r="Q73"/>
  <c r="X73" s="1"/>
  <c r="X72"/>
  <c r="X71"/>
  <c r="G70"/>
  <c r="Q70" s="1"/>
  <c r="W70" s="1"/>
  <c r="G69"/>
  <c r="Q69" s="1"/>
  <c r="W69" s="1"/>
  <c r="S68"/>
  <c r="S67"/>
  <c r="X67" s="1"/>
  <c r="G66"/>
  <c r="S66"/>
  <c r="X66"/>
  <c r="W29"/>
  <c r="W59"/>
  <c r="W67"/>
  <c r="W27"/>
  <c r="W72"/>
  <c r="W48"/>
  <c r="W5"/>
  <c r="W74"/>
  <c r="W2"/>
  <c r="W55"/>
  <c r="W57"/>
  <c r="W71"/>
  <c r="W41"/>
  <c r="W28"/>
  <c r="W31"/>
  <c r="W68"/>
  <c r="W6"/>
  <c r="W17"/>
  <c r="W20"/>
  <c r="W33"/>
  <c r="W42"/>
  <c r="W10"/>
  <c r="W22"/>
  <c r="W34"/>
  <c r="W52"/>
  <c r="W13"/>
  <c r="W65"/>
  <c r="W18"/>
  <c r="W19"/>
  <c r="W25"/>
  <c r="W26"/>
  <c r="W60"/>
  <c r="W50"/>
  <c r="W11"/>
  <c r="W36"/>
  <c r="W24"/>
  <c r="W8"/>
  <c r="W35"/>
  <c r="W58"/>
  <c r="W16"/>
  <c r="E5" i="3"/>
  <c r="G122" i="1"/>
  <c r="H121"/>
  <c r="C9" i="3"/>
  <c r="C32"/>
  <c r="E32"/>
  <c r="W66" i="1"/>
  <c r="C14" i="3"/>
  <c r="C34"/>
  <c r="U75" i="1"/>
  <c r="V75"/>
  <c r="C34"/>
  <c r="G63"/>
  <c r="Q63" s="1"/>
  <c r="W63" s="1"/>
  <c r="C13" i="3"/>
  <c r="C33"/>
  <c r="D35"/>
  <c r="W79" i="1"/>
  <c r="W80"/>
  <c r="W44"/>
  <c r="E30" i="3"/>
  <c r="C10"/>
  <c r="X65" i="1"/>
  <c r="W4"/>
  <c r="I30"/>
  <c r="I23"/>
  <c r="K1" i="2"/>
  <c r="J7"/>
  <c r="E7"/>
  <c r="E8"/>
  <c r="I8"/>
  <c r="E6"/>
  <c r="G6"/>
  <c r="E5"/>
  <c r="G5"/>
  <c r="E4"/>
  <c r="G4"/>
  <c r="E3"/>
  <c r="G3"/>
  <c r="R7" i="1"/>
  <c r="W76"/>
  <c r="W9"/>
  <c r="I14"/>
  <c r="I11"/>
  <c r="I4"/>
  <c r="D9" i="2"/>
  <c r="J8"/>
  <c r="G7"/>
  <c r="I7"/>
  <c r="H8"/>
  <c r="C5" i="3"/>
  <c r="C29"/>
  <c r="E75" i="1"/>
  <c r="F75"/>
  <c r="I121"/>
  <c r="J9" i="2"/>
  <c r="G8"/>
  <c r="G9"/>
  <c r="H7"/>
  <c r="H9"/>
  <c r="I9"/>
  <c r="W78" i="1"/>
  <c r="O4"/>
  <c r="X4" s="1"/>
  <c r="E9" i="2"/>
  <c r="W7" i="1"/>
  <c r="W77"/>
  <c r="O3"/>
  <c r="X3" s="1"/>
  <c r="X19"/>
  <c r="X53"/>
  <c r="X5"/>
  <c r="X50"/>
  <c r="O14"/>
  <c r="X14" s="1"/>
  <c r="X29"/>
  <c r="O12"/>
  <c r="X12" s="1"/>
  <c r="X39"/>
  <c r="W39"/>
  <c r="X34"/>
  <c r="X68"/>
  <c r="Q46"/>
  <c r="W46"/>
  <c r="W64"/>
  <c r="E81"/>
  <c r="E82" s="1"/>
  <c r="W62"/>
  <c r="W73"/>
  <c r="X46"/>
  <c r="W21" l="1"/>
  <c r="W30"/>
  <c r="X56"/>
  <c r="X45"/>
  <c r="X43"/>
  <c r="P75"/>
  <c r="X70"/>
  <c r="S38"/>
  <c r="H81"/>
  <c r="H82" s="1"/>
  <c r="X51"/>
  <c r="W38"/>
  <c r="X38"/>
  <c r="G81"/>
  <c r="G82" s="1"/>
  <c r="R75"/>
  <c r="S75"/>
  <c r="E4" i="3" s="1"/>
  <c r="C4" s="1"/>
  <c r="X61" i="1"/>
  <c r="E83"/>
  <c r="X37"/>
  <c r="X69"/>
  <c r="X40"/>
  <c r="G75"/>
  <c r="F77" s="1"/>
  <c r="W32"/>
  <c r="F81"/>
  <c r="F82" s="1"/>
  <c r="X2"/>
  <c r="W15"/>
  <c r="H83" s="1"/>
  <c r="O23"/>
  <c r="X23" s="1"/>
  <c r="Q47"/>
  <c r="W47" s="1"/>
  <c r="X49"/>
  <c r="W45"/>
  <c r="F83"/>
  <c r="G83" l="1"/>
  <c r="G84" s="1"/>
  <c r="X47"/>
  <c r="E3" i="3"/>
  <c r="C27" s="1"/>
  <c r="E27" s="1"/>
  <c r="W75" i="1"/>
  <c r="E84"/>
  <c r="Q75"/>
  <c r="O75"/>
  <c r="F84"/>
  <c r="G85"/>
  <c r="F85"/>
  <c r="H84"/>
  <c r="F86" l="1"/>
  <c r="F3" i="3"/>
  <c r="F6"/>
  <c r="C6" s="1"/>
  <c r="H124" i="1"/>
  <c r="D3" i="3"/>
  <c r="G86" i="1"/>
  <c r="E85"/>
  <c r="H85"/>
  <c r="F88" l="1"/>
  <c r="F90" s="1"/>
  <c r="F91" s="1"/>
  <c r="F92" s="1"/>
  <c r="F87"/>
  <c r="E86"/>
  <c r="C3" i="3"/>
  <c r="C7" s="1"/>
  <c r="C11" s="1"/>
  <c r="C15" s="1"/>
  <c r="C18" s="1"/>
  <c r="C26"/>
  <c r="G87" i="1"/>
  <c r="F89"/>
  <c r="H86"/>
  <c r="G88" l="1"/>
  <c r="E87"/>
  <c r="E88" s="1"/>
  <c r="E89" s="1"/>
  <c r="E26" i="3"/>
  <c r="C31"/>
  <c r="H87" i="1"/>
  <c r="H88" s="1"/>
  <c r="H89" s="1"/>
  <c r="H90" s="1"/>
  <c r="H91" s="1"/>
  <c r="H92" s="1"/>
  <c r="H94" s="1"/>
  <c r="E90" l="1"/>
  <c r="E91" s="1"/>
  <c r="E92" s="1"/>
  <c r="C35" i="3"/>
  <c r="E31"/>
  <c r="G89" i="1"/>
  <c r="G90" s="1"/>
  <c r="G91" s="1"/>
  <c r="G92" s="1"/>
  <c r="G94" s="1"/>
</calcChain>
</file>

<file path=xl/comments1.xml><?xml version="1.0" encoding="utf-8"?>
<comments xmlns="http://schemas.openxmlformats.org/spreadsheetml/2006/main">
  <authors>
    <author>Simonetta</author>
  </authors>
  <commentList>
    <comment ref="S66" authorId="0">
      <text>
        <r>
          <rPr>
            <b/>
            <sz val="9"/>
            <color indexed="81"/>
            <rFont val="Tahoma"/>
            <family val="2"/>
          </rPr>
          <t>verificare split manutenzione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<sst xmlns="http://schemas.openxmlformats.org/spreadsheetml/2006/main" count="501" uniqueCount="241">
  <si>
    <t>Commessa</t>
  </si>
  <si>
    <t>Numero fattura</t>
  </si>
  <si>
    <t>Data</t>
  </si>
  <si>
    <t>Cliente</t>
  </si>
  <si>
    <t>PRODOTTI</t>
  </si>
  <si>
    <t>SERVIZI</t>
  </si>
  <si>
    <t>OFFENSIVA</t>
  </si>
  <si>
    <t>Importo Dollaro</t>
  </si>
  <si>
    <t>tasso cambio</t>
  </si>
  <si>
    <t>Commerciale</t>
  </si>
  <si>
    <t>TIPOLOGIA</t>
  </si>
  <si>
    <t>Banca</t>
  </si>
  <si>
    <t>newclietns</t>
  </si>
  <si>
    <t>2010.001</t>
  </si>
  <si>
    <t>Sicurezza Offensiva</t>
  </si>
  <si>
    <t>SIO</t>
  </si>
  <si>
    <t>Luppi</t>
  </si>
  <si>
    <t>ISP</t>
  </si>
  <si>
    <t>TOT.</t>
  </si>
  <si>
    <t>Competenza 2014</t>
  </si>
  <si>
    <t>Delafile</t>
  </si>
  <si>
    <t>Offensiva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</si>
  <si>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</si>
  <si>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</si>
  <si>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</si>
  <si>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</si>
  <si>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</si>
  <si>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</si>
  <si>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</si>
  <si>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</si>
  <si>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</si>
  <si>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</si>
  <si>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</si>
  <si>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PCM</t>
  </si>
  <si>
    <t>DICEMBRE</t>
  </si>
  <si>
    <t>Mauqua</t>
  </si>
  <si>
    <t>NISS</t>
  </si>
  <si>
    <t>Postale</t>
  </si>
  <si>
    <t>TOTALE RICAVI</t>
  </si>
  <si>
    <t>FATTURATO 2014</t>
  </si>
  <si>
    <t>001/2014</t>
  </si>
  <si>
    <t>Cyberpoint LLC</t>
  </si>
  <si>
    <t>002/2014</t>
  </si>
  <si>
    <t>CSH &amp; MPS</t>
  </si>
  <si>
    <t>Bettini</t>
  </si>
  <si>
    <t>UCG</t>
  </si>
  <si>
    <t>Data incasso prevista</t>
  </si>
  <si>
    <t>Data Incasso effettiva</t>
  </si>
  <si>
    <t>003/2014</t>
  </si>
  <si>
    <t>Teva Tech de Mexico Sa de CV</t>
  </si>
  <si>
    <t>Velasco</t>
  </si>
  <si>
    <t>DB</t>
  </si>
  <si>
    <t>Carinex Ltd</t>
  </si>
  <si>
    <t>004/2014</t>
  </si>
  <si>
    <t>005/2014</t>
  </si>
  <si>
    <t>Nice</t>
  </si>
  <si>
    <t>PCS Security</t>
  </si>
  <si>
    <t>Maglietta</t>
  </si>
  <si>
    <t>The 5163 Army Division</t>
  </si>
  <si>
    <t>006/2014</t>
  </si>
  <si>
    <t>007/2014</t>
  </si>
  <si>
    <t>Al Fahad Smart System</t>
  </si>
  <si>
    <t>008/2014</t>
  </si>
  <si>
    <t>Maanna</t>
  </si>
  <si>
    <t>009/2014</t>
  </si>
  <si>
    <t>010/2014</t>
  </si>
  <si>
    <t>Sym Servicios Integrales</t>
  </si>
  <si>
    <t>011/2014</t>
  </si>
  <si>
    <t>CISEN México</t>
  </si>
  <si>
    <t>012/2014</t>
  </si>
  <si>
    <t>Pelliccione Alberto</t>
  </si>
  <si>
    <t>Cessione Materiale Informatico</t>
  </si>
  <si>
    <t>013/2014</t>
  </si>
  <si>
    <t>CICOM USA</t>
  </si>
  <si>
    <t xml:space="preserve">Fatture 2013 da riaprire </t>
  </si>
  <si>
    <t>162/2012</t>
  </si>
  <si>
    <t>Chramco</t>
  </si>
  <si>
    <t>061/2012</t>
  </si>
  <si>
    <t>INSA</t>
  </si>
  <si>
    <t>035/2012</t>
  </si>
  <si>
    <t>116/2012</t>
  </si>
  <si>
    <t>082/2012</t>
  </si>
  <si>
    <t>074/2013</t>
  </si>
  <si>
    <t>Al Fahad</t>
  </si>
  <si>
    <t>055/2013</t>
  </si>
  <si>
    <t>Bull</t>
  </si>
  <si>
    <t>059/2013</t>
  </si>
  <si>
    <t>Carinex</t>
  </si>
  <si>
    <t>031/2013</t>
  </si>
  <si>
    <t>CBA</t>
  </si>
  <si>
    <t>092/2013</t>
  </si>
  <si>
    <t>Charmco</t>
  </si>
  <si>
    <t>046/2013</t>
  </si>
  <si>
    <t>065/2013</t>
  </si>
  <si>
    <t>GNSE</t>
  </si>
  <si>
    <t>030/2013</t>
  </si>
  <si>
    <t>066/2013</t>
  </si>
  <si>
    <t>Intech</t>
  </si>
  <si>
    <t>052/2013</t>
  </si>
  <si>
    <t>Infotecs</t>
  </si>
  <si>
    <t>003/2013</t>
  </si>
  <si>
    <t>Net Rev</t>
  </si>
  <si>
    <t>013/2013</t>
  </si>
  <si>
    <t>032/2013</t>
  </si>
  <si>
    <t>PCS</t>
  </si>
  <si>
    <t>067/2013</t>
  </si>
  <si>
    <t>056/2013</t>
  </si>
  <si>
    <t>SSNS</t>
  </si>
  <si>
    <t>014/2014</t>
  </si>
  <si>
    <t>Comando Carabinieri "Palidoro"</t>
  </si>
  <si>
    <t>015/2014</t>
  </si>
  <si>
    <t>016/2014</t>
  </si>
  <si>
    <t>017/2014</t>
  </si>
  <si>
    <t xml:space="preserve">SIS of KNB </t>
  </si>
  <si>
    <t>Shehata</t>
  </si>
  <si>
    <t>018/2014</t>
  </si>
  <si>
    <t>019/2014</t>
  </si>
  <si>
    <t>020/2014</t>
  </si>
  <si>
    <t>Horizon Global Group</t>
  </si>
  <si>
    <t>05/05/2014 
Mancano 51,25k</t>
  </si>
  <si>
    <t>021/2014</t>
  </si>
  <si>
    <t xml:space="preserve">Upsell 
nuovi prodotti </t>
  </si>
  <si>
    <t>Maintenance 
2014</t>
  </si>
  <si>
    <t>Maintenance 
2015</t>
  </si>
  <si>
    <t>Maintenance 
2016</t>
  </si>
  <si>
    <t>Andorid</t>
  </si>
  <si>
    <t>BB</t>
  </si>
  <si>
    <t>10 tgt</t>
  </si>
  <si>
    <t>0 day</t>
  </si>
  <si>
    <t xml:space="preserve">Manutenzione </t>
  </si>
  <si>
    <t xml:space="preserve">sconto </t>
  </si>
  <si>
    <t>Comptenza 2013</t>
  </si>
  <si>
    <t>Upsell/Maintenance</t>
  </si>
  <si>
    <t>Total</t>
  </si>
  <si>
    <t>New Clients</t>
  </si>
  <si>
    <t>Turnover 2014</t>
  </si>
  <si>
    <t xml:space="preserve">Total Revenues </t>
  </si>
  <si>
    <t>022/2014</t>
  </si>
  <si>
    <t>023/2014</t>
  </si>
  <si>
    <t>TCC Saudi</t>
  </si>
  <si>
    <t>024/2014</t>
  </si>
  <si>
    <t>025/2014</t>
  </si>
  <si>
    <t>026/2014</t>
  </si>
  <si>
    <t>Al Yamamah Engineering Systems Solutions</t>
  </si>
  <si>
    <t>027/2014</t>
  </si>
  <si>
    <t>Intech Solutions</t>
  </si>
  <si>
    <t>028/2014</t>
  </si>
  <si>
    <t>029/2014</t>
  </si>
  <si>
    <t>25/06/2014
Mancano 0,45k</t>
  </si>
  <si>
    <t>030/2014</t>
  </si>
  <si>
    <t>Revenue to be deferred (2014)</t>
  </si>
  <si>
    <t>Other</t>
  </si>
  <si>
    <t>Deferred Revenues 2013</t>
  </si>
  <si>
    <t>Turnover already booked in 2013</t>
  </si>
  <si>
    <t>Riconciliazione da CO.GE</t>
  </si>
  <si>
    <t>031/2014</t>
  </si>
  <si>
    <t>CBA Poland</t>
  </si>
  <si>
    <t>033/2014</t>
  </si>
  <si>
    <t>034/2014</t>
  </si>
  <si>
    <t>035/2014</t>
  </si>
  <si>
    <t>036/2014</t>
  </si>
  <si>
    <t>Elite by Carga S.A. de CV</t>
  </si>
  <si>
    <t>037/2014</t>
  </si>
  <si>
    <t>ok</t>
  </si>
  <si>
    <t xml:space="preserve">Maintenance / Upsell to be invoiced (2014) - Opportunities </t>
  </si>
  <si>
    <t>038/2014</t>
  </si>
  <si>
    <t>039/2014</t>
  </si>
  <si>
    <t>BPL</t>
  </si>
  <si>
    <t>040/2014</t>
  </si>
  <si>
    <t>Delafile S.A.</t>
  </si>
  <si>
    <t>Deferred revenues 2013</t>
  </si>
  <si>
    <t>Maintenance / Upsell to be invoiced 2014</t>
  </si>
  <si>
    <t>* already considering revenue to be deferred to 2015</t>
  </si>
  <si>
    <t>* Esclusi dat totale clients PCM, NSS (Nice), Al Fahad, SIS e Army perché giù inseriti sopra</t>
  </si>
  <si>
    <t>041/2014</t>
  </si>
  <si>
    <t>042/2014</t>
  </si>
  <si>
    <t>043/2014</t>
  </si>
  <si>
    <t>044/2014</t>
  </si>
  <si>
    <t>Theola Ltd.</t>
  </si>
  <si>
    <t>045/2014</t>
  </si>
  <si>
    <t>046/2014</t>
  </si>
  <si>
    <t>047/2014</t>
  </si>
  <si>
    <t>Bull s.r.o.</t>
  </si>
  <si>
    <t>048/2014</t>
  </si>
  <si>
    <t>28/10/2014 35k
06/11/2014 180k</t>
  </si>
  <si>
    <t>07/10/2014 45k
11/11/2014 110k</t>
  </si>
  <si>
    <t>049/2014</t>
  </si>
  <si>
    <t>SSNS Ungheria</t>
  </si>
  <si>
    <t>050/2014</t>
  </si>
  <si>
    <t>AREA S.p.A.</t>
  </si>
  <si>
    <t>051/2014</t>
  </si>
  <si>
    <t>052/2014</t>
  </si>
  <si>
    <t>053/2014</t>
  </si>
  <si>
    <t>New Sales / Maintenance / Upsell to be invoiced (2014) - Final settlements</t>
  </si>
  <si>
    <t xml:space="preserve">New Clients to be delivered </t>
  </si>
  <si>
    <t>*Subject to export authorization process removal</t>
  </si>
  <si>
    <t>Upsell / Maintenance 2014</t>
  </si>
  <si>
    <t>054/2014</t>
  </si>
  <si>
    <t>Cyprus Intelligence Service</t>
  </si>
  <si>
    <t>055/2014</t>
  </si>
  <si>
    <t>056/2014</t>
  </si>
  <si>
    <t>057/2014</t>
  </si>
  <si>
    <t>058/2014</t>
  </si>
  <si>
    <t>059/2014</t>
  </si>
  <si>
    <t>060/2014</t>
  </si>
  <si>
    <t>Miliserv</t>
  </si>
  <si>
    <t>061/2014</t>
  </si>
  <si>
    <t>062/2014</t>
  </si>
  <si>
    <t>063/2014</t>
  </si>
  <si>
    <t>Policia de Investigaciones de Chile</t>
  </si>
  <si>
    <t>Maintenance 
2017</t>
  </si>
  <si>
    <t>Maintenance 
2018</t>
  </si>
  <si>
    <t>specificare ritardi con marocco</t>
  </si>
  <si>
    <t>064/2014</t>
  </si>
  <si>
    <t xml:space="preserve">Placing Value Co. </t>
  </si>
  <si>
    <t>Other contract in closing phase</t>
  </si>
  <si>
    <t>New clients - to be delivered**</t>
  </si>
  <si>
    <t>065/2014</t>
  </si>
  <si>
    <t xml:space="preserve">DHA Investment and Technologies </t>
  </si>
  <si>
    <t>Other contract in closing phase**</t>
  </si>
  <si>
    <t># New clients 2014*</t>
  </si>
  <si>
    <t>Invoice to be issued (final payment for signed contracts)</t>
  </si>
  <si>
    <t xml:space="preserve">Turnovers 2014 - Up to date </t>
  </si>
  <si>
    <t>066/2014</t>
  </si>
  <si>
    <t>KHIF Többcélú Kistérségi Társaság</t>
  </si>
  <si>
    <t>067/2014</t>
  </si>
  <si>
    <t>032/2014</t>
  </si>
  <si>
    <t>068/2014</t>
  </si>
  <si>
    <t>069/2014</t>
  </si>
  <si>
    <t>070/2014</t>
  </si>
  <si>
    <t>071/2014</t>
  </si>
  <si>
    <t>072/2014</t>
  </si>
  <si>
    <t>Kantonspolizei Zurich</t>
  </si>
  <si>
    <t>04/12/2014 142k
04/12/2014 28k
15/12/2014 95k</t>
  </si>
  <si>
    <t>073/2014</t>
  </si>
  <si>
    <t>053/2010</t>
  </si>
  <si>
    <t>BT Italia</t>
  </si>
  <si>
    <t>04/04/2014
2,5k 19/01/2015</t>
  </si>
  <si>
    <t>30/12/2014  200k
26/01/2015 65k</t>
  </si>
  <si>
    <t>$ 75K 07/01/15
$ 100 29/01/2015
$ 75 06/02/2015</t>
  </si>
  <si>
    <t xml:space="preserve">EMESSA NC 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</si>
</sst>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* #,##0.0000_-;\-* #,##0.0000_-;_-* &quot;-&quot;??_-;_-@_-"/>
    <numFmt numFmtId="167" formatCode="0.0%"/>
    <numFmt numFmtId="168" formatCode="_-* #,##0.0_-;\-* #,##0.0_-;_-* &quot;-&quot;??_-;_-@_-"/>
    <numFmt numFmtId="169" formatCode="#,##0.0000_ ;\-#,##0.0000\ "/>
    <numFmt numFmtId="170" formatCode="#,##0_ ;\-#,##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name val="Verdana"/>
      <family val="2"/>
    </font>
    <font>
      <b/>
      <sz val="11"/>
      <name val="Calibri"/>
      <family val="2"/>
    </font>
    <font>
      <b/>
      <u val="singleAccounting"/>
      <sz val="11"/>
      <name val="Calibri"/>
      <family val="2"/>
    </font>
    <font>
      <b/>
      <sz val="11"/>
      <color rgb="FF00B0F0"/>
      <name val="Calibri"/>
      <family val="2"/>
    </font>
    <font>
      <b/>
      <sz val="11"/>
      <color rgb="FF00206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2" fillId="0" borderId="0" xfId="1" applyNumberFormat="1" applyFont="1"/>
    <xf numFmtId="0" fontId="2" fillId="3" borderId="1" xfId="0" applyFont="1" applyFill="1" applyBorder="1" applyAlignment="1">
      <alignment horizontal="center" vertical="center"/>
    </xf>
    <xf numFmtId="15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165" fontId="6" fillId="0" borderId="0" xfId="1" applyNumberFormat="1" applyFont="1" applyAlignment="1">
      <alignment horizontal="center"/>
    </xf>
    <xf numFmtId="0" fontId="4" fillId="0" borderId="0" xfId="0" applyFont="1"/>
    <xf numFmtId="165" fontId="7" fillId="0" borderId="0" xfId="1" applyNumberFormat="1" applyFont="1" applyAlignment="1">
      <alignment horizontal="center"/>
    </xf>
    <xf numFmtId="165" fontId="2" fillId="0" borderId="0" xfId="0" applyNumberFormat="1" applyFont="1"/>
    <xf numFmtId="165" fontId="4" fillId="0" borderId="0" xfId="0" applyNumberFormat="1" applyFont="1"/>
    <xf numFmtId="0" fontId="8" fillId="5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165" fontId="9" fillId="0" borderId="1" xfId="1" applyNumberFormat="1" applyFont="1" applyBorder="1" applyAlignment="1">
      <alignment horizontal="right" vertical="top" wrapText="1"/>
    </xf>
    <xf numFmtId="0" fontId="10" fillId="0" borderId="3" xfId="0" applyFont="1" applyBorder="1"/>
    <xf numFmtId="165" fontId="2" fillId="0" borderId="4" xfId="0" applyNumberFormat="1" applyFont="1" applyBorder="1"/>
    <xf numFmtId="165" fontId="2" fillId="0" borderId="4" xfId="1" applyNumberFormat="1" applyFont="1" applyBorder="1"/>
    <xf numFmtId="0" fontId="2" fillId="0" borderId="5" xfId="0" applyFont="1" applyBorder="1"/>
    <xf numFmtId="165" fontId="2" fillId="0" borderId="0" xfId="1" applyNumberFormat="1" applyFont="1" applyBorder="1"/>
    <xf numFmtId="0" fontId="2" fillId="0" borderId="6" xfId="0" applyFont="1" applyBorder="1"/>
    <xf numFmtId="165" fontId="2" fillId="0" borderId="7" xfId="1" applyNumberFormat="1" applyFont="1" applyBorder="1"/>
    <xf numFmtId="0" fontId="2" fillId="0" borderId="8" xfId="0" applyFont="1" applyBorder="1"/>
    <xf numFmtId="165" fontId="2" fillId="0" borderId="9" xfId="1" applyNumberFormat="1" applyFont="1" applyBorder="1"/>
    <xf numFmtId="165" fontId="2" fillId="0" borderId="10" xfId="1" applyNumberFormat="1" applyFont="1" applyBorder="1"/>
    <xf numFmtId="0" fontId="2" fillId="4" borderId="6" xfId="0" quotePrefix="1" applyFont="1" applyFill="1" applyBorder="1" applyAlignment="1">
      <alignment horizontal="right" vertical="center"/>
    </xf>
    <xf numFmtId="165" fontId="5" fillId="4" borderId="0" xfId="1" applyNumberFormat="1" applyFont="1" applyFill="1"/>
    <xf numFmtId="165" fontId="5" fillId="4" borderId="0" xfId="0" applyNumberFormat="1" applyFont="1" applyFill="1"/>
    <xf numFmtId="0" fontId="2" fillId="0" borderId="1" xfId="0" applyFont="1" applyFill="1" applyBorder="1" applyAlignment="1">
      <alignment horizontal="center" vertical="center"/>
    </xf>
    <xf numFmtId="1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4" fontId="2" fillId="6" borderId="1" xfId="0" applyNumberFormat="1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 wrapText="1"/>
    </xf>
    <xf numFmtId="0" fontId="2" fillId="0" borderId="1" xfId="0" applyFont="1" applyBorder="1"/>
    <xf numFmtId="165" fontId="2" fillId="0" borderId="1" xfId="1" applyNumberFormat="1" applyFont="1" applyBorder="1"/>
    <xf numFmtId="165" fontId="4" fillId="0" borderId="1" xfId="1" applyNumberFormat="1" applyFont="1" applyBorder="1"/>
    <xf numFmtId="165" fontId="11" fillId="2" borderId="2" xfId="1" applyNumberFormat="1" applyFont="1" applyFill="1" applyBorder="1" applyAlignment="1">
      <alignment horizontal="center" vertical="center"/>
    </xf>
    <xf numFmtId="165" fontId="11" fillId="2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0" fillId="4" borderId="0" xfId="0" applyFill="1"/>
    <xf numFmtId="165" fontId="0" fillId="4" borderId="0" xfId="1" applyNumberFormat="1" applyFont="1" applyFill="1"/>
    <xf numFmtId="10" fontId="0" fillId="4" borderId="0" xfId="0" applyNumberFormat="1" applyFill="1"/>
    <xf numFmtId="168" fontId="0" fillId="4" borderId="0" xfId="1" applyNumberFormat="1" applyFont="1" applyFill="1"/>
    <xf numFmtId="165" fontId="0" fillId="4" borderId="0" xfId="0" applyNumberFormat="1" applyFill="1"/>
    <xf numFmtId="9" fontId="0" fillId="4" borderId="0" xfId="0" applyNumberFormat="1" applyFill="1"/>
    <xf numFmtId="165" fontId="11" fillId="4" borderId="0" xfId="0" applyNumberFormat="1" applyFont="1" applyFill="1"/>
    <xf numFmtId="0" fontId="11" fillId="4" borderId="0" xfId="0" applyFont="1" applyFill="1"/>
    <xf numFmtId="165" fontId="1" fillId="4" borderId="0" xfId="1" applyNumberFormat="1" applyFont="1" applyFill="1"/>
    <xf numFmtId="0" fontId="12" fillId="4" borderId="0" xfId="0" applyFont="1" applyFill="1" applyAlignment="1">
      <alignment horizontal="center"/>
    </xf>
    <xf numFmtId="165" fontId="12" fillId="4" borderId="0" xfId="1" applyNumberFormat="1" applyFont="1" applyFill="1"/>
    <xf numFmtId="0" fontId="2" fillId="0" borderId="1" xfId="0" applyFont="1" applyFill="1" applyBorder="1" applyAlignment="1">
      <alignment horizontal="center" wrapText="1"/>
    </xf>
    <xf numFmtId="0" fontId="1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ont="1" applyFill="1"/>
    <xf numFmtId="165" fontId="11" fillId="4" borderId="0" xfId="1" applyNumberFormat="1" applyFont="1" applyFill="1"/>
    <xf numFmtId="166" fontId="2" fillId="3" borderId="1" xfId="1" applyNumberFormat="1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/>
    </xf>
    <xf numFmtId="170" fontId="2" fillId="3" borderId="1" xfId="1" applyNumberFormat="1" applyFont="1" applyFill="1" applyBorder="1" applyAlignment="1">
      <alignment horizontal="right" vertical="center"/>
    </xf>
    <xf numFmtId="169" fontId="2" fillId="3" borderId="1" xfId="1" applyNumberFormat="1" applyFont="1" applyFill="1" applyBorder="1" applyAlignment="1">
      <alignment horizontal="right" vertical="center"/>
    </xf>
    <xf numFmtId="0" fontId="13" fillId="4" borderId="0" xfId="0" applyFont="1" applyFill="1"/>
    <xf numFmtId="165" fontId="13" fillId="4" borderId="0" xfId="1" applyNumberFormat="1" applyFont="1" applyFill="1"/>
    <xf numFmtId="165" fontId="13" fillId="4" borderId="0" xfId="0" applyNumberFormat="1" applyFont="1" applyFill="1"/>
    <xf numFmtId="165" fontId="14" fillId="4" borderId="0" xfId="0" applyNumberFormat="1" applyFont="1" applyFill="1"/>
    <xf numFmtId="0" fontId="15" fillId="0" borderId="1" xfId="0" applyFont="1" applyFill="1" applyBorder="1" applyAlignment="1">
      <alignment horizontal="center" vertical="center"/>
    </xf>
    <xf numFmtId="15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165" fontId="15" fillId="0" borderId="1" xfId="1" applyNumberFormat="1" applyFont="1" applyFill="1" applyBorder="1" applyAlignment="1">
      <alignment horizontal="center" vertical="center"/>
    </xf>
    <xf numFmtId="166" fontId="15" fillId="0" borderId="1" xfId="1" applyNumberFormat="1" applyFont="1" applyFill="1" applyBorder="1" applyAlignment="1">
      <alignment horizontal="center" vertical="center"/>
    </xf>
    <xf numFmtId="165" fontId="15" fillId="3" borderId="1" xfId="1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14" fontId="15" fillId="0" borderId="1" xfId="0" applyNumberFormat="1" applyFont="1" applyFill="1" applyBorder="1" applyAlignment="1">
      <alignment horizontal="center"/>
    </xf>
    <xf numFmtId="0" fontId="17" fillId="4" borderId="1" xfId="3" applyFont="1" applyFill="1" applyBorder="1" applyAlignment="1">
      <alignment horizontal="left" vertical="center" wrapText="1"/>
    </xf>
    <xf numFmtId="0" fontId="18" fillId="4" borderId="1" xfId="3" applyFont="1" applyFill="1" applyBorder="1" applyAlignment="1">
      <alignment horizontal="left" vertical="center" wrapText="1"/>
    </xf>
    <xf numFmtId="0" fontId="19" fillId="4" borderId="0" xfId="3" applyFont="1" applyFill="1"/>
    <xf numFmtId="0" fontId="1" fillId="4" borderId="0" xfId="3" applyFont="1" applyFill="1"/>
    <xf numFmtId="3" fontId="20" fillId="4" borderId="1" xfId="3" applyNumberFormat="1" applyFont="1" applyFill="1" applyBorder="1" applyAlignment="1">
      <alignment horizontal="center" vertical="center" wrapText="1"/>
    </xf>
    <xf numFmtId="165" fontId="0" fillId="4" borderId="1" xfId="0" applyNumberFormat="1" applyFill="1" applyBorder="1"/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15" fontId="15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14" fontId="15" fillId="3" borderId="1" xfId="0" applyNumberFormat="1" applyFont="1" applyFill="1" applyBorder="1" applyAlignment="1">
      <alignment horizontal="center"/>
    </xf>
    <xf numFmtId="169" fontId="15" fillId="3" borderId="1" xfId="1" applyNumberFormat="1" applyFont="1" applyFill="1" applyBorder="1" applyAlignment="1">
      <alignment horizontal="right" vertical="center"/>
    </xf>
    <xf numFmtId="166" fontId="2" fillId="0" borderId="1" xfId="1" applyNumberFormat="1" applyFont="1" applyFill="1" applyBorder="1" applyAlignment="1">
      <alignment horizontal="right" vertical="center"/>
    </xf>
    <xf numFmtId="169" fontId="2" fillId="3" borderId="1" xfId="1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wrapText="1"/>
    </xf>
    <xf numFmtId="165" fontId="4" fillId="0" borderId="0" xfId="1" applyNumberFormat="1" applyFont="1"/>
    <xf numFmtId="165" fontId="11" fillId="4" borderId="1" xfId="0" applyNumberFormat="1" applyFont="1" applyFill="1" applyBorder="1"/>
    <xf numFmtId="165" fontId="0" fillId="7" borderId="1" xfId="0" applyNumberFormat="1" applyFill="1" applyBorder="1"/>
    <xf numFmtId="14" fontId="2" fillId="3" borderId="1" xfId="0" applyNumberFormat="1" applyFont="1" applyFill="1" applyBorder="1" applyAlignment="1">
      <alignment horizontal="center" wrapText="1"/>
    </xf>
    <xf numFmtId="0" fontId="21" fillId="4" borderId="0" xfId="0" applyFont="1" applyFill="1"/>
    <xf numFmtId="165" fontId="13" fillId="7" borderId="0" xfId="1" applyNumberFormat="1" applyFont="1" applyFill="1"/>
    <xf numFmtId="0" fontId="17" fillId="0" borderId="1" xfId="0" applyFont="1" applyFill="1" applyBorder="1" applyAlignment="1">
      <alignment horizontal="center" vertical="center"/>
    </xf>
    <xf numFmtId="165" fontId="6" fillId="0" borderId="0" xfId="1" applyNumberFormat="1" applyFont="1" applyBorder="1" applyAlignment="1">
      <alignment horizontal="center"/>
    </xf>
    <xf numFmtId="0" fontId="2" fillId="0" borderId="0" xfId="0" applyFont="1" applyBorder="1"/>
    <xf numFmtId="165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7" fontId="2" fillId="0" borderId="0" xfId="2" applyNumberFormat="1" applyFont="1" applyBorder="1"/>
    <xf numFmtId="165" fontId="2" fillId="0" borderId="0" xfId="1" applyNumberFormat="1" applyFont="1" applyFill="1"/>
    <xf numFmtId="165" fontId="2" fillId="0" borderId="7" xfId="1" applyNumberFormat="1" applyFont="1" applyFill="1" applyBorder="1"/>
    <xf numFmtId="0" fontId="2" fillId="0" borderId="0" xfId="0" applyFont="1" applyFill="1" applyBorder="1"/>
    <xf numFmtId="0" fontId="2" fillId="0" borderId="0" xfId="0" applyFont="1" applyFill="1"/>
    <xf numFmtId="165" fontId="15" fillId="0" borderId="0" xfId="1" applyNumberFormat="1" applyFont="1" applyFill="1"/>
    <xf numFmtId="164" fontId="2" fillId="0" borderId="0" xfId="1" applyNumberFormat="1" applyFont="1" applyFill="1"/>
    <xf numFmtId="165" fontId="6" fillId="0" borderId="0" xfId="1" applyNumberFormat="1" applyFont="1" applyFill="1" applyAlignment="1">
      <alignment horizontal="center"/>
    </xf>
    <xf numFmtId="165" fontId="2" fillId="0" borderId="0" xfId="0" applyNumberFormat="1" applyFont="1" applyBorder="1"/>
    <xf numFmtId="14" fontId="2" fillId="7" borderId="1" xfId="0" applyNumberFormat="1" applyFont="1" applyFill="1" applyBorder="1" applyAlignment="1">
      <alignment horizontal="center" wrapText="1"/>
    </xf>
    <xf numFmtId="14" fontId="4" fillId="3" borderId="1" xfId="0" applyNumberFormat="1" applyFont="1" applyFill="1" applyBorder="1" applyAlignment="1">
      <alignment horizontal="center"/>
    </xf>
    <xf numFmtId="1" fontId="11" fillId="2" borderId="2" xfId="1" applyNumberFormat="1" applyFont="1" applyFill="1" applyBorder="1" applyAlignment="1">
      <alignment horizontal="center" vertical="center" wrapText="1"/>
    </xf>
    <xf numFmtId="1" fontId="2" fillId="0" borderId="0" xfId="1" applyNumberFormat="1" applyFont="1"/>
    <xf numFmtId="3" fontId="2" fillId="0" borderId="0" xfId="1" applyNumberFormat="1" applyFont="1"/>
    <xf numFmtId="3" fontId="2" fillId="0" borderId="0" xfId="1" applyNumberFormat="1" applyFont="1" applyFill="1"/>
    <xf numFmtId="3" fontId="15" fillId="0" borderId="0" xfId="0" applyNumberFormat="1" applyFont="1"/>
    <xf numFmtId="14" fontId="4" fillId="6" borderId="1" xfId="0" applyNumberFormat="1" applyFont="1" applyFill="1" applyBorder="1" applyAlignment="1">
      <alignment horizontal="center" wrapText="1"/>
    </xf>
  </cellXfs>
  <cellStyles count="4">
    <cellStyle name="Comma" xfId="1" builtinId="3"/>
    <cellStyle name="Normal" xfId="0" builtinId="0"/>
    <cellStyle name="Normal 4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29"/>
  <sheetViews>
    <sheetView tabSelected="1" topLeftCell="S1" zoomScale="75" zoomScaleNormal="75" workbookViewId="0">
      <pane ySplit="1" topLeftCell="A2" activePane="bottomLeft" state="frozen"/>
      <selection activeCell="B25" sqref="B25:C35"/>
      <selection pane="bottomLeft" activeCell="D36" sqref="D36"/>
    </sheetView>
  </sheetViews>
  <sheetFormatPr defaultRowHeight="15"/>
  <cols>
    <col min="1" max="1" width="11" style="1" hidden="1" customWidth="1"/>
    <col min="2" max="2" width="15.85546875" style="1" bestFit="1" customWidth="1"/>
    <col min="3" max="3" width="17.140625" style="1" customWidth="1"/>
    <col min="4" max="4" width="32.85546875" style="1" bestFit="1" customWidth="1"/>
    <col min="5" max="6" width="11.85546875" style="7" customWidth="1"/>
    <col min="7" max="7" width="11.85546875" style="1" customWidth="1"/>
    <col min="8" max="8" width="15.7109375" style="1" customWidth="1"/>
    <col min="9" max="9" width="10.5703125" style="1" customWidth="1"/>
    <col min="10" max="10" width="15.140625" style="1" customWidth="1"/>
    <col min="11" max="11" width="29.7109375" style="15" bestFit="1" customWidth="1"/>
    <col min="12" max="13" width="15" style="15" customWidth="1"/>
    <col min="14" max="14" width="34.42578125" style="1" bestFit="1" customWidth="1"/>
    <col min="15" max="15" width="14.42578125" customWidth="1"/>
    <col min="16" max="16" width="21.28515625" style="7" bestFit="1" customWidth="1"/>
    <col min="17" max="17" width="14" style="7" bestFit="1" customWidth="1"/>
    <col min="18" max="18" width="16.5703125" style="7" customWidth="1"/>
    <col min="19" max="22" width="16.5703125" style="1" customWidth="1"/>
    <col min="23" max="23" width="24" style="1" bestFit="1" customWidth="1"/>
    <col min="24" max="258" width="9.140625" style="1"/>
    <col min="259" max="259" width="0" style="1" hidden="1" customWidth="1"/>
    <col min="260" max="260" width="15.85546875" style="1" bestFit="1" customWidth="1"/>
    <col min="261" max="261" width="21.7109375" style="1" bestFit="1" customWidth="1"/>
    <col min="262" max="262" width="48.5703125" style="1" customWidth="1"/>
    <col min="263" max="265" width="18.28515625" style="1" bestFit="1" customWidth="1"/>
    <col min="266" max="267" width="18.28515625" style="1" customWidth="1"/>
    <col min="268" max="268" width="23.42578125" style="1" customWidth="1"/>
    <col min="269" max="269" width="37.42578125" style="1" customWidth="1"/>
    <col min="270" max="270" width="30" style="1" bestFit="1" customWidth="1"/>
    <col min="271" max="271" width="26.5703125" style="1" customWidth="1"/>
    <col min="272" max="272" width="27.28515625" style="1" customWidth="1"/>
    <col min="273" max="273" width="12.28515625" style="1" bestFit="1" customWidth="1"/>
    <col min="274" max="274" width="12.42578125" style="1" bestFit="1" customWidth="1"/>
    <col min="275" max="275" width="13.7109375" style="1" bestFit="1" customWidth="1"/>
    <col min="276" max="276" width="11.28515625" style="1" bestFit="1" customWidth="1"/>
    <col min="277" max="277" width="11.140625" style="1" bestFit="1" customWidth="1"/>
    <col min="278" max="514" width="9.140625" style="1"/>
    <col min="515" max="515" width="0" style="1" hidden="1" customWidth="1"/>
    <col min="516" max="516" width="15.85546875" style="1" bestFit="1" customWidth="1"/>
    <col min="517" max="517" width="21.7109375" style="1" bestFit="1" customWidth="1"/>
    <col min="518" max="518" width="48.5703125" style="1" customWidth="1"/>
    <col min="519" max="521" width="18.28515625" style="1" bestFit="1" customWidth="1"/>
    <col min="522" max="523" width="18.28515625" style="1" customWidth="1"/>
    <col min="524" max="524" width="23.42578125" style="1" customWidth="1"/>
    <col min="525" max="525" width="37.42578125" style="1" customWidth="1"/>
    <col min="526" max="526" width="30" style="1" bestFit="1" customWidth="1"/>
    <col min="527" max="527" width="26.5703125" style="1" customWidth="1"/>
    <col min="528" max="528" width="27.28515625" style="1" customWidth="1"/>
    <col min="529" max="529" width="12.28515625" style="1" bestFit="1" customWidth="1"/>
    <col min="530" max="530" width="12.42578125" style="1" bestFit="1" customWidth="1"/>
    <col min="531" max="531" width="13.7109375" style="1" bestFit="1" customWidth="1"/>
    <col min="532" max="532" width="11.28515625" style="1" bestFit="1" customWidth="1"/>
    <col min="533" max="533" width="11.140625" style="1" bestFit="1" customWidth="1"/>
    <col min="534" max="770" width="9.140625" style="1"/>
    <col min="771" max="771" width="0" style="1" hidden="1" customWidth="1"/>
    <col min="772" max="772" width="15.85546875" style="1" bestFit="1" customWidth="1"/>
    <col min="773" max="773" width="21.7109375" style="1" bestFit="1" customWidth="1"/>
    <col min="774" max="774" width="48.5703125" style="1" customWidth="1"/>
    <col min="775" max="777" width="18.28515625" style="1" bestFit="1" customWidth="1"/>
    <col min="778" max="779" width="18.28515625" style="1" customWidth="1"/>
    <col min="780" max="780" width="23.42578125" style="1" customWidth="1"/>
    <col min="781" max="781" width="37.42578125" style="1" customWidth="1"/>
    <col min="782" max="782" width="30" style="1" bestFit="1" customWidth="1"/>
    <col min="783" max="783" width="26.5703125" style="1" customWidth="1"/>
    <col min="784" max="784" width="27.28515625" style="1" customWidth="1"/>
    <col min="785" max="785" width="12.28515625" style="1" bestFit="1" customWidth="1"/>
    <col min="786" max="786" width="12.42578125" style="1" bestFit="1" customWidth="1"/>
    <col min="787" max="787" width="13.7109375" style="1" bestFit="1" customWidth="1"/>
    <col min="788" max="788" width="11.28515625" style="1" bestFit="1" customWidth="1"/>
    <col min="789" max="789" width="11.140625" style="1" bestFit="1" customWidth="1"/>
    <col min="790" max="1026" width="9.140625" style="1"/>
    <col min="1027" max="1027" width="0" style="1" hidden="1" customWidth="1"/>
    <col min="1028" max="1028" width="15.85546875" style="1" bestFit="1" customWidth="1"/>
    <col min="1029" max="1029" width="21.7109375" style="1" bestFit="1" customWidth="1"/>
    <col min="1030" max="1030" width="48.5703125" style="1" customWidth="1"/>
    <col min="1031" max="1033" width="18.28515625" style="1" bestFit="1" customWidth="1"/>
    <col min="1034" max="1035" width="18.28515625" style="1" customWidth="1"/>
    <col min="1036" max="1036" width="23.42578125" style="1" customWidth="1"/>
    <col min="1037" max="1037" width="37.42578125" style="1" customWidth="1"/>
    <col min="1038" max="1038" width="30" style="1" bestFit="1" customWidth="1"/>
    <col min="1039" max="1039" width="26.5703125" style="1" customWidth="1"/>
    <col min="1040" max="1040" width="27.28515625" style="1" customWidth="1"/>
    <col min="1041" max="1041" width="12.28515625" style="1" bestFit="1" customWidth="1"/>
    <col min="1042" max="1042" width="12.42578125" style="1" bestFit="1" customWidth="1"/>
    <col min="1043" max="1043" width="13.7109375" style="1" bestFit="1" customWidth="1"/>
    <col min="1044" max="1044" width="11.28515625" style="1" bestFit="1" customWidth="1"/>
    <col min="1045" max="1045" width="11.140625" style="1" bestFit="1" customWidth="1"/>
    <col min="1046" max="1282" width="9.140625" style="1"/>
    <col min="1283" max="1283" width="0" style="1" hidden="1" customWidth="1"/>
    <col min="1284" max="1284" width="15.85546875" style="1" bestFit="1" customWidth="1"/>
    <col min="1285" max="1285" width="21.7109375" style="1" bestFit="1" customWidth="1"/>
    <col min="1286" max="1286" width="48.5703125" style="1" customWidth="1"/>
    <col min="1287" max="1289" width="18.28515625" style="1" bestFit="1" customWidth="1"/>
    <col min="1290" max="1291" width="18.28515625" style="1" customWidth="1"/>
    <col min="1292" max="1292" width="23.42578125" style="1" customWidth="1"/>
    <col min="1293" max="1293" width="37.42578125" style="1" customWidth="1"/>
    <col min="1294" max="1294" width="30" style="1" bestFit="1" customWidth="1"/>
    <col min="1295" max="1295" width="26.5703125" style="1" customWidth="1"/>
    <col min="1296" max="1296" width="27.28515625" style="1" customWidth="1"/>
    <col min="1297" max="1297" width="12.28515625" style="1" bestFit="1" customWidth="1"/>
    <col min="1298" max="1298" width="12.42578125" style="1" bestFit="1" customWidth="1"/>
    <col min="1299" max="1299" width="13.7109375" style="1" bestFit="1" customWidth="1"/>
    <col min="1300" max="1300" width="11.28515625" style="1" bestFit="1" customWidth="1"/>
    <col min="1301" max="1301" width="11.140625" style="1" bestFit="1" customWidth="1"/>
    <col min="1302" max="1538" width="9.140625" style="1"/>
    <col min="1539" max="1539" width="0" style="1" hidden="1" customWidth="1"/>
    <col min="1540" max="1540" width="15.85546875" style="1" bestFit="1" customWidth="1"/>
    <col min="1541" max="1541" width="21.7109375" style="1" bestFit="1" customWidth="1"/>
    <col min="1542" max="1542" width="48.5703125" style="1" customWidth="1"/>
    <col min="1543" max="1545" width="18.28515625" style="1" bestFit="1" customWidth="1"/>
    <col min="1546" max="1547" width="18.28515625" style="1" customWidth="1"/>
    <col min="1548" max="1548" width="23.42578125" style="1" customWidth="1"/>
    <col min="1549" max="1549" width="37.42578125" style="1" customWidth="1"/>
    <col min="1550" max="1550" width="30" style="1" bestFit="1" customWidth="1"/>
    <col min="1551" max="1551" width="26.5703125" style="1" customWidth="1"/>
    <col min="1552" max="1552" width="27.28515625" style="1" customWidth="1"/>
    <col min="1553" max="1553" width="12.28515625" style="1" bestFit="1" customWidth="1"/>
    <col min="1554" max="1554" width="12.42578125" style="1" bestFit="1" customWidth="1"/>
    <col min="1555" max="1555" width="13.7109375" style="1" bestFit="1" customWidth="1"/>
    <col min="1556" max="1556" width="11.28515625" style="1" bestFit="1" customWidth="1"/>
    <col min="1557" max="1557" width="11.140625" style="1" bestFit="1" customWidth="1"/>
    <col min="1558" max="1794" width="9.140625" style="1"/>
    <col min="1795" max="1795" width="0" style="1" hidden="1" customWidth="1"/>
    <col min="1796" max="1796" width="15.85546875" style="1" bestFit="1" customWidth="1"/>
    <col min="1797" max="1797" width="21.7109375" style="1" bestFit="1" customWidth="1"/>
    <col min="1798" max="1798" width="48.5703125" style="1" customWidth="1"/>
    <col min="1799" max="1801" width="18.28515625" style="1" bestFit="1" customWidth="1"/>
    <col min="1802" max="1803" width="18.28515625" style="1" customWidth="1"/>
    <col min="1804" max="1804" width="23.42578125" style="1" customWidth="1"/>
    <col min="1805" max="1805" width="37.42578125" style="1" customWidth="1"/>
    <col min="1806" max="1806" width="30" style="1" bestFit="1" customWidth="1"/>
    <col min="1807" max="1807" width="26.5703125" style="1" customWidth="1"/>
    <col min="1808" max="1808" width="27.28515625" style="1" customWidth="1"/>
    <col min="1809" max="1809" width="12.28515625" style="1" bestFit="1" customWidth="1"/>
    <col min="1810" max="1810" width="12.42578125" style="1" bestFit="1" customWidth="1"/>
    <col min="1811" max="1811" width="13.7109375" style="1" bestFit="1" customWidth="1"/>
    <col min="1812" max="1812" width="11.28515625" style="1" bestFit="1" customWidth="1"/>
    <col min="1813" max="1813" width="11.140625" style="1" bestFit="1" customWidth="1"/>
    <col min="1814" max="2050" width="9.140625" style="1"/>
    <col min="2051" max="2051" width="0" style="1" hidden="1" customWidth="1"/>
    <col min="2052" max="2052" width="15.85546875" style="1" bestFit="1" customWidth="1"/>
    <col min="2053" max="2053" width="21.7109375" style="1" bestFit="1" customWidth="1"/>
    <col min="2054" max="2054" width="48.5703125" style="1" customWidth="1"/>
    <col min="2055" max="2057" width="18.28515625" style="1" bestFit="1" customWidth="1"/>
    <col min="2058" max="2059" width="18.28515625" style="1" customWidth="1"/>
    <col min="2060" max="2060" width="23.42578125" style="1" customWidth="1"/>
    <col min="2061" max="2061" width="37.42578125" style="1" customWidth="1"/>
    <col min="2062" max="2062" width="30" style="1" bestFit="1" customWidth="1"/>
    <col min="2063" max="2063" width="26.5703125" style="1" customWidth="1"/>
    <col min="2064" max="2064" width="27.28515625" style="1" customWidth="1"/>
    <col min="2065" max="2065" width="12.28515625" style="1" bestFit="1" customWidth="1"/>
    <col min="2066" max="2066" width="12.42578125" style="1" bestFit="1" customWidth="1"/>
    <col min="2067" max="2067" width="13.7109375" style="1" bestFit="1" customWidth="1"/>
    <col min="2068" max="2068" width="11.28515625" style="1" bestFit="1" customWidth="1"/>
    <col min="2069" max="2069" width="11.140625" style="1" bestFit="1" customWidth="1"/>
    <col min="2070" max="2306" width="9.140625" style="1"/>
    <col min="2307" max="2307" width="0" style="1" hidden="1" customWidth="1"/>
    <col min="2308" max="2308" width="15.85546875" style="1" bestFit="1" customWidth="1"/>
    <col min="2309" max="2309" width="21.7109375" style="1" bestFit="1" customWidth="1"/>
    <col min="2310" max="2310" width="48.5703125" style="1" customWidth="1"/>
    <col min="2311" max="2313" width="18.28515625" style="1" bestFit="1" customWidth="1"/>
    <col min="2314" max="2315" width="18.28515625" style="1" customWidth="1"/>
    <col min="2316" max="2316" width="23.42578125" style="1" customWidth="1"/>
    <col min="2317" max="2317" width="37.42578125" style="1" customWidth="1"/>
    <col min="2318" max="2318" width="30" style="1" bestFit="1" customWidth="1"/>
    <col min="2319" max="2319" width="26.5703125" style="1" customWidth="1"/>
    <col min="2320" max="2320" width="27.28515625" style="1" customWidth="1"/>
    <col min="2321" max="2321" width="12.28515625" style="1" bestFit="1" customWidth="1"/>
    <col min="2322" max="2322" width="12.42578125" style="1" bestFit="1" customWidth="1"/>
    <col min="2323" max="2323" width="13.7109375" style="1" bestFit="1" customWidth="1"/>
    <col min="2324" max="2324" width="11.28515625" style="1" bestFit="1" customWidth="1"/>
    <col min="2325" max="2325" width="11.140625" style="1" bestFit="1" customWidth="1"/>
    <col min="2326" max="2562" width="9.140625" style="1"/>
    <col min="2563" max="2563" width="0" style="1" hidden="1" customWidth="1"/>
    <col min="2564" max="2564" width="15.85546875" style="1" bestFit="1" customWidth="1"/>
    <col min="2565" max="2565" width="21.7109375" style="1" bestFit="1" customWidth="1"/>
    <col min="2566" max="2566" width="48.5703125" style="1" customWidth="1"/>
    <col min="2567" max="2569" width="18.28515625" style="1" bestFit="1" customWidth="1"/>
    <col min="2570" max="2571" width="18.28515625" style="1" customWidth="1"/>
    <col min="2572" max="2572" width="23.42578125" style="1" customWidth="1"/>
    <col min="2573" max="2573" width="37.42578125" style="1" customWidth="1"/>
    <col min="2574" max="2574" width="30" style="1" bestFit="1" customWidth="1"/>
    <col min="2575" max="2575" width="26.5703125" style="1" customWidth="1"/>
    <col min="2576" max="2576" width="27.28515625" style="1" customWidth="1"/>
    <col min="2577" max="2577" width="12.28515625" style="1" bestFit="1" customWidth="1"/>
    <col min="2578" max="2578" width="12.42578125" style="1" bestFit="1" customWidth="1"/>
    <col min="2579" max="2579" width="13.7109375" style="1" bestFit="1" customWidth="1"/>
    <col min="2580" max="2580" width="11.28515625" style="1" bestFit="1" customWidth="1"/>
    <col min="2581" max="2581" width="11.140625" style="1" bestFit="1" customWidth="1"/>
    <col min="2582" max="2818" width="9.140625" style="1"/>
    <col min="2819" max="2819" width="0" style="1" hidden="1" customWidth="1"/>
    <col min="2820" max="2820" width="15.85546875" style="1" bestFit="1" customWidth="1"/>
    <col min="2821" max="2821" width="21.7109375" style="1" bestFit="1" customWidth="1"/>
    <col min="2822" max="2822" width="48.5703125" style="1" customWidth="1"/>
    <col min="2823" max="2825" width="18.28515625" style="1" bestFit="1" customWidth="1"/>
    <col min="2826" max="2827" width="18.28515625" style="1" customWidth="1"/>
    <col min="2828" max="2828" width="23.42578125" style="1" customWidth="1"/>
    <col min="2829" max="2829" width="37.42578125" style="1" customWidth="1"/>
    <col min="2830" max="2830" width="30" style="1" bestFit="1" customWidth="1"/>
    <col min="2831" max="2831" width="26.5703125" style="1" customWidth="1"/>
    <col min="2832" max="2832" width="27.28515625" style="1" customWidth="1"/>
    <col min="2833" max="2833" width="12.28515625" style="1" bestFit="1" customWidth="1"/>
    <col min="2834" max="2834" width="12.42578125" style="1" bestFit="1" customWidth="1"/>
    <col min="2835" max="2835" width="13.7109375" style="1" bestFit="1" customWidth="1"/>
    <col min="2836" max="2836" width="11.28515625" style="1" bestFit="1" customWidth="1"/>
    <col min="2837" max="2837" width="11.140625" style="1" bestFit="1" customWidth="1"/>
    <col min="2838" max="3074" width="9.140625" style="1"/>
    <col min="3075" max="3075" width="0" style="1" hidden="1" customWidth="1"/>
    <col min="3076" max="3076" width="15.85546875" style="1" bestFit="1" customWidth="1"/>
    <col min="3077" max="3077" width="21.7109375" style="1" bestFit="1" customWidth="1"/>
    <col min="3078" max="3078" width="48.5703125" style="1" customWidth="1"/>
    <col min="3079" max="3081" width="18.28515625" style="1" bestFit="1" customWidth="1"/>
    <col min="3082" max="3083" width="18.28515625" style="1" customWidth="1"/>
    <col min="3084" max="3084" width="23.42578125" style="1" customWidth="1"/>
    <col min="3085" max="3085" width="37.42578125" style="1" customWidth="1"/>
    <col min="3086" max="3086" width="30" style="1" bestFit="1" customWidth="1"/>
    <col min="3087" max="3087" width="26.5703125" style="1" customWidth="1"/>
    <col min="3088" max="3088" width="27.28515625" style="1" customWidth="1"/>
    <col min="3089" max="3089" width="12.28515625" style="1" bestFit="1" customWidth="1"/>
    <col min="3090" max="3090" width="12.42578125" style="1" bestFit="1" customWidth="1"/>
    <col min="3091" max="3091" width="13.7109375" style="1" bestFit="1" customWidth="1"/>
    <col min="3092" max="3092" width="11.28515625" style="1" bestFit="1" customWidth="1"/>
    <col min="3093" max="3093" width="11.140625" style="1" bestFit="1" customWidth="1"/>
    <col min="3094" max="3330" width="9.140625" style="1"/>
    <col min="3331" max="3331" width="0" style="1" hidden="1" customWidth="1"/>
    <col min="3332" max="3332" width="15.85546875" style="1" bestFit="1" customWidth="1"/>
    <col min="3333" max="3333" width="21.7109375" style="1" bestFit="1" customWidth="1"/>
    <col min="3334" max="3334" width="48.5703125" style="1" customWidth="1"/>
    <col min="3335" max="3337" width="18.28515625" style="1" bestFit="1" customWidth="1"/>
    <col min="3338" max="3339" width="18.28515625" style="1" customWidth="1"/>
    <col min="3340" max="3340" width="23.42578125" style="1" customWidth="1"/>
    <col min="3341" max="3341" width="37.42578125" style="1" customWidth="1"/>
    <col min="3342" max="3342" width="30" style="1" bestFit="1" customWidth="1"/>
    <col min="3343" max="3343" width="26.5703125" style="1" customWidth="1"/>
    <col min="3344" max="3344" width="27.28515625" style="1" customWidth="1"/>
    <col min="3345" max="3345" width="12.28515625" style="1" bestFit="1" customWidth="1"/>
    <col min="3346" max="3346" width="12.42578125" style="1" bestFit="1" customWidth="1"/>
    <col min="3347" max="3347" width="13.7109375" style="1" bestFit="1" customWidth="1"/>
    <col min="3348" max="3348" width="11.28515625" style="1" bestFit="1" customWidth="1"/>
    <col min="3349" max="3349" width="11.140625" style="1" bestFit="1" customWidth="1"/>
    <col min="3350" max="3586" width="9.140625" style="1"/>
    <col min="3587" max="3587" width="0" style="1" hidden="1" customWidth="1"/>
    <col min="3588" max="3588" width="15.85546875" style="1" bestFit="1" customWidth="1"/>
    <col min="3589" max="3589" width="21.7109375" style="1" bestFit="1" customWidth="1"/>
    <col min="3590" max="3590" width="48.5703125" style="1" customWidth="1"/>
    <col min="3591" max="3593" width="18.28515625" style="1" bestFit="1" customWidth="1"/>
    <col min="3594" max="3595" width="18.28515625" style="1" customWidth="1"/>
    <col min="3596" max="3596" width="23.42578125" style="1" customWidth="1"/>
    <col min="3597" max="3597" width="37.42578125" style="1" customWidth="1"/>
    <col min="3598" max="3598" width="30" style="1" bestFit="1" customWidth="1"/>
    <col min="3599" max="3599" width="26.5703125" style="1" customWidth="1"/>
    <col min="3600" max="3600" width="27.28515625" style="1" customWidth="1"/>
    <col min="3601" max="3601" width="12.28515625" style="1" bestFit="1" customWidth="1"/>
    <col min="3602" max="3602" width="12.42578125" style="1" bestFit="1" customWidth="1"/>
    <col min="3603" max="3603" width="13.7109375" style="1" bestFit="1" customWidth="1"/>
    <col min="3604" max="3604" width="11.28515625" style="1" bestFit="1" customWidth="1"/>
    <col min="3605" max="3605" width="11.140625" style="1" bestFit="1" customWidth="1"/>
    <col min="3606" max="3842" width="9.140625" style="1"/>
    <col min="3843" max="3843" width="0" style="1" hidden="1" customWidth="1"/>
    <col min="3844" max="3844" width="15.85546875" style="1" bestFit="1" customWidth="1"/>
    <col min="3845" max="3845" width="21.7109375" style="1" bestFit="1" customWidth="1"/>
    <col min="3846" max="3846" width="48.5703125" style="1" customWidth="1"/>
    <col min="3847" max="3849" width="18.28515625" style="1" bestFit="1" customWidth="1"/>
    <col min="3850" max="3851" width="18.28515625" style="1" customWidth="1"/>
    <col min="3852" max="3852" width="23.42578125" style="1" customWidth="1"/>
    <col min="3853" max="3853" width="37.42578125" style="1" customWidth="1"/>
    <col min="3854" max="3854" width="30" style="1" bestFit="1" customWidth="1"/>
    <col min="3855" max="3855" width="26.5703125" style="1" customWidth="1"/>
    <col min="3856" max="3856" width="27.28515625" style="1" customWidth="1"/>
    <col min="3857" max="3857" width="12.28515625" style="1" bestFit="1" customWidth="1"/>
    <col min="3858" max="3858" width="12.42578125" style="1" bestFit="1" customWidth="1"/>
    <col min="3859" max="3859" width="13.7109375" style="1" bestFit="1" customWidth="1"/>
    <col min="3860" max="3860" width="11.28515625" style="1" bestFit="1" customWidth="1"/>
    <col min="3861" max="3861" width="11.140625" style="1" bestFit="1" customWidth="1"/>
    <col min="3862" max="4098" width="9.140625" style="1"/>
    <col min="4099" max="4099" width="0" style="1" hidden="1" customWidth="1"/>
    <col min="4100" max="4100" width="15.85546875" style="1" bestFit="1" customWidth="1"/>
    <col min="4101" max="4101" width="21.7109375" style="1" bestFit="1" customWidth="1"/>
    <col min="4102" max="4102" width="48.5703125" style="1" customWidth="1"/>
    <col min="4103" max="4105" width="18.28515625" style="1" bestFit="1" customWidth="1"/>
    <col min="4106" max="4107" width="18.28515625" style="1" customWidth="1"/>
    <col min="4108" max="4108" width="23.42578125" style="1" customWidth="1"/>
    <col min="4109" max="4109" width="37.42578125" style="1" customWidth="1"/>
    <col min="4110" max="4110" width="30" style="1" bestFit="1" customWidth="1"/>
    <col min="4111" max="4111" width="26.5703125" style="1" customWidth="1"/>
    <col min="4112" max="4112" width="27.28515625" style="1" customWidth="1"/>
    <col min="4113" max="4113" width="12.28515625" style="1" bestFit="1" customWidth="1"/>
    <col min="4114" max="4114" width="12.42578125" style="1" bestFit="1" customWidth="1"/>
    <col min="4115" max="4115" width="13.7109375" style="1" bestFit="1" customWidth="1"/>
    <col min="4116" max="4116" width="11.28515625" style="1" bestFit="1" customWidth="1"/>
    <col min="4117" max="4117" width="11.140625" style="1" bestFit="1" customWidth="1"/>
    <col min="4118" max="4354" width="9.140625" style="1"/>
    <col min="4355" max="4355" width="0" style="1" hidden="1" customWidth="1"/>
    <col min="4356" max="4356" width="15.85546875" style="1" bestFit="1" customWidth="1"/>
    <col min="4357" max="4357" width="21.7109375" style="1" bestFit="1" customWidth="1"/>
    <col min="4358" max="4358" width="48.5703125" style="1" customWidth="1"/>
    <col min="4359" max="4361" width="18.28515625" style="1" bestFit="1" customWidth="1"/>
    <col min="4362" max="4363" width="18.28515625" style="1" customWidth="1"/>
    <col min="4364" max="4364" width="23.42578125" style="1" customWidth="1"/>
    <col min="4365" max="4365" width="37.42578125" style="1" customWidth="1"/>
    <col min="4366" max="4366" width="30" style="1" bestFit="1" customWidth="1"/>
    <col min="4367" max="4367" width="26.5703125" style="1" customWidth="1"/>
    <col min="4368" max="4368" width="27.28515625" style="1" customWidth="1"/>
    <col min="4369" max="4369" width="12.28515625" style="1" bestFit="1" customWidth="1"/>
    <col min="4370" max="4370" width="12.42578125" style="1" bestFit="1" customWidth="1"/>
    <col min="4371" max="4371" width="13.7109375" style="1" bestFit="1" customWidth="1"/>
    <col min="4372" max="4372" width="11.28515625" style="1" bestFit="1" customWidth="1"/>
    <col min="4373" max="4373" width="11.140625" style="1" bestFit="1" customWidth="1"/>
    <col min="4374" max="4610" width="9.140625" style="1"/>
    <col min="4611" max="4611" width="0" style="1" hidden="1" customWidth="1"/>
    <col min="4612" max="4612" width="15.85546875" style="1" bestFit="1" customWidth="1"/>
    <col min="4613" max="4613" width="21.7109375" style="1" bestFit="1" customWidth="1"/>
    <col min="4614" max="4614" width="48.5703125" style="1" customWidth="1"/>
    <col min="4615" max="4617" width="18.28515625" style="1" bestFit="1" customWidth="1"/>
    <col min="4618" max="4619" width="18.28515625" style="1" customWidth="1"/>
    <col min="4620" max="4620" width="23.42578125" style="1" customWidth="1"/>
    <col min="4621" max="4621" width="37.42578125" style="1" customWidth="1"/>
    <col min="4622" max="4622" width="30" style="1" bestFit="1" customWidth="1"/>
    <col min="4623" max="4623" width="26.5703125" style="1" customWidth="1"/>
    <col min="4624" max="4624" width="27.28515625" style="1" customWidth="1"/>
    <col min="4625" max="4625" width="12.28515625" style="1" bestFit="1" customWidth="1"/>
    <col min="4626" max="4626" width="12.42578125" style="1" bestFit="1" customWidth="1"/>
    <col min="4627" max="4627" width="13.7109375" style="1" bestFit="1" customWidth="1"/>
    <col min="4628" max="4628" width="11.28515625" style="1" bestFit="1" customWidth="1"/>
    <col min="4629" max="4629" width="11.140625" style="1" bestFit="1" customWidth="1"/>
    <col min="4630" max="4866" width="9.140625" style="1"/>
    <col min="4867" max="4867" width="0" style="1" hidden="1" customWidth="1"/>
    <col min="4868" max="4868" width="15.85546875" style="1" bestFit="1" customWidth="1"/>
    <col min="4869" max="4869" width="21.7109375" style="1" bestFit="1" customWidth="1"/>
    <col min="4870" max="4870" width="48.5703125" style="1" customWidth="1"/>
    <col min="4871" max="4873" width="18.28515625" style="1" bestFit="1" customWidth="1"/>
    <col min="4874" max="4875" width="18.28515625" style="1" customWidth="1"/>
    <col min="4876" max="4876" width="23.42578125" style="1" customWidth="1"/>
    <col min="4877" max="4877" width="37.42578125" style="1" customWidth="1"/>
    <col min="4878" max="4878" width="30" style="1" bestFit="1" customWidth="1"/>
    <col min="4879" max="4879" width="26.5703125" style="1" customWidth="1"/>
    <col min="4880" max="4880" width="27.28515625" style="1" customWidth="1"/>
    <col min="4881" max="4881" width="12.28515625" style="1" bestFit="1" customWidth="1"/>
    <col min="4882" max="4882" width="12.42578125" style="1" bestFit="1" customWidth="1"/>
    <col min="4883" max="4883" width="13.7109375" style="1" bestFit="1" customWidth="1"/>
    <col min="4884" max="4884" width="11.28515625" style="1" bestFit="1" customWidth="1"/>
    <col min="4885" max="4885" width="11.140625" style="1" bestFit="1" customWidth="1"/>
    <col min="4886" max="5122" width="9.140625" style="1"/>
    <col min="5123" max="5123" width="0" style="1" hidden="1" customWidth="1"/>
    <col min="5124" max="5124" width="15.85546875" style="1" bestFit="1" customWidth="1"/>
    <col min="5125" max="5125" width="21.7109375" style="1" bestFit="1" customWidth="1"/>
    <col min="5126" max="5126" width="48.5703125" style="1" customWidth="1"/>
    <col min="5127" max="5129" width="18.28515625" style="1" bestFit="1" customWidth="1"/>
    <col min="5130" max="5131" width="18.28515625" style="1" customWidth="1"/>
    <col min="5132" max="5132" width="23.42578125" style="1" customWidth="1"/>
    <col min="5133" max="5133" width="37.42578125" style="1" customWidth="1"/>
    <col min="5134" max="5134" width="30" style="1" bestFit="1" customWidth="1"/>
    <col min="5135" max="5135" width="26.5703125" style="1" customWidth="1"/>
    <col min="5136" max="5136" width="27.28515625" style="1" customWidth="1"/>
    <col min="5137" max="5137" width="12.28515625" style="1" bestFit="1" customWidth="1"/>
    <col min="5138" max="5138" width="12.42578125" style="1" bestFit="1" customWidth="1"/>
    <col min="5139" max="5139" width="13.7109375" style="1" bestFit="1" customWidth="1"/>
    <col min="5140" max="5140" width="11.28515625" style="1" bestFit="1" customWidth="1"/>
    <col min="5141" max="5141" width="11.140625" style="1" bestFit="1" customWidth="1"/>
    <col min="5142" max="5378" width="9.140625" style="1"/>
    <col min="5379" max="5379" width="0" style="1" hidden="1" customWidth="1"/>
    <col min="5380" max="5380" width="15.85546875" style="1" bestFit="1" customWidth="1"/>
    <col min="5381" max="5381" width="21.7109375" style="1" bestFit="1" customWidth="1"/>
    <col min="5382" max="5382" width="48.5703125" style="1" customWidth="1"/>
    <col min="5383" max="5385" width="18.28515625" style="1" bestFit="1" customWidth="1"/>
    <col min="5386" max="5387" width="18.28515625" style="1" customWidth="1"/>
    <col min="5388" max="5388" width="23.42578125" style="1" customWidth="1"/>
    <col min="5389" max="5389" width="37.42578125" style="1" customWidth="1"/>
    <col min="5390" max="5390" width="30" style="1" bestFit="1" customWidth="1"/>
    <col min="5391" max="5391" width="26.5703125" style="1" customWidth="1"/>
    <col min="5392" max="5392" width="27.28515625" style="1" customWidth="1"/>
    <col min="5393" max="5393" width="12.28515625" style="1" bestFit="1" customWidth="1"/>
    <col min="5394" max="5394" width="12.42578125" style="1" bestFit="1" customWidth="1"/>
    <col min="5395" max="5395" width="13.7109375" style="1" bestFit="1" customWidth="1"/>
    <col min="5396" max="5396" width="11.28515625" style="1" bestFit="1" customWidth="1"/>
    <col min="5397" max="5397" width="11.140625" style="1" bestFit="1" customWidth="1"/>
    <col min="5398" max="5634" width="9.140625" style="1"/>
    <col min="5635" max="5635" width="0" style="1" hidden="1" customWidth="1"/>
    <col min="5636" max="5636" width="15.85546875" style="1" bestFit="1" customWidth="1"/>
    <col min="5637" max="5637" width="21.7109375" style="1" bestFit="1" customWidth="1"/>
    <col min="5638" max="5638" width="48.5703125" style="1" customWidth="1"/>
    <col min="5639" max="5641" width="18.28515625" style="1" bestFit="1" customWidth="1"/>
    <col min="5642" max="5643" width="18.28515625" style="1" customWidth="1"/>
    <col min="5644" max="5644" width="23.42578125" style="1" customWidth="1"/>
    <col min="5645" max="5645" width="37.42578125" style="1" customWidth="1"/>
    <col min="5646" max="5646" width="30" style="1" bestFit="1" customWidth="1"/>
    <col min="5647" max="5647" width="26.5703125" style="1" customWidth="1"/>
    <col min="5648" max="5648" width="27.28515625" style="1" customWidth="1"/>
    <col min="5649" max="5649" width="12.28515625" style="1" bestFit="1" customWidth="1"/>
    <col min="5650" max="5650" width="12.42578125" style="1" bestFit="1" customWidth="1"/>
    <col min="5651" max="5651" width="13.7109375" style="1" bestFit="1" customWidth="1"/>
    <col min="5652" max="5652" width="11.28515625" style="1" bestFit="1" customWidth="1"/>
    <col min="5653" max="5653" width="11.140625" style="1" bestFit="1" customWidth="1"/>
    <col min="5654" max="5890" width="9.140625" style="1"/>
    <col min="5891" max="5891" width="0" style="1" hidden="1" customWidth="1"/>
    <col min="5892" max="5892" width="15.85546875" style="1" bestFit="1" customWidth="1"/>
    <col min="5893" max="5893" width="21.7109375" style="1" bestFit="1" customWidth="1"/>
    <col min="5894" max="5894" width="48.5703125" style="1" customWidth="1"/>
    <col min="5895" max="5897" width="18.28515625" style="1" bestFit="1" customWidth="1"/>
    <col min="5898" max="5899" width="18.28515625" style="1" customWidth="1"/>
    <col min="5900" max="5900" width="23.42578125" style="1" customWidth="1"/>
    <col min="5901" max="5901" width="37.42578125" style="1" customWidth="1"/>
    <col min="5902" max="5902" width="30" style="1" bestFit="1" customWidth="1"/>
    <col min="5903" max="5903" width="26.5703125" style="1" customWidth="1"/>
    <col min="5904" max="5904" width="27.28515625" style="1" customWidth="1"/>
    <col min="5905" max="5905" width="12.28515625" style="1" bestFit="1" customWidth="1"/>
    <col min="5906" max="5906" width="12.42578125" style="1" bestFit="1" customWidth="1"/>
    <col min="5907" max="5907" width="13.7109375" style="1" bestFit="1" customWidth="1"/>
    <col min="5908" max="5908" width="11.28515625" style="1" bestFit="1" customWidth="1"/>
    <col min="5909" max="5909" width="11.140625" style="1" bestFit="1" customWidth="1"/>
    <col min="5910" max="6146" width="9.140625" style="1"/>
    <col min="6147" max="6147" width="0" style="1" hidden="1" customWidth="1"/>
    <col min="6148" max="6148" width="15.85546875" style="1" bestFit="1" customWidth="1"/>
    <col min="6149" max="6149" width="21.7109375" style="1" bestFit="1" customWidth="1"/>
    <col min="6150" max="6150" width="48.5703125" style="1" customWidth="1"/>
    <col min="6151" max="6153" width="18.28515625" style="1" bestFit="1" customWidth="1"/>
    <col min="6154" max="6155" width="18.28515625" style="1" customWidth="1"/>
    <col min="6156" max="6156" width="23.42578125" style="1" customWidth="1"/>
    <col min="6157" max="6157" width="37.42578125" style="1" customWidth="1"/>
    <col min="6158" max="6158" width="30" style="1" bestFit="1" customWidth="1"/>
    <col min="6159" max="6159" width="26.5703125" style="1" customWidth="1"/>
    <col min="6160" max="6160" width="27.28515625" style="1" customWidth="1"/>
    <col min="6161" max="6161" width="12.28515625" style="1" bestFit="1" customWidth="1"/>
    <col min="6162" max="6162" width="12.42578125" style="1" bestFit="1" customWidth="1"/>
    <col min="6163" max="6163" width="13.7109375" style="1" bestFit="1" customWidth="1"/>
    <col min="6164" max="6164" width="11.28515625" style="1" bestFit="1" customWidth="1"/>
    <col min="6165" max="6165" width="11.140625" style="1" bestFit="1" customWidth="1"/>
    <col min="6166" max="6402" width="9.140625" style="1"/>
    <col min="6403" max="6403" width="0" style="1" hidden="1" customWidth="1"/>
    <col min="6404" max="6404" width="15.85546875" style="1" bestFit="1" customWidth="1"/>
    <col min="6405" max="6405" width="21.7109375" style="1" bestFit="1" customWidth="1"/>
    <col min="6406" max="6406" width="48.5703125" style="1" customWidth="1"/>
    <col min="6407" max="6409" width="18.28515625" style="1" bestFit="1" customWidth="1"/>
    <col min="6410" max="6411" width="18.28515625" style="1" customWidth="1"/>
    <col min="6412" max="6412" width="23.42578125" style="1" customWidth="1"/>
    <col min="6413" max="6413" width="37.42578125" style="1" customWidth="1"/>
    <col min="6414" max="6414" width="30" style="1" bestFit="1" customWidth="1"/>
    <col min="6415" max="6415" width="26.5703125" style="1" customWidth="1"/>
    <col min="6416" max="6416" width="27.28515625" style="1" customWidth="1"/>
    <col min="6417" max="6417" width="12.28515625" style="1" bestFit="1" customWidth="1"/>
    <col min="6418" max="6418" width="12.42578125" style="1" bestFit="1" customWidth="1"/>
    <col min="6419" max="6419" width="13.7109375" style="1" bestFit="1" customWidth="1"/>
    <col min="6420" max="6420" width="11.28515625" style="1" bestFit="1" customWidth="1"/>
    <col min="6421" max="6421" width="11.140625" style="1" bestFit="1" customWidth="1"/>
    <col min="6422" max="6658" width="9.140625" style="1"/>
    <col min="6659" max="6659" width="0" style="1" hidden="1" customWidth="1"/>
    <col min="6660" max="6660" width="15.85546875" style="1" bestFit="1" customWidth="1"/>
    <col min="6661" max="6661" width="21.7109375" style="1" bestFit="1" customWidth="1"/>
    <col min="6662" max="6662" width="48.5703125" style="1" customWidth="1"/>
    <col min="6663" max="6665" width="18.28515625" style="1" bestFit="1" customWidth="1"/>
    <col min="6666" max="6667" width="18.28515625" style="1" customWidth="1"/>
    <col min="6668" max="6668" width="23.42578125" style="1" customWidth="1"/>
    <col min="6669" max="6669" width="37.42578125" style="1" customWidth="1"/>
    <col min="6670" max="6670" width="30" style="1" bestFit="1" customWidth="1"/>
    <col min="6671" max="6671" width="26.5703125" style="1" customWidth="1"/>
    <col min="6672" max="6672" width="27.28515625" style="1" customWidth="1"/>
    <col min="6673" max="6673" width="12.28515625" style="1" bestFit="1" customWidth="1"/>
    <col min="6674" max="6674" width="12.42578125" style="1" bestFit="1" customWidth="1"/>
    <col min="6675" max="6675" width="13.7109375" style="1" bestFit="1" customWidth="1"/>
    <col min="6676" max="6676" width="11.28515625" style="1" bestFit="1" customWidth="1"/>
    <col min="6677" max="6677" width="11.140625" style="1" bestFit="1" customWidth="1"/>
    <col min="6678" max="6914" width="9.140625" style="1"/>
    <col min="6915" max="6915" width="0" style="1" hidden="1" customWidth="1"/>
    <col min="6916" max="6916" width="15.85546875" style="1" bestFit="1" customWidth="1"/>
    <col min="6917" max="6917" width="21.7109375" style="1" bestFit="1" customWidth="1"/>
    <col min="6918" max="6918" width="48.5703125" style="1" customWidth="1"/>
    <col min="6919" max="6921" width="18.28515625" style="1" bestFit="1" customWidth="1"/>
    <col min="6922" max="6923" width="18.28515625" style="1" customWidth="1"/>
    <col min="6924" max="6924" width="23.42578125" style="1" customWidth="1"/>
    <col min="6925" max="6925" width="37.42578125" style="1" customWidth="1"/>
    <col min="6926" max="6926" width="30" style="1" bestFit="1" customWidth="1"/>
    <col min="6927" max="6927" width="26.5703125" style="1" customWidth="1"/>
    <col min="6928" max="6928" width="27.28515625" style="1" customWidth="1"/>
    <col min="6929" max="6929" width="12.28515625" style="1" bestFit="1" customWidth="1"/>
    <col min="6930" max="6930" width="12.42578125" style="1" bestFit="1" customWidth="1"/>
    <col min="6931" max="6931" width="13.7109375" style="1" bestFit="1" customWidth="1"/>
    <col min="6932" max="6932" width="11.28515625" style="1" bestFit="1" customWidth="1"/>
    <col min="6933" max="6933" width="11.140625" style="1" bestFit="1" customWidth="1"/>
    <col min="6934" max="7170" width="9.140625" style="1"/>
    <col min="7171" max="7171" width="0" style="1" hidden="1" customWidth="1"/>
    <col min="7172" max="7172" width="15.85546875" style="1" bestFit="1" customWidth="1"/>
    <col min="7173" max="7173" width="21.7109375" style="1" bestFit="1" customWidth="1"/>
    <col min="7174" max="7174" width="48.5703125" style="1" customWidth="1"/>
    <col min="7175" max="7177" width="18.28515625" style="1" bestFit="1" customWidth="1"/>
    <col min="7178" max="7179" width="18.28515625" style="1" customWidth="1"/>
    <col min="7180" max="7180" width="23.42578125" style="1" customWidth="1"/>
    <col min="7181" max="7181" width="37.42578125" style="1" customWidth="1"/>
    <col min="7182" max="7182" width="30" style="1" bestFit="1" customWidth="1"/>
    <col min="7183" max="7183" width="26.5703125" style="1" customWidth="1"/>
    <col min="7184" max="7184" width="27.28515625" style="1" customWidth="1"/>
    <col min="7185" max="7185" width="12.28515625" style="1" bestFit="1" customWidth="1"/>
    <col min="7186" max="7186" width="12.42578125" style="1" bestFit="1" customWidth="1"/>
    <col min="7187" max="7187" width="13.7109375" style="1" bestFit="1" customWidth="1"/>
    <col min="7188" max="7188" width="11.28515625" style="1" bestFit="1" customWidth="1"/>
    <col min="7189" max="7189" width="11.140625" style="1" bestFit="1" customWidth="1"/>
    <col min="7190" max="7426" width="9.140625" style="1"/>
    <col min="7427" max="7427" width="0" style="1" hidden="1" customWidth="1"/>
    <col min="7428" max="7428" width="15.85546875" style="1" bestFit="1" customWidth="1"/>
    <col min="7429" max="7429" width="21.7109375" style="1" bestFit="1" customWidth="1"/>
    <col min="7430" max="7430" width="48.5703125" style="1" customWidth="1"/>
    <col min="7431" max="7433" width="18.28515625" style="1" bestFit="1" customWidth="1"/>
    <col min="7434" max="7435" width="18.28515625" style="1" customWidth="1"/>
    <col min="7436" max="7436" width="23.42578125" style="1" customWidth="1"/>
    <col min="7437" max="7437" width="37.42578125" style="1" customWidth="1"/>
    <col min="7438" max="7438" width="30" style="1" bestFit="1" customWidth="1"/>
    <col min="7439" max="7439" width="26.5703125" style="1" customWidth="1"/>
    <col min="7440" max="7440" width="27.28515625" style="1" customWidth="1"/>
    <col min="7441" max="7441" width="12.28515625" style="1" bestFit="1" customWidth="1"/>
    <col min="7442" max="7442" width="12.42578125" style="1" bestFit="1" customWidth="1"/>
    <col min="7443" max="7443" width="13.7109375" style="1" bestFit="1" customWidth="1"/>
    <col min="7444" max="7444" width="11.28515625" style="1" bestFit="1" customWidth="1"/>
    <col min="7445" max="7445" width="11.140625" style="1" bestFit="1" customWidth="1"/>
    <col min="7446" max="7682" width="9.140625" style="1"/>
    <col min="7683" max="7683" width="0" style="1" hidden="1" customWidth="1"/>
    <col min="7684" max="7684" width="15.85546875" style="1" bestFit="1" customWidth="1"/>
    <col min="7685" max="7685" width="21.7109375" style="1" bestFit="1" customWidth="1"/>
    <col min="7686" max="7686" width="48.5703125" style="1" customWidth="1"/>
    <col min="7687" max="7689" width="18.28515625" style="1" bestFit="1" customWidth="1"/>
    <col min="7690" max="7691" width="18.28515625" style="1" customWidth="1"/>
    <col min="7692" max="7692" width="23.42578125" style="1" customWidth="1"/>
    <col min="7693" max="7693" width="37.42578125" style="1" customWidth="1"/>
    <col min="7694" max="7694" width="30" style="1" bestFit="1" customWidth="1"/>
    <col min="7695" max="7695" width="26.5703125" style="1" customWidth="1"/>
    <col min="7696" max="7696" width="27.28515625" style="1" customWidth="1"/>
    <col min="7697" max="7697" width="12.28515625" style="1" bestFit="1" customWidth="1"/>
    <col min="7698" max="7698" width="12.42578125" style="1" bestFit="1" customWidth="1"/>
    <col min="7699" max="7699" width="13.7109375" style="1" bestFit="1" customWidth="1"/>
    <col min="7700" max="7700" width="11.28515625" style="1" bestFit="1" customWidth="1"/>
    <col min="7701" max="7701" width="11.140625" style="1" bestFit="1" customWidth="1"/>
    <col min="7702" max="7938" width="9.140625" style="1"/>
    <col min="7939" max="7939" width="0" style="1" hidden="1" customWidth="1"/>
    <col min="7940" max="7940" width="15.85546875" style="1" bestFit="1" customWidth="1"/>
    <col min="7941" max="7941" width="21.7109375" style="1" bestFit="1" customWidth="1"/>
    <col min="7942" max="7942" width="48.5703125" style="1" customWidth="1"/>
    <col min="7943" max="7945" width="18.28515625" style="1" bestFit="1" customWidth="1"/>
    <col min="7946" max="7947" width="18.28515625" style="1" customWidth="1"/>
    <col min="7948" max="7948" width="23.42578125" style="1" customWidth="1"/>
    <col min="7949" max="7949" width="37.42578125" style="1" customWidth="1"/>
    <col min="7950" max="7950" width="30" style="1" bestFit="1" customWidth="1"/>
    <col min="7951" max="7951" width="26.5703125" style="1" customWidth="1"/>
    <col min="7952" max="7952" width="27.28515625" style="1" customWidth="1"/>
    <col min="7953" max="7953" width="12.28515625" style="1" bestFit="1" customWidth="1"/>
    <col min="7954" max="7954" width="12.42578125" style="1" bestFit="1" customWidth="1"/>
    <col min="7955" max="7955" width="13.7109375" style="1" bestFit="1" customWidth="1"/>
    <col min="7956" max="7956" width="11.28515625" style="1" bestFit="1" customWidth="1"/>
    <col min="7957" max="7957" width="11.140625" style="1" bestFit="1" customWidth="1"/>
    <col min="7958" max="8194" width="9.140625" style="1"/>
    <col min="8195" max="8195" width="0" style="1" hidden="1" customWidth="1"/>
    <col min="8196" max="8196" width="15.85546875" style="1" bestFit="1" customWidth="1"/>
    <col min="8197" max="8197" width="21.7109375" style="1" bestFit="1" customWidth="1"/>
    <col min="8198" max="8198" width="48.5703125" style="1" customWidth="1"/>
    <col min="8199" max="8201" width="18.28515625" style="1" bestFit="1" customWidth="1"/>
    <col min="8202" max="8203" width="18.28515625" style="1" customWidth="1"/>
    <col min="8204" max="8204" width="23.42578125" style="1" customWidth="1"/>
    <col min="8205" max="8205" width="37.42578125" style="1" customWidth="1"/>
    <col min="8206" max="8206" width="30" style="1" bestFit="1" customWidth="1"/>
    <col min="8207" max="8207" width="26.5703125" style="1" customWidth="1"/>
    <col min="8208" max="8208" width="27.28515625" style="1" customWidth="1"/>
    <col min="8209" max="8209" width="12.28515625" style="1" bestFit="1" customWidth="1"/>
    <col min="8210" max="8210" width="12.42578125" style="1" bestFit="1" customWidth="1"/>
    <col min="8211" max="8211" width="13.7109375" style="1" bestFit="1" customWidth="1"/>
    <col min="8212" max="8212" width="11.28515625" style="1" bestFit="1" customWidth="1"/>
    <col min="8213" max="8213" width="11.140625" style="1" bestFit="1" customWidth="1"/>
    <col min="8214" max="8450" width="9.140625" style="1"/>
    <col min="8451" max="8451" width="0" style="1" hidden="1" customWidth="1"/>
    <col min="8452" max="8452" width="15.85546875" style="1" bestFit="1" customWidth="1"/>
    <col min="8453" max="8453" width="21.7109375" style="1" bestFit="1" customWidth="1"/>
    <col min="8454" max="8454" width="48.5703125" style="1" customWidth="1"/>
    <col min="8455" max="8457" width="18.28515625" style="1" bestFit="1" customWidth="1"/>
    <col min="8458" max="8459" width="18.28515625" style="1" customWidth="1"/>
    <col min="8460" max="8460" width="23.42578125" style="1" customWidth="1"/>
    <col min="8461" max="8461" width="37.42578125" style="1" customWidth="1"/>
    <col min="8462" max="8462" width="30" style="1" bestFit="1" customWidth="1"/>
    <col min="8463" max="8463" width="26.5703125" style="1" customWidth="1"/>
    <col min="8464" max="8464" width="27.28515625" style="1" customWidth="1"/>
    <col min="8465" max="8465" width="12.28515625" style="1" bestFit="1" customWidth="1"/>
    <col min="8466" max="8466" width="12.42578125" style="1" bestFit="1" customWidth="1"/>
    <col min="8467" max="8467" width="13.7109375" style="1" bestFit="1" customWidth="1"/>
    <col min="8468" max="8468" width="11.28515625" style="1" bestFit="1" customWidth="1"/>
    <col min="8469" max="8469" width="11.140625" style="1" bestFit="1" customWidth="1"/>
    <col min="8470" max="8706" width="9.140625" style="1"/>
    <col min="8707" max="8707" width="0" style="1" hidden="1" customWidth="1"/>
    <col min="8708" max="8708" width="15.85546875" style="1" bestFit="1" customWidth="1"/>
    <col min="8709" max="8709" width="21.7109375" style="1" bestFit="1" customWidth="1"/>
    <col min="8710" max="8710" width="48.5703125" style="1" customWidth="1"/>
    <col min="8711" max="8713" width="18.28515625" style="1" bestFit="1" customWidth="1"/>
    <col min="8714" max="8715" width="18.28515625" style="1" customWidth="1"/>
    <col min="8716" max="8716" width="23.42578125" style="1" customWidth="1"/>
    <col min="8717" max="8717" width="37.42578125" style="1" customWidth="1"/>
    <col min="8718" max="8718" width="30" style="1" bestFit="1" customWidth="1"/>
    <col min="8719" max="8719" width="26.5703125" style="1" customWidth="1"/>
    <col min="8720" max="8720" width="27.28515625" style="1" customWidth="1"/>
    <col min="8721" max="8721" width="12.28515625" style="1" bestFit="1" customWidth="1"/>
    <col min="8722" max="8722" width="12.42578125" style="1" bestFit="1" customWidth="1"/>
    <col min="8723" max="8723" width="13.7109375" style="1" bestFit="1" customWidth="1"/>
    <col min="8724" max="8724" width="11.28515625" style="1" bestFit="1" customWidth="1"/>
    <col min="8725" max="8725" width="11.140625" style="1" bestFit="1" customWidth="1"/>
    <col min="8726" max="8962" width="9.140625" style="1"/>
    <col min="8963" max="8963" width="0" style="1" hidden="1" customWidth="1"/>
    <col min="8964" max="8964" width="15.85546875" style="1" bestFit="1" customWidth="1"/>
    <col min="8965" max="8965" width="21.7109375" style="1" bestFit="1" customWidth="1"/>
    <col min="8966" max="8966" width="48.5703125" style="1" customWidth="1"/>
    <col min="8967" max="8969" width="18.28515625" style="1" bestFit="1" customWidth="1"/>
    <col min="8970" max="8971" width="18.28515625" style="1" customWidth="1"/>
    <col min="8972" max="8972" width="23.42578125" style="1" customWidth="1"/>
    <col min="8973" max="8973" width="37.42578125" style="1" customWidth="1"/>
    <col min="8974" max="8974" width="30" style="1" bestFit="1" customWidth="1"/>
    <col min="8975" max="8975" width="26.5703125" style="1" customWidth="1"/>
    <col min="8976" max="8976" width="27.28515625" style="1" customWidth="1"/>
    <col min="8977" max="8977" width="12.28515625" style="1" bestFit="1" customWidth="1"/>
    <col min="8978" max="8978" width="12.42578125" style="1" bestFit="1" customWidth="1"/>
    <col min="8979" max="8979" width="13.7109375" style="1" bestFit="1" customWidth="1"/>
    <col min="8980" max="8980" width="11.28515625" style="1" bestFit="1" customWidth="1"/>
    <col min="8981" max="8981" width="11.140625" style="1" bestFit="1" customWidth="1"/>
    <col min="8982" max="9218" width="9.140625" style="1"/>
    <col min="9219" max="9219" width="0" style="1" hidden="1" customWidth="1"/>
    <col min="9220" max="9220" width="15.85546875" style="1" bestFit="1" customWidth="1"/>
    <col min="9221" max="9221" width="21.7109375" style="1" bestFit="1" customWidth="1"/>
    <col min="9222" max="9222" width="48.5703125" style="1" customWidth="1"/>
    <col min="9223" max="9225" width="18.28515625" style="1" bestFit="1" customWidth="1"/>
    <col min="9226" max="9227" width="18.28515625" style="1" customWidth="1"/>
    <col min="9228" max="9228" width="23.42578125" style="1" customWidth="1"/>
    <col min="9229" max="9229" width="37.42578125" style="1" customWidth="1"/>
    <col min="9230" max="9230" width="30" style="1" bestFit="1" customWidth="1"/>
    <col min="9231" max="9231" width="26.5703125" style="1" customWidth="1"/>
    <col min="9232" max="9232" width="27.28515625" style="1" customWidth="1"/>
    <col min="9233" max="9233" width="12.28515625" style="1" bestFit="1" customWidth="1"/>
    <col min="9234" max="9234" width="12.42578125" style="1" bestFit="1" customWidth="1"/>
    <col min="9235" max="9235" width="13.7109375" style="1" bestFit="1" customWidth="1"/>
    <col min="9236" max="9236" width="11.28515625" style="1" bestFit="1" customWidth="1"/>
    <col min="9237" max="9237" width="11.140625" style="1" bestFit="1" customWidth="1"/>
    <col min="9238" max="9474" width="9.140625" style="1"/>
    <col min="9475" max="9475" width="0" style="1" hidden="1" customWidth="1"/>
    <col min="9476" max="9476" width="15.85546875" style="1" bestFit="1" customWidth="1"/>
    <col min="9477" max="9477" width="21.7109375" style="1" bestFit="1" customWidth="1"/>
    <col min="9478" max="9478" width="48.5703125" style="1" customWidth="1"/>
    <col min="9479" max="9481" width="18.28515625" style="1" bestFit="1" customWidth="1"/>
    <col min="9482" max="9483" width="18.28515625" style="1" customWidth="1"/>
    <col min="9484" max="9484" width="23.42578125" style="1" customWidth="1"/>
    <col min="9485" max="9485" width="37.42578125" style="1" customWidth="1"/>
    <col min="9486" max="9486" width="30" style="1" bestFit="1" customWidth="1"/>
    <col min="9487" max="9487" width="26.5703125" style="1" customWidth="1"/>
    <col min="9488" max="9488" width="27.28515625" style="1" customWidth="1"/>
    <col min="9489" max="9489" width="12.28515625" style="1" bestFit="1" customWidth="1"/>
    <col min="9490" max="9490" width="12.42578125" style="1" bestFit="1" customWidth="1"/>
    <col min="9491" max="9491" width="13.7109375" style="1" bestFit="1" customWidth="1"/>
    <col min="9492" max="9492" width="11.28515625" style="1" bestFit="1" customWidth="1"/>
    <col min="9493" max="9493" width="11.140625" style="1" bestFit="1" customWidth="1"/>
    <col min="9494" max="9730" width="9.140625" style="1"/>
    <col min="9731" max="9731" width="0" style="1" hidden="1" customWidth="1"/>
    <col min="9732" max="9732" width="15.85546875" style="1" bestFit="1" customWidth="1"/>
    <col min="9733" max="9733" width="21.7109375" style="1" bestFit="1" customWidth="1"/>
    <col min="9734" max="9734" width="48.5703125" style="1" customWidth="1"/>
    <col min="9735" max="9737" width="18.28515625" style="1" bestFit="1" customWidth="1"/>
    <col min="9738" max="9739" width="18.28515625" style="1" customWidth="1"/>
    <col min="9740" max="9740" width="23.42578125" style="1" customWidth="1"/>
    <col min="9741" max="9741" width="37.42578125" style="1" customWidth="1"/>
    <col min="9742" max="9742" width="30" style="1" bestFit="1" customWidth="1"/>
    <col min="9743" max="9743" width="26.5703125" style="1" customWidth="1"/>
    <col min="9744" max="9744" width="27.28515625" style="1" customWidth="1"/>
    <col min="9745" max="9745" width="12.28515625" style="1" bestFit="1" customWidth="1"/>
    <col min="9746" max="9746" width="12.42578125" style="1" bestFit="1" customWidth="1"/>
    <col min="9747" max="9747" width="13.7109375" style="1" bestFit="1" customWidth="1"/>
    <col min="9748" max="9748" width="11.28515625" style="1" bestFit="1" customWidth="1"/>
    <col min="9749" max="9749" width="11.140625" style="1" bestFit="1" customWidth="1"/>
    <col min="9750" max="9986" width="9.140625" style="1"/>
    <col min="9987" max="9987" width="0" style="1" hidden="1" customWidth="1"/>
    <col min="9988" max="9988" width="15.85546875" style="1" bestFit="1" customWidth="1"/>
    <col min="9989" max="9989" width="21.7109375" style="1" bestFit="1" customWidth="1"/>
    <col min="9990" max="9990" width="48.5703125" style="1" customWidth="1"/>
    <col min="9991" max="9993" width="18.28515625" style="1" bestFit="1" customWidth="1"/>
    <col min="9994" max="9995" width="18.28515625" style="1" customWidth="1"/>
    <col min="9996" max="9996" width="23.42578125" style="1" customWidth="1"/>
    <col min="9997" max="9997" width="37.42578125" style="1" customWidth="1"/>
    <col min="9998" max="9998" width="30" style="1" bestFit="1" customWidth="1"/>
    <col min="9999" max="9999" width="26.5703125" style="1" customWidth="1"/>
    <col min="10000" max="10000" width="27.28515625" style="1" customWidth="1"/>
    <col min="10001" max="10001" width="12.28515625" style="1" bestFit="1" customWidth="1"/>
    <col min="10002" max="10002" width="12.42578125" style="1" bestFit="1" customWidth="1"/>
    <col min="10003" max="10003" width="13.7109375" style="1" bestFit="1" customWidth="1"/>
    <col min="10004" max="10004" width="11.28515625" style="1" bestFit="1" customWidth="1"/>
    <col min="10005" max="10005" width="11.140625" style="1" bestFit="1" customWidth="1"/>
    <col min="10006" max="10242" width="9.140625" style="1"/>
    <col min="10243" max="10243" width="0" style="1" hidden="1" customWidth="1"/>
    <col min="10244" max="10244" width="15.85546875" style="1" bestFit="1" customWidth="1"/>
    <col min="10245" max="10245" width="21.7109375" style="1" bestFit="1" customWidth="1"/>
    <col min="10246" max="10246" width="48.5703125" style="1" customWidth="1"/>
    <col min="10247" max="10249" width="18.28515625" style="1" bestFit="1" customWidth="1"/>
    <col min="10250" max="10251" width="18.28515625" style="1" customWidth="1"/>
    <col min="10252" max="10252" width="23.42578125" style="1" customWidth="1"/>
    <col min="10253" max="10253" width="37.42578125" style="1" customWidth="1"/>
    <col min="10254" max="10254" width="30" style="1" bestFit="1" customWidth="1"/>
    <col min="10255" max="10255" width="26.5703125" style="1" customWidth="1"/>
    <col min="10256" max="10256" width="27.28515625" style="1" customWidth="1"/>
    <col min="10257" max="10257" width="12.28515625" style="1" bestFit="1" customWidth="1"/>
    <col min="10258" max="10258" width="12.42578125" style="1" bestFit="1" customWidth="1"/>
    <col min="10259" max="10259" width="13.7109375" style="1" bestFit="1" customWidth="1"/>
    <col min="10260" max="10260" width="11.28515625" style="1" bestFit="1" customWidth="1"/>
    <col min="10261" max="10261" width="11.140625" style="1" bestFit="1" customWidth="1"/>
    <col min="10262" max="10498" width="9.140625" style="1"/>
    <col min="10499" max="10499" width="0" style="1" hidden="1" customWidth="1"/>
    <col min="10500" max="10500" width="15.85546875" style="1" bestFit="1" customWidth="1"/>
    <col min="10501" max="10501" width="21.7109375" style="1" bestFit="1" customWidth="1"/>
    <col min="10502" max="10502" width="48.5703125" style="1" customWidth="1"/>
    <col min="10503" max="10505" width="18.28515625" style="1" bestFit="1" customWidth="1"/>
    <col min="10506" max="10507" width="18.28515625" style="1" customWidth="1"/>
    <col min="10508" max="10508" width="23.42578125" style="1" customWidth="1"/>
    <col min="10509" max="10509" width="37.42578125" style="1" customWidth="1"/>
    <col min="10510" max="10510" width="30" style="1" bestFit="1" customWidth="1"/>
    <col min="10511" max="10511" width="26.5703125" style="1" customWidth="1"/>
    <col min="10512" max="10512" width="27.28515625" style="1" customWidth="1"/>
    <col min="10513" max="10513" width="12.28515625" style="1" bestFit="1" customWidth="1"/>
    <col min="10514" max="10514" width="12.42578125" style="1" bestFit="1" customWidth="1"/>
    <col min="10515" max="10515" width="13.7109375" style="1" bestFit="1" customWidth="1"/>
    <col min="10516" max="10516" width="11.28515625" style="1" bestFit="1" customWidth="1"/>
    <col min="10517" max="10517" width="11.140625" style="1" bestFit="1" customWidth="1"/>
    <col min="10518" max="10754" width="9.140625" style="1"/>
    <col min="10755" max="10755" width="0" style="1" hidden="1" customWidth="1"/>
    <col min="10756" max="10756" width="15.85546875" style="1" bestFit="1" customWidth="1"/>
    <col min="10757" max="10757" width="21.7109375" style="1" bestFit="1" customWidth="1"/>
    <col min="10758" max="10758" width="48.5703125" style="1" customWidth="1"/>
    <col min="10759" max="10761" width="18.28515625" style="1" bestFit="1" customWidth="1"/>
    <col min="10762" max="10763" width="18.28515625" style="1" customWidth="1"/>
    <col min="10764" max="10764" width="23.42578125" style="1" customWidth="1"/>
    <col min="10765" max="10765" width="37.42578125" style="1" customWidth="1"/>
    <col min="10766" max="10766" width="30" style="1" bestFit="1" customWidth="1"/>
    <col min="10767" max="10767" width="26.5703125" style="1" customWidth="1"/>
    <col min="10768" max="10768" width="27.28515625" style="1" customWidth="1"/>
    <col min="10769" max="10769" width="12.28515625" style="1" bestFit="1" customWidth="1"/>
    <col min="10770" max="10770" width="12.42578125" style="1" bestFit="1" customWidth="1"/>
    <col min="10771" max="10771" width="13.7109375" style="1" bestFit="1" customWidth="1"/>
    <col min="10772" max="10772" width="11.28515625" style="1" bestFit="1" customWidth="1"/>
    <col min="10773" max="10773" width="11.140625" style="1" bestFit="1" customWidth="1"/>
    <col min="10774" max="11010" width="9.140625" style="1"/>
    <col min="11011" max="11011" width="0" style="1" hidden="1" customWidth="1"/>
    <col min="11012" max="11012" width="15.85546875" style="1" bestFit="1" customWidth="1"/>
    <col min="11013" max="11013" width="21.7109375" style="1" bestFit="1" customWidth="1"/>
    <col min="11014" max="11014" width="48.5703125" style="1" customWidth="1"/>
    <col min="11015" max="11017" width="18.28515625" style="1" bestFit="1" customWidth="1"/>
    <col min="11018" max="11019" width="18.28515625" style="1" customWidth="1"/>
    <col min="11020" max="11020" width="23.42578125" style="1" customWidth="1"/>
    <col min="11021" max="11021" width="37.42578125" style="1" customWidth="1"/>
    <col min="11022" max="11022" width="30" style="1" bestFit="1" customWidth="1"/>
    <col min="11023" max="11023" width="26.5703125" style="1" customWidth="1"/>
    <col min="11024" max="11024" width="27.28515625" style="1" customWidth="1"/>
    <col min="11025" max="11025" width="12.28515625" style="1" bestFit="1" customWidth="1"/>
    <col min="11026" max="11026" width="12.42578125" style="1" bestFit="1" customWidth="1"/>
    <col min="11027" max="11027" width="13.7109375" style="1" bestFit="1" customWidth="1"/>
    <col min="11028" max="11028" width="11.28515625" style="1" bestFit="1" customWidth="1"/>
    <col min="11029" max="11029" width="11.140625" style="1" bestFit="1" customWidth="1"/>
    <col min="11030" max="11266" width="9.140625" style="1"/>
    <col min="11267" max="11267" width="0" style="1" hidden="1" customWidth="1"/>
    <col min="11268" max="11268" width="15.85546875" style="1" bestFit="1" customWidth="1"/>
    <col min="11269" max="11269" width="21.7109375" style="1" bestFit="1" customWidth="1"/>
    <col min="11270" max="11270" width="48.5703125" style="1" customWidth="1"/>
    <col min="11271" max="11273" width="18.28515625" style="1" bestFit="1" customWidth="1"/>
    <col min="11274" max="11275" width="18.28515625" style="1" customWidth="1"/>
    <col min="11276" max="11276" width="23.42578125" style="1" customWidth="1"/>
    <col min="11277" max="11277" width="37.42578125" style="1" customWidth="1"/>
    <col min="11278" max="11278" width="30" style="1" bestFit="1" customWidth="1"/>
    <col min="11279" max="11279" width="26.5703125" style="1" customWidth="1"/>
    <col min="11280" max="11280" width="27.28515625" style="1" customWidth="1"/>
    <col min="11281" max="11281" width="12.28515625" style="1" bestFit="1" customWidth="1"/>
    <col min="11282" max="11282" width="12.42578125" style="1" bestFit="1" customWidth="1"/>
    <col min="11283" max="11283" width="13.7109375" style="1" bestFit="1" customWidth="1"/>
    <col min="11284" max="11284" width="11.28515625" style="1" bestFit="1" customWidth="1"/>
    <col min="11285" max="11285" width="11.140625" style="1" bestFit="1" customWidth="1"/>
    <col min="11286" max="11522" width="9.140625" style="1"/>
    <col min="11523" max="11523" width="0" style="1" hidden="1" customWidth="1"/>
    <col min="11524" max="11524" width="15.85546875" style="1" bestFit="1" customWidth="1"/>
    <col min="11525" max="11525" width="21.7109375" style="1" bestFit="1" customWidth="1"/>
    <col min="11526" max="11526" width="48.5703125" style="1" customWidth="1"/>
    <col min="11527" max="11529" width="18.28515625" style="1" bestFit="1" customWidth="1"/>
    <col min="11530" max="11531" width="18.28515625" style="1" customWidth="1"/>
    <col min="11532" max="11532" width="23.42578125" style="1" customWidth="1"/>
    <col min="11533" max="11533" width="37.42578125" style="1" customWidth="1"/>
    <col min="11534" max="11534" width="30" style="1" bestFit="1" customWidth="1"/>
    <col min="11535" max="11535" width="26.5703125" style="1" customWidth="1"/>
    <col min="11536" max="11536" width="27.28515625" style="1" customWidth="1"/>
    <col min="11537" max="11537" width="12.28515625" style="1" bestFit="1" customWidth="1"/>
    <col min="11538" max="11538" width="12.42578125" style="1" bestFit="1" customWidth="1"/>
    <col min="11539" max="11539" width="13.7109375" style="1" bestFit="1" customWidth="1"/>
    <col min="11540" max="11540" width="11.28515625" style="1" bestFit="1" customWidth="1"/>
    <col min="11541" max="11541" width="11.140625" style="1" bestFit="1" customWidth="1"/>
    <col min="11542" max="11778" width="9.140625" style="1"/>
    <col min="11779" max="11779" width="0" style="1" hidden="1" customWidth="1"/>
    <col min="11780" max="11780" width="15.85546875" style="1" bestFit="1" customWidth="1"/>
    <col min="11781" max="11781" width="21.7109375" style="1" bestFit="1" customWidth="1"/>
    <col min="11782" max="11782" width="48.5703125" style="1" customWidth="1"/>
    <col min="11783" max="11785" width="18.28515625" style="1" bestFit="1" customWidth="1"/>
    <col min="11786" max="11787" width="18.28515625" style="1" customWidth="1"/>
    <col min="11788" max="11788" width="23.42578125" style="1" customWidth="1"/>
    <col min="11789" max="11789" width="37.42578125" style="1" customWidth="1"/>
    <col min="11790" max="11790" width="30" style="1" bestFit="1" customWidth="1"/>
    <col min="11791" max="11791" width="26.5703125" style="1" customWidth="1"/>
    <col min="11792" max="11792" width="27.28515625" style="1" customWidth="1"/>
    <col min="11793" max="11793" width="12.28515625" style="1" bestFit="1" customWidth="1"/>
    <col min="11794" max="11794" width="12.42578125" style="1" bestFit="1" customWidth="1"/>
    <col min="11795" max="11795" width="13.7109375" style="1" bestFit="1" customWidth="1"/>
    <col min="11796" max="11796" width="11.28515625" style="1" bestFit="1" customWidth="1"/>
    <col min="11797" max="11797" width="11.140625" style="1" bestFit="1" customWidth="1"/>
    <col min="11798" max="12034" width="9.140625" style="1"/>
    <col min="12035" max="12035" width="0" style="1" hidden="1" customWidth="1"/>
    <col min="12036" max="12036" width="15.85546875" style="1" bestFit="1" customWidth="1"/>
    <col min="12037" max="12037" width="21.7109375" style="1" bestFit="1" customWidth="1"/>
    <col min="12038" max="12038" width="48.5703125" style="1" customWidth="1"/>
    <col min="12039" max="12041" width="18.28515625" style="1" bestFit="1" customWidth="1"/>
    <col min="12042" max="12043" width="18.28515625" style="1" customWidth="1"/>
    <col min="12044" max="12044" width="23.42578125" style="1" customWidth="1"/>
    <col min="12045" max="12045" width="37.42578125" style="1" customWidth="1"/>
    <col min="12046" max="12046" width="30" style="1" bestFit="1" customWidth="1"/>
    <col min="12047" max="12047" width="26.5703125" style="1" customWidth="1"/>
    <col min="12048" max="12048" width="27.28515625" style="1" customWidth="1"/>
    <col min="12049" max="12049" width="12.28515625" style="1" bestFit="1" customWidth="1"/>
    <col min="12050" max="12050" width="12.42578125" style="1" bestFit="1" customWidth="1"/>
    <col min="12051" max="12051" width="13.7109375" style="1" bestFit="1" customWidth="1"/>
    <col min="12052" max="12052" width="11.28515625" style="1" bestFit="1" customWidth="1"/>
    <col min="12053" max="12053" width="11.140625" style="1" bestFit="1" customWidth="1"/>
    <col min="12054" max="12290" width="9.140625" style="1"/>
    <col min="12291" max="12291" width="0" style="1" hidden="1" customWidth="1"/>
    <col min="12292" max="12292" width="15.85546875" style="1" bestFit="1" customWidth="1"/>
    <col min="12293" max="12293" width="21.7109375" style="1" bestFit="1" customWidth="1"/>
    <col min="12294" max="12294" width="48.5703125" style="1" customWidth="1"/>
    <col min="12295" max="12297" width="18.28515625" style="1" bestFit="1" customWidth="1"/>
    <col min="12298" max="12299" width="18.28515625" style="1" customWidth="1"/>
    <col min="12300" max="12300" width="23.42578125" style="1" customWidth="1"/>
    <col min="12301" max="12301" width="37.42578125" style="1" customWidth="1"/>
    <col min="12302" max="12302" width="30" style="1" bestFit="1" customWidth="1"/>
    <col min="12303" max="12303" width="26.5703125" style="1" customWidth="1"/>
    <col min="12304" max="12304" width="27.28515625" style="1" customWidth="1"/>
    <col min="12305" max="12305" width="12.28515625" style="1" bestFit="1" customWidth="1"/>
    <col min="12306" max="12306" width="12.42578125" style="1" bestFit="1" customWidth="1"/>
    <col min="12307" max="12307" width="13.7109375" style="1" bestFit="1" customWidth="1"/>
    <col min="12308" max="12308" width="11.28515625" style="1" bestFit="1" customWidth="1"/>
    <col min="12309" max="12309" width="11.140625" style="1" bestFit="1" customWidth="1"/>
    <col min="12310" max="12546" width="9.140625" style="1"/>
    <col min="12547" max="12547" width="0" style="1" hidden="1" customWidth="1"/>
    <col min="12548" max="12548" width="15.85546875" style="1" bestFit="1" customWidth="1"/>
    <col min="12549" max="12549" width="21.7109375" style="1" bestFit="1" customWidth="1"/>
    <col min="12550" max="12550" width="48.5703125" style="1" customWidth="1"/>
    <col min="12551" max="12553" width="18.28515625" style="1" bestFit="1" customWidth="1"/>
    <col min="12554" max="12555" width="18.28515625" style="1" customWidth="1"/>
    <col min="12556" max="12556" width="23.42578125" style="1" customWidth="1"/>
    <col min="12557" max="12557" width="37.42578125" style="1" customWidth="1"/>
    <col min="12558" max="12558" width="30" style="1" bestFit="1" customWidth="1"/>
    <col min="12559" max="12559" width="26.5703125" style="1" customWidth="1"/>
    <col min="12560" max="12560" width="27.28515625" style="1" customWidth="1"/>
    <col min="12561" max="12561" width="12.28515625" style="1" bestFit="1" customWidth="1"/>
    <col min="12562" max="12562" width="12.42578125" style="1" bestFit="1" customWidth="1"/>
    <col min="12563" max="12563" width="13.7109375" style="1" bestFit="1" customWidth="1"/>
    <col min="12564" max="12564" width="11.28515625" style="1" bestFit="1" customWidth="1"/>
    <col min="12565" max="12565" width="11.140625" style="1" bestFit="1" customWidth="1"/>
    <col min="12566" max="12802" width="9.140625" style="1"/>
    <col min="12803" max="12803" width="0" style="1" hidden="1" customWidth="1"/>
    <col min="12804" max="12804" width="15.85546875" style="1" bestFit="1" customWidth="1"/>
    <col min="12805" max="12805" width="21.7109375" style="1" bestFit="1" customWidth="1"/>
    <col min="12806" max="12806" width="48.5703125" style="1" customWidth="1"/>
    <col min="12807" max="12809" width="18.28515625" style="1" bestFit="1" customWidth="1"/>
    <col min="12810" max="12811" width="18.28515625" style="1" customWidth="1"/>
    <col min="12812" max="12812" width="23.42578125" style="1" customWidth="1"/>
    <col min="12813" max="12813" width="37.42578125" style="1" customWidth="1"/>
    <col min="12814" max="12814" width="30" style="1" bestFit="1" customWidth="1"/>
    <col min="12815" max="12815" width="26.5703125" style="1" customWidth="1"/>
    <col min="12816" max="12816" width="27.28515625" style="1" customWidth="1"/>
    <col min="12817" max="12817" width="12.28515625" style="1" bestFit="1" customWidth="1"/>
    <col min="12818" max="12818" width="12.42578125" style="1" bestFit="1" customWidth="1"/>
    <col min="12819" max="12819" width="13.7109375" style="1" bestFit="1" customWidth="1"/>
    <col min="12820" max="12820" width="11.28515625" style="1" bestFit="1" customWidth="1"/>
    <col min="12821" max="12821" width="11.140625" style="1" bestFit="1" customWidth="1"/>
    <col min="12822" max="13058" width="9.140625" style="1"/>
    <col min="13059" max="13059" width="0" style="1" hidden="1" customWidth="1"/>
    <col min="13060" max="13060" width="15.85546875" style="1" bestFit="1" customWidth="1"/>
    <col min="13061" max="13061" width="21.7109375" style="1" bestFit="1" customWidth="1"/>
    <col min="13062" max="13062" width="48.5703125" style="1" customWidth="1"/>
    <col min="13063" max="13065" width="18.28515625" style="1" bestFit="1" customWidth="1"/>
    <col min="13066" max="13067" width="18.28515625" style="1" customWidth="1"/>
    <col min="13068" max="13068" width="23.42578125" style="1" customWidth="1"/>
    <col min="13069" max="13069" width="37.42578125" style="1" customWidth="1"/>
    <col min="13070" max="13070" width="30" style="1" bestFit="1" customWidth="1"/>
    <col min="13071" max="13071" width="26.5703125" style="1" customWidth="1"/>
    <col min="13072" max="13072" width="27.28515625" style="1" customWidth="1"/>
    <col min="13073" max="13073" width="12.28515625" style="1" bestFit="1" customWidth="1"/>
    <col min="13074" max="13074" width="12.42578125" style="1" bestFit="1" customWidth="1"/>
    <col min="13075" max="13075" width="13.7109375" style="1" bestFit="1" customWidth="1"/>
    <col min="13076" max="13076" width="11.28515625" style="1" bestFit="1" customWidth="1"/>
    <col min="13077" max="13077" width="11.140625" style="1" bestFit="1" customWidth="1"/>
    <col min="13078" max="13314" width="9.140625" style="1"/>
    <col min="13315" max="13315" width="0" style="1" hidden="1" customWidth="1"/>
    <col min="13316" max="13316" width="15.85546875" style="1" bestFit="1" customWidth="1"/>
    <col min="13317" max="13317" width="21.7109375" style="1" bestFit="1" customWidth="1"/>
    <col min="13318" max="13318" width="48.5703125" style="1" customWidth="1"/>
    <col min="13319" max="13321" width="18.28515625" style="1" bestFit="1" customWidth="1"/>
    <col min="13322" max="13323" width="18.28515625" style="1" customWidth="1"/>
    <col min="13324" max="13324" width="23.42578125" style="1" customWidth="1"/>
    <col min="13325" max="13325" width="37.42578125" style="1" customWidth="1"/>
    <col min="13326" max="13326" width="30" style="1" bestFit="1" customWidth="1"/>
    <col min="13327" max="13327" width="26.5703125" style="1" customWidth="1"/>
    <col min="13328" max="13328" width="27.28515625" style="1" customWidth="1"/>
    <col min="13329" max="13329" width="12.28515625" style="1" bestFit="1" customWidth="1"/>
    <col min="13330" max="13330" width="12.42578125" style="1" bestFit="1" customWidth="1"/>
    <col min="13331" max="13331" width="13.7109375" style="1" bestFit="1" customWidth="1"/>
    <col min="13332" max="13332" width="11.28515625" style="1" bestFit="1" customWidth="1"/>
    <col min="13333" max="13333" width="11.140625" style="1" bestFit="1" customWidth="1"/>
    <col min="13334" max="13570" width="9.140625" style="1"/>
    <col min="13571" max="13571" width="0" style="1" hidden="1" customWidth="1"/>
    <col min="13572" max="13572" width="15.85546875" style="1" bestFit="1" customWidth="1"/>
    <col min="13573" max="13573" width="21.7109375" style="1" bestFit="1" customWidth="1"/>
    <col min="13574" max="13574" width="48.5703125" style="1" customWidth="1"/>
    <col min="13575" max="13577" width="18.28515625" style="1" bestFit="1" customWidth="1"/>
    <col min="13578" max="13579" width="18.28515625" style="1" customWidth="1"/>
    <col min="13580" max="13580" width="23.42578125" style="1" customWidth="1"/>
    <col min="13581" max="13581" width="37.42578125" style="1" customWidth="1"/>
    <col min="13582" max="13582" width="30" style="1" bestFit="1" customWidth="1"/>
    <col min="13583" max="13583" width="26.5703125" style="1" customWidth="1"/>
    <col min="13584" max="13584" width="27.28515625" style="1" customWidth="1"/>
    <col min="13585" max="13585" width="12.28515625" style="1" bestFit="1" customWidth="1"/>
    <col min="13586" max="13586" width="12.42578125" style="1" bestFit="1" customWidth="1"/>
    <col min="13587" max="13587" width="13.7109375" style="1" bestFit="1" customWidth="1"/>
    <col min="13588" max="13588" width="11.28515625" style="1" bestFit="1" customWidth="1"/>
    <col min="13589" max="13589" width="11.140625" style="1" bestFit="1" customWidth="1"/>
    <col min="13590" max="13826" width="9.140625" style="1"/>
    <col min="13827" max="13827" width="0" style="1" hidden="1" customWidth="1"/>
    <col min="13828" max="13828" width="15.85546875" style="1" bestFit="1" customWidth="1"/>
    <col min="13829" max="13829" width="21.7109375" style="1" bestFit="1" customWidth="1"/>
    <col min="13830" max="13830" width="48.5703125" style="1" customWidth="1"/>
    <col min="13831" max="13833" width="18.28515625" style="1" bestFit="1" customWidth="1"/>
    <col min="13834" max="13835" width="18.28515625" style="1" customWidth="1"/>
    <col min="13836" max="13836" width="23.42578125" style="1" customWidth="1"/>
    <col min="13837" max="13837" width="37.42578125" style="1" customWidth="1"/>
    <col min="13838" max="13838" width="30" style="1" bestFit="1" customWidth="1"/>
    <col min="13839" max="13839" width="26.5703125" style="1" customWidth="1"/>
    <col min="13840" max="13840" width="27.28515625" style="1" customWidth="1"/>
    <col min="13841" max="13841" width="12.28515625" style="1" bestFit="1" customWidth="1"/>
    <col min="13842" max="13842" width="12.42578125" style="1" bestFit="1" customWidth="1"/>
    <col min="13843" max="13843" width="13.7109375" style="1" bestFit="1" customWidth="1"/>
    <col min="13844" max="13844" width="11.28515625" style="1" bestFit="1" customWidth="1"/>
    <col min="13845" max="13845" width="11.140625" style="1" bestFit="1" customWidth="1"/>
    <col min="13846" max="14082" width="9.140625" style="1"/>
    <col min="14083" max="14083" width="0" style="1" hidden="1" customWidth="1"/>
    <col min="14084" max="14084" width="15.85546875" style="1" bestFit="1" customWidth="1"/>
    <col min="14085" max="14085" width="21.7109375" style="1" bestFit="1" customWidth="1"/>
    <col min="14086" max="14086" width="48.5703125" style="1" customWidth="1"/>
    <col min="14087" max="14089" width="18.28515625" style="1" bestFit="1" customWidth="1"/>
    <col min="14090" max="14091" width="18.28515625" style="1" customWidth="1"/>
    <col min="14092" max="14092" width="23.42578125" style="1" customWidth="1"/>
    <col min="14093" max="14093" width="37.42578125" style="1" customWidth="1"/>
    <col min="14094" max="14094" width="30" style="1" bestFit="1" customWidth="1"/>
    <col min="14095" max="14095" width="26.5703125" style="1" customWidth="1"/>
    <col min="14096" max="14096" width="27.28515625" style="1" customWidth="1"/>
    <col min="14097" max="14097" width="12.28515625" style="1" bestFit="1" customWidth="1"/>
    <col min="14098" max="14098" width="12.42578125" style="1" bestFit="1" customWidth="1"/>
    <col min="14099" max="14099" width="13.7109375" style="1" bestFit="1" customWidth="1"/>
    <col min="14100" max="14100" width="11.28515625" style="1" bestFit="1" customWidth="1"/>
    <col min="14101" max="14101" width="11.140625" style="1" bestFit="1" customWidth="1"/>
    <col min="14102" max="14338" width="9.140625" style="1"/>
    <col min="14339" max="14339" width="0" style="1" hidden="1" customWidth="1"/>
    <col min="14340" max="14340" width="15.85546875" style="1" bestFit="1" customWidth="1"/>
    <col min="14341" max="14341" width="21.7109375" style="1" bestFit="1" customWidth="1"/>
    <col min="14342" max="14342" width="48.5703125" style="1" customWidth="1"/>
    <col min="14343" max="14345" width="18.28515625" style="1" bestFit="1" customWidth="1"/>
    <col min="14346" max="14347" width="18.28515625" style="1" customWidth="1"/>
    <col min="14348" max="14348" width="23.42578125" style="1" customWidth="1"/>
    <col min="14349" max="14349" width="37.42578125" style="1" customWidth="1"/>
    <col min="14350" max="14350" width="30" style="1" bestFit="1" customWidth="1"/>
    <col min="14351" max="14351" width="26.5703125" style="1" customWidth="1"/>
    <col min="14352" max="14352" width="27.28515625" style="1" customWidth="1"/>
    <col min="14353" max="14353" width="12.28515625" style="1" bestFit="1" customWidth="1"/>
    <col min="14354" max="14354" width="12.42578125" style="1" bestFit="1" customWidth="1"/>
    <col min="14355" max="14355" width="13.7109375" style="1" bestFit="1" customWidth="1"/>
    <col min="14356" max="14356" width="11.28515625" style="1" bestFit="1" customWidth="1"/>
    <col min="14357" max="14357" width="11.140625" style="1" bestFit="1" customWidth="1"/>
    <col min="14358" max="14594" width="9.140625" style="1"/>
    <col min="14595" max="14595" width="0" style="1" hidden="1" customWidth="1"/>
    <col min="14596" max="14596" width="15.85546875" style="1" bestFit="1" customWidth="1"/>
    <col min="14597" max="14597" width="21.7109375" style="1" bestFit="1" customWidth="1"/>
    <col min="14598" max="14598" width="48.5703125" style="1" customWidth="1"/>
    <col min="14599" max="14601" width="18.28515625" style="1" bestFit="1" customWidth="1"/>
    <col min="14602" max="14603" width="18.28515625" style="1" customWidth="1"/>
    <col min="14604" max="14604" width="23.42578125" style="1" customWidth="1"/>
    <col min="14605" max="14605" width="37.42578125" style="1" customWidth="1"/>
    <col min="14606" max="14606" width="30" style="1" bestFit="1" customWidth="1"/>
    <col min="14607" max="14607" width="26.5703125" style="1" customWidth="1"/>
    <col min="14608" max="14608" width="27.28515625" style="1" customWidth="1"/>
    <col min="14609" max="14609" width="12.28515625" style="1" bestFit="1" customWidth="1"/>
    <col min="14610" max="14610" width="12.42578125" style="1" bestFit="1" customWidth="1"/>
    <col min="14611" max="14611" width="13.7109375" style="1" bestFit="1" customWidth="1"/>
    <col min="14612" max="14612" width="11.28515625" style="1" bestFit="1" customWidth="1"/>
    <col min="14613" max="14613" width="11.140625" style="1" bestFit="1" customWidth="1"/>
    <col min="14614" max="14850" width="9.140625" style="1"/>
    <col min="14851" max="14851" width="0" style="1" hidden="1" customWidth="1"/>
    <col min="14852" max="14852" width="15.85546875" style="1" bestFit="1" customWidth="1"/>
    <col min="14853" max="14853" width="21.7109375" style="1" bestFit="1" customWidth="1"/>
    <col min="14854" max="14854" width="48.5703125" style="1" customWidth="1"/>
    <col min="14855" max="14857" width="18.28515625" style="1" bestFit="1" customWidth="1"/>
    <col min="14858" max="14859" width="18.28515625" style="1" customWidth="1"/>
    <col min="14860" max="14860" width="23.42578125" style="1" customWidth="1"/>
    <col min="14861" max="14861" width="37.42578125" style="1" customWidth="1"/>
    <col min="14862" max="14862" width="30" style="1" bestFit="1" customWidth="1"/>
    <col min="14863" max="14863" width="26.5703125" style="1" customWidth="1"/>
    <col min="14864" max="14864" width="27.28515625" style="1" customWidth="1"/>
    <col min="14865" max="14865" width="12.28515625" style="1" bestFit="1" customWidth="1"/>
    <col min="14866" max="14866" width="12.42578125" style="1" bestFit="1" customWidth="1"/>
    <col min="14867" max="14867" width="13.7109375" style="1" bestFit="1" customWidth="1"/>
    <col min="14868" max="14868" width="11.28515625" style="1" bestFit="1" customWidth="1"/>
    <col min="14869" max="14869" width="11.140625" style="1" bestFit="1" customWidth="1"/>
    <col min="14870" max="15106" width="9.140625" style="1"/>
    <col min="15107" max="15107" width="0" style="1" hidden="1" customWidth="1"/>
    <col min="15108" max="15108" width="15.85546875" style="1" bestFit="1" customWidth="1"/>
    <col min="15109" max="15109" width="21.7109375" style="1" bestFit="1" customWidth="1"/>
    <col min="15110" max="15110" width="48.5703125" style="1" customWidth="1"/>
    <col min="15111" max="15113" width="18.28515625" style="1" bestFit="1" customWidth="1"/>
    <col min="15114" max="15115" width="18.28515625" style="1" customWidth="1"/>
    <col min="15116" max="15116" width="23.42578125" style="1" customWidth="1"/>
    <col min="15117" max="15117" width="37.42578125" style="1" customWidth="1"/>
    <col min="15118" max="15118" width="30" style="1" bestFit="1" customWidth="1"/>
    <col min="15119" max="15119" width="26.5703125" style="1" customWidth="1"/>
    <col min="15120" max="15120" width="27.28515625" style="1" customWidth="1"/>
    <col min="15121" max="15121" width="12.28515625" style="1" bestFit="1" customWidth="1"/>
    <col min="15122" max="15122" width="12.42578125" style="1" bestFit="1" customWidth="1"/>
    <col min="15123" max="15123" width="13.7109375" style="1" bestFit="1" customWidth="1"/>
    <col min="15124" max="15124" width="11.28515625" style="1" bestFit="1" customWidth="1"/>
    <col min="15125" max="15125" width="11.140625" style="1" bestFit="1" customWidth="1"/>
    <col min="15126" max="15362" width="9.140625" style="1"/>
    <col min="15363" max="15363" width="0" style="1" hidden="1" customWidth="1"/>
    <col min="15364" max="15364" width="15.85546875" style="1" bestFit="1" customWidth="1"/>
    <col min="15365" max="15365" width="21.7109375" style="1" bestFit="1" customWidth="1"/>
    <col min="15366" max="15366" width="48.5703125" style="1" customWidth="1"/>
    <col min="15367" max="15369" width="18.28515625" style="1" bestFit="1" customWidth="1"/>
    <col min="15370" max="15371" width="18.28515625" style="1" customWidth="1"/>
    <col min="15372" max="15372" width="23.42578125" style="1" customWidth="1"/>
    <col min="15373" max="15373" width="37.42578125" style="1" customWidth="1"/>
    <col min="15374" max="15374" width="30" style="1" bestFit="1" customWidth="1"/>
    <col min="15375" max="15375" width="26.5703125" style="1" customWidth="1"/>
    <col min="15376" max="15376" width="27.28515625" style="1" customWidth="1"/>
    <col min="15377" max="15377" width="12.28515625" style="1" bestFit="1" customWidth="1"/>
    <col min="15378" max="15378" width="12.42578125" style="1" bestFit="1" customWidth="1"/>
    <col min="15379" max="15379" width="13.7109375" style="1" bestFit="1" customWidth="1"/>
    <col min="15380" max="15380" width="11.28515625" style="1" bestFit="1" customWidth="1"/>
    <col min="15381" max="15381" width="11.140625" style="1" bestFit="1" customWidth="1"/>
    <col min="15382" max="15618" width="9.140625" style="1"/>
    <col min="15619" max="15619" width="0" style="1" hidden="1" customWidth="1"/>
    <col min="15620" max="15620" width="15.85546875" style="1" bestFit="1" customWidth="1"/>
    <col min="15621" max="15621" width="21.7109375" style="1" bestFit="1" customWidth="1"/>
    <col min="15622" max="15622" width="48.5703125" style="1" customWidth="1"/>
    <col min="15623" max="15625" width="18.28515625" style="1" bestFit="1" customWidth="1"/>
    <col min="15626" max="15627" width="18.28515625" style="1" customWidth="1"/>
    <col min="15628" max="15628" width="23.42578125" style="1" customWidth="1"/>
    <col min="15629" max="15629" width="37.42578125" style="1" customWidth="1"/>
    <col min="15630" max="15630" width="30" style="1" bestFit="1" customWidth="1"/>
    <col min="15631" max="15631" width="26.5703125" style="1" customWidth="1"/>
    <col min="15632" max="15632" width="27.28515625" style="1" customWidth="1"/>
    <col min="15633" max="15633" width="12.28515625" style="1" bestFit="1" customWidth="1"/>
    <col min="15634" max="15634" width="12.42578125" style="1" bestFit="1" customWidth="1"/>
    <col min="15635" max="15635" width="13.7109375" style="1" bestFit="1" customWidth="1"/>
    <col min="15636" max="15636" width="11.28515625" style="1" bestFit="1" customWidth="1"/>
    <col min="15637" max="15637" width="11.140625" style="1" bestFit="1" customWidth="1"/>
    <col min="15638" max="15874" width="9.140625" style="1"/>
    <col min="15875" max="15875" width="0" style="1" hidden="1" customWidth="1"/>
    <col min="15876" max="15876" width="15.85546875" style="1" bestFit="1" customWidth="1"/>
    <col min="15877" max="15877" width="21.7109375" style="1" bestFit="1" customWidth="1"/>
    <col min="15878" max="15878" width="48.5703125" style="1" customWidth="1"/>
    <col min="15879" max="15881" width="18.28515625" style="1" bestFit="1" customWidth="1"/>
    <col min="15882" max="15883" width="18.28515625" style="1" customWidth="1"/>
    <col min="15884" max="15884" width="23.42578125" style="1" customWidth="1"/>
    <col min="15885" max="15885" width="37.42578125" style="1" customWidth="1"/>
    <col min="15886" max="15886" width="30" style="1" bestFit="1" customWidth="1"/>
    <col min="15887" max="15887" width="26.5703125" style="1" customWidth="1"/>
    <col min="15888" max="15888" width="27.28515625" style="1" customWidth="1"/>
    <col min="15889" max="15889" width="12.28515625" style="1" bestFit="1" customWidth="1"/>
    <col min="15890" max="15890" width="12.42578125" style="1" bestFit="1" customWidth="1"/>
    <col min="15891" max="15891" width="13.7109375" style="1" bestFit="1" customWidth="1"/>
    <col min="15892" max="15892" width="11.28515625" style="1" bestFit="1" customWidth="1"/>
    <col min="15893" max="15893" width="11.140625" style="1" bestFit="1" customWidth="1"/>
    <col min="15894" max="16130" width="9.140625" style="1"/>
    <col min="16131" max="16131" width="0" style="1" hidden="1" customWidth="1"/>
    <col min="16132" max="16132" width="15.85546875" style="1" bestFit="1" customWidth="1"/>
    <col min="16133" max="16133" width="21.7109375" style="1" bestFit="1" customWidth="1"/>
    <col min="16134" max="16134" width="48.5703125" style="1" customWidth="1"/>
    <col min="16135" max="16137" width="18.28515625" style="1" bestFit="1" customWidth="1"/>
    <col min="16138" max="16139" width="18.28515625" style="1" customWidth="1"/>
    <col min="16140" max="16140" width="23.42578125" style="1" customWidth="1"/>
    <col min="16141" max="16141" width="37.42578125" style="1" customWidth="1"/>
    <col min="16142" max="16142" width="30" style="1" bestFit="1" customWidth="1"/>
    <col min="16143" max="16143" width="26.5703125" style="1" customWidth="1"/>
    <col min="16144" max="16144" width="27.28515625" style="1" customWidth="1"/>
    <col min="16145" max="16145" width="12.28515625" style="1" bestFit="1" customWidth="1"/>
    <col min="16146" max="16146" width="12.42578125" style="1" bestFit="1" customWidth="1"/>
    <col min="16147" max="16147" width="13.7109375" style="1" bestFit="1" customWidth="1"/>
    <col min="16148" max="16148" width="11.28515625" style="1" bestFit="1" customWidth="1"/>
    <col min="16149" max="16149" width="11.140625" style="1" bestFit="1" customWidth="1"/>
    <col min="16150" max="16384" width="9.140625" style="1"/>
  </cols>
  <sheetData>
    <row r="1" spans="1:25" ht="30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5" t="s">
        <v>10</v>
      </c>
      <c r="L1" s="6" t="s">
        <v>11</v>
      </c>
      <c r="M1" s="6" t="s">
        <v>46</v>
      </c>
      <c r="N1" s="6" t="s">
        <v>47</v>
      </c>
      <c r="P1" s="48" t="s">
        <v>121</v>
      </c>
      <c r="Q1" s="47" t="s">
        <v>12</v>
      </c>
      <c r="R1" s="48" t="s">
        <v>122</v>
      </c>
      <c r="S1" s="119" t="s">
        <v>123</v>
      </c>
      <c r="T1" s="48" t="s">
        <v>124</v>
      </c>
      <c r="U1" s="48" t="s">
        <v>210</v>
      </c>
      <c r="V1" s="48" t="s">
        <v>211</v>
      </c>
      <c r="W1" s="47" t="s">
        <v>19</v>
      </c>
    </row>
    <row r="2" spans="1:25">
      <c r="B2" s="8" t="s">
        <v>40</v>
      </c>
      <c r="C2" s="9">
        <v>41659</v>
      </c>
      <c r="D2" s="10" t="s">
        <v>41</v>
      </c>
      <c r="E2" s="11"/>
      <c r="F2" s="11"/>
      <c r="G2" s="11">
        <v>130000</v>
      </c>
      <c r="H2" s="11"/>
      <c r="I2" s="11"/>
      <c r="J2" s="8" t="s">
        <v>16</v>
      </c>
      <c r="K2" s="12" t="s">
        <v>14</v>
      </c>
      <c r="L2" s="10" t="s">
        <v>17</v>
      </c>
      <c r="M2" s="13">
        <v>41659</v>
      </c>
      <c r="N2" s="13">
        <v>41663</v>
      </c>
      <c r="O2" s="49">
        <f t="shared" ref="O2:O14" si="0">+SUM(P2:T2)-G2</f>
        <v>0</v>
      </c>
      <c r="P2" s="109"/>
      <c r="Q2" s="109"/>
      <c r="R2" s="109">
        <v>130000</v>
      </c>
      <c r="S2" s="120"/>
      <c r="T2" s="7"/>
      <c r="U2" s="7"/>
      <c r="V2" s="7"/>
      <c r="W2" s="7">
        <f t="shared" ref="W2:W33" si="1">+SUM(P2:R2)</f>
        <v>130000</v>
      </c>
      <c r="X2" s="17">
        <f>+G2+O2-SUM(P2:V2)</f>
        <v>0</v>
      </c>
      <c r="Y2" s="17"/>
    </row>
    <row r="3" spans="1:25" ht="30">
      <c r="B3" s="35" t="s">
        <v>42</v>
      </c>
      <c r="C3" s="36">
        <v>41666</v>
      </c>
      <c r="D3" s="37" t="s">
        <v>43</v>
      </c>
      <c r="E3" s="38"/>
      <c r="F3" s="38"/>
      <c r="G3" s="38">
        <v>45000</v>
      </c>
      <c r="H3" s="38"/>
      <c r="I3" s="39"/>
      <c r="J3" s="35" t="s">
        <v>44</v>
      </c>
      <c r="K3" s="40" t="s">
        <v>14</v>
      </c>
      <c r="L3" s="37" t="s">
        <v>45</v>
      </c>
      <c r="M3" s="41">
        <v>41697</v>
      </c>
      <c r="N3" s="124" t="s">
        <v>148</v>
      </c>
      <c r="O3" s="49">
        <f t="shared" si="0"/>
        <v>0</v>
      </c>
      <c r="P3" s="109"/>
      <c r="Q3" s="109"/>
      <c r="R3" s="109">
        <f>+G3</f>
        <v>45000</v>
      </c>
      <c r="S3" s="120"/>
      <c r="T3" s="7"/>
      <c r="U3" s="7"/>
      <c r="V3" s="7"/>
      <c r="W3" s="7">
        <f t="shared" si="1"/>
        <v>45000</v>
      </c>
      <c r="X3" s="17">
        <f t="shared" ref="X3:X62" si="2">+G3+O3-SUM(P3:V3)</f>
        <v>0</v>
      </c>
      <c r="Y3" s="17"/>
    </row>
    <row r="4" spans="1:25">
      <c r="B4" s="8" t="s">
        <v>48</v>
      </c>
      <c r="C4" s="9">
        <v>41669</v>
      </c>
      <c r="D4" s="10" t="s">
        <v>49</v>
      </c>
      <c r="E4" s="11"/>
      <c r="F4" s="11"/>
      <c r="G4" s="11">
        <v>83247</v>
      </c>
      <c r="H4" s="11">
        <v>113000</v>
      </c>
      <c r="I4" s="66">
        <f>H4/G4</f>
        <v>1.3574062728987231</v>
      </c>
      <c r="J4" s="8" t="s">
        <v>50</v>
      </c>
      <c r="K4" s="12" t="s">
        <v>14</v>
      </c>
      <c r="L4" s="10" t="s">
        <v>51</v>
      </c>
      <c r="M4" s="13">
        <v>41698</v>
      </c>
      <c r="N4" s="118" t="s">
        <v>240</v>
      </c>
      <c r="O4" s="49">
        <f t="shared" si="0"/>
        <v>0</v>
      </c>
      <c r="P4" s="109"/>
      <c r="Q4" s="109"/>
      <c r="R4" s="109">
        <v>83247</v>
      </c>
      <c r="S4" s="120"/>
      <c r="T4" s="7"/>
      <c r="U4" s="7"/>
      <c r="V4" s="7"/>
      <c r="W4" s="7">
        <f t="shared" si="1"/>
        <v>83247</v>
      </c>
      <c r="X4" s="17">
        <f t="shared" si="2"/>
        <v>0</v>
      </c>
    </row>
    <row r="5" spans="1:25">
      <c r="B5" s="35" t="s">
        <v>53</v>
      </c>
      <c r="C5" s="36">
        <v>41673</v>
      </c>
      <c r="D5" s="37" t="s">
        <v>52</v>
      </c>
      <c r="E5" s="38"/>
      <c r="F5" s="38"/>
      <c r="G5" s="38">
        <v>22000</v>
      </c>
      <c r="H5" s="38"/>
      <c r="I5" s="39"/>
      <c r="J5" s="35" t="s">
        <v>16</v>
      </c>
      <c r="K5" s="40" t="s">
        <v>14</v>
      </c>
      <c r="L5" s="37" t="s">
        <v>45</v>
      </c>
      <c r="M5" s="41">
        <v>41673</v>
      </c>
      <c r="N5" s="41">
        <v>41687</v>
      </c>
      <c r="O5" s="49">
        <f t="shared" si="0"/>
        <v>0</v>
      </c>
      <c r="P5" s="109">
        <v>22000</v>
      </c>
      <c r="Q5" s="109"/>
      <c r="R5" s="109"/>
      <c r="S5" s="120"/>
      <c r="T5" s="7"/>
      <c r="U5" s="7"/>
      <c r="V5" s="7"/>
      <c r="W5" s="7">
        <f t="shared" si="1"/>
        <v>22000</v>
      </c>
      <c r="X5" s="17">
        <f t="shared" si="2"/>
        <v>0</v>
      </c>
      <c r="Y5" s="17"/>
    </row>
    <row r="6" spans="1:25">
      <c r="B6" s="8" t="s">
        <v>54</v>
      </c>
      <c r="C6" s="9">
        <v>41682</v>
      </c>
      <c r="D6" s="10" t="s">
        <v>55</v>
      </c>
      <c r="E6" s="11"/>
      <c r="F6" s="11"/>
      <c r="G6" s="11">
        <v>60000</v>
      </c>
      <c r="H6" s="11"/>
      <c r="I6" s="11"/>
      <c r="J6" s="8" t="s">
        <v>16</v>
      </c>
      <c r="K6" s="12" t="s">
        <v>14</v>
      </c>
      <c r="L6" s="10" t="s">
        <v>45</v>
      </c>
      <c r="M6" s="13">
        <v>41710</v>
      </c>
      <c r="N6" s="13">
        <v>41354</v>
      </c>
      <c r="O6" s="49">
        <f t="shared" si="0"/>
        <v>0</v>
      </c>
      <c r="P6" s="109">
        <v>60000</v>
      </c>
      <c r="Q6" s="109"/>
      <c r="R6" s="109"/>
      <c r="S6" s="120"/>
      <c r="T6" s="7"/>
      <c r="U6" s="7"/>
      <c r="V6" s="7"/>
      <c r="W6" s="7">
        <f t="shared" si="1"/>
        <v>60000</v>
      </c>
      <c r="X6" s="17">
        <f t="shared" si="2"/>
        <v>0</v>
      </c>
      <c r="Y6" s="17"/>
    </row>
    <row r="7" spans="1:25">
      <c r="B7" s="35" t="s">
        <v>59</v>
      </c>
      <c r="C7" s="36">
        <v>41691</v>
      </c>
      <c r="D7" s="37" t="s">
        <v>56</v>
      </c>
      <c r="E7" s="38"/>
      <c r="F7" s="38"/>
      <c r="G7" s="38">
        <v>78667</v>
      </c>
      <c r="H7" s="38"/>
      <c r="I7" s="39"/>
      <c r="J7" s="35" t="s">
        <v>57</v>
      </c>
      <c r="K7" s="40" t="s">
        <v>14</v>
      </c>
      <c r="L7" s="37" t="s">
        <v>51</v>
      </c>
      <c r="M7" s="41">
        <v>41719</v>
      </c>
      <c r="N7" s="41">
        <v>41732</v>
      </c>
      <c r="O7" s="49">
        <f t="shared" si="0"/>
        <v>0</v>
      </c>
      <c r="P7" s="109"/>
      <c r="Q7" s="109"/>
      <c r="R7" s="109">
        <f>45000*0.833333333333333+5667+28000*0.833333333333333</f>
        <v>66500.333333333314</v>
      </c>
      <c r="S7" s="121">
        <f>+G7-R7</f>
        <v>12166.666666666686</v>
      </c>
      <c r="T7" s="7"/>
      <c r="U7" s="7"/>
      <c r="V7" s="7"/>
      <c r="W7" s="7">
        <f t="shared" si="1"/>
        <v>66500.333333333314</v>
      </c>
      <c r="X7" s="17">
        <f t="shared" si="2"/>
        <v>0</v>
      </c>
      <c r="Y7" s="17"/>
    </row>
    <row r="8" spans="1:25">
      <c r="B8" s="8" t="s">
        <v>60</v>
      </c>
      <c r="C8" s="9">
        <v>41691</v>
      </c>
      <c r="D8" s="10" t="s">
        <v>58</v>
      </c>
      <c r="E8" s="11"/>
      <c r="F8" s="11"/>
      <c r="G8" s="11">
        <v>33850</v>
      </c>
      <c r="H8" s="11"/>
      <c r="I8" s="11"/>
      <c r="J8" s="8" t="s">
        <v>57</v>
      </c>
      <c r="K8" s="12" t="s">
        <v>14</v>
      </c>
      <c r="L8" s="10" t="s">
        <v>51</v>
      </c>
      <c r="M8" s="13">
        <v>41719</v>
      </c>
      <c r="N8" s="13">
        <v>41694</v>
      </c>
      <c r="O8" s="49">
        <f t="shared" si="0"/>
        <v>0</v>
      </c>
      <c r="P8" s="109"/>
      <c r="Q8" s="109"/>
      <c r="R8" s="109">
        <v>33850</v>
      </c>
      <c r="S8" s="121"/>
      <c r="T8" s="7"/>
      <c r="U8" s="7"/>
      <c r="V8" s="7"/>
      <c r="W8" s="7">
        <f t="shared" si="1"/>
        <v>33850</v>
      </c>
      <c r="X8" s="17">
        <f t="shared" si="2"/>
        <v>0</v>
      </c>
      <c r="Y8" s="17"/>
    </row>
    <row r="9" spans="1:25">
      <c r="A9" s="1" t="s">
        <v>13</v>
      </c>
      <c r="B9" s="35" t="s">
        <v>62</v>
      </c>
      <c r="C9" s="36">
        <v>41698</v>
      </c>
      <c r="D9" s="37" t="s">
        <v>61</v>
      </c>
      <c r="E9" s="38"/>
      <c r="F9" s="38"/>
      <c r="G9" s="38">
        <v>86125</v>
      </c>
      <c r="H9" s="38"/>
      <c r="I9" s="39"/>
      <c r="J9" s="35" t="s">
        <v>63</v>
      </c>
      <c r="K9" s="40" t="s">
        <v>14</v>
      </c>
      <c r="L9" s="37" t="s">
        <v>45</v>
      </c>
      <c r="M9" s="41">
        <v>41726</v>
      </c>
      <c r="N9" s="41">
        <v>41752</v>
      </c>
      <c r="O9" s="49">
        <f t="shared" si="0"/>
        <v>-86125</v>
      </c>
      <c r="P9" s="109"/>
      <c r="Q9" s="109"/>
      <c r="R9" s="109"/>
      <c r="S9" s="121"/>
      <c r="T9" s="7"/>
      <c r="U9" s="7"/>
      <c r="V9" s="7"/>
      <c r="W9" s="7">
        <f t="shared" si="1"/>
        <v>0</v>
      </c>
      <c r="X9" s="17">
        <f t="shared" si="2"/>
        <v>0</v>
      </c>
      <c r="Y9" s="17"/>
    </row>
    <row r="10" spans="1:25">
      <c r="B10" s="8" t="s">
        <v>64</v>
      </c>
      <c r="C10" s="9">
        <v>41698</v>
      </c>
      <c r="D10" s="10" t="s">
        <v>33</v>
      </c>
      <c r="E10" s="11"/>
      <c r="F10" s="11"/>
      <c r="G10" s="11">
        <v>27561.48</v>
      </c>
      <c r="H10" s="11"/>
      <c r="I10" s="11"/>
      <c r="J10" s="8" t="s">
        <v>44</v>
      </c>
      <c r="K10" s="12" t="s">
        <v>14</v>
      </c>
      <c r="L10" s="10" t="s">
        <v>45</v>
      </c>
      <c r="M10" s="13">
        <v>41726</v>
      </c>
      <c r="N10" s="13">
        <v>41787</v>
      </c>
      <c r="O10" s="49">
        <f t="shared" si="0"/>
        <v>-27561.48</v>
      </c>
      <c r="P10" s="109"/>
      <c r="Q10" s="109"/>
      <c r="R10" s="109"/>
      <c r="S10" s="121"/>
      <c r="T10" s="7"/>
      <c r="U10" s="7"/>
      <c r="V10" s="7"/>
      <c r="W10" s="7">
        <f t="shared" si="1"/>
        <v>0</v>
      </c>
      <c r="X10" s="17">
        <f t="shared" si="2"/>
        <v>0</v>
      </c>
      <c r="Y10" s="17"/>
    </row>
    <row r="11" spans="1:25">
      <c r="B11" s="35" t="s">
        <v>65</v>
      </c>
      <c r="C11" s="36">
        <v>41698</v>
      </c>
      <c r="D11" s="37" t="s">
        <v>66</v>
      </c>
      <c r="E11" s="38"/>
      <c r="F11" s="38"/>
      <c r="G11" s="38">
        <v>159270.51999999999</v>
      </c>
      <c r="H11" s="38">
        <v>220000</v>
      </c>
      <c r="I11" s="39">
        <f>H11/G11</f>
        <v>1.38129768145417</v>
      </c>
      <c r="J11" s="35" t="s">
        <v>50</v>
      </c>
      <c r="K11" s="40" t="s">
        <v>14</v>
      </c>
      <c r="L11" s="37" t="s">
        <v>51</v>
      </c>
      <c r="M11" s="41">
        <v>41787</v>
      </c>
      <c r="N11" s="41">
        <v>41905</v>
      </c>
      <c r="O11" s="49">
        <f t="shared" si="0"/>
        <v>-159270.51999999999</v>
      </c>
      <c r="P11" s="109"/>
      <c r="Q11" s="109"/>
      <c r="R11" s="109"/>
      <c r="S11" s="121"/>
      <c r="T11" s="7"/>
      <c r="U11" s="7"/>
      <c r="V11" s="7"/>
      <c r="W11" s="7">
        <f t="shared" si="1"/>
        <v>0</v>
      </c>
      <c r="X11" s="17">
        <f t="shared" si="2"/>
        <v>0</v>
      </c>
      <c r="Y11" s="17"/>
    </row>
    <row r="12" spans="1:25" ht="30">
      <c r="B12" s="8" t="s">
        <v>67</v>
      </c>
      <c r="C12" s="9">
        <v>41709</v>
      </c>
      <c r="D12" s="10" t="s">
        <v>68</v>
      </c>
      <c r="E12" s="11"/>
      <c r="F12" s="11"/>
      <c r="G12" s="11">
        <v>205000</v>
      </c>
      <c r="H12" s="11"/>
      <c r="I12" s="11"/>
      <c r="J12" s="8" t="s">
        <v>44</v>
      </c>
      <c r="K12" s="12" t="s">
        <v>14</v>
      </c>
      <c r="L12" s="10" t="s">
        <v>51</v>
      </c>
      <c r="M12" s="13">
        <v>41729</v>
      </c>
      <c r="N12" s="43" t="s">
        <v>119</v>
      </c>
      <c r="O12" s="49">
        <f t="shared" si="0"/>
        <v>0</v>
      </c>
      <c r="P12" s="109"/>
      <c r="Q12" s="109"/>
      <c r="R12" s="109">
        <f>+G12</f>
        <v>205000</v>
      </c>
      <c r="S12" s="121"/>
      <c r="T12" s="7"/>
      <c r="U12" s="7"/>
      <c r="V12" s="7"/>
      <c r="W12" s="7">
        <f t="shared" si="1"/>
        <v>205000</v>
      </c>
      <c r="X12" s="17">
        <f t="shared" si="2"/>
        <v>0</v>
      </c>
      <c r="Y12" s="17"/>
    </row>
    <row r="13" spans="1:25">
      <c r="B13" s="35" t="s">
        <v>69</v>
      </c>
      <c r="C13" s="36">
        <v>41717</v>
      </c>
      <c r="D13" s="37" t="s">
        <v>70</v>
      </c>
      <c r="E13" s="38">
        <v>1871.11</v>
      </c>
      <c r="F13" s="38"/>
      <c r="G13" s="38"/>
      <c r="H13" s="38"/>
      <c r="I13" s="39"/>
      <c r="J13" s="35" t="s">
        <v>44</v>
      </c>
      <c r="K13" s="40" t="s">
        <v>71</v>
      </c>
      <c r="L13" s="37" t="s">
        <v>45</v>
      </c>
      <c r="M13" s="41">
        <v>41739</v>
      </c>
      <c r="N13" s="41">
        <v>41877</v>
      </c>
      <c r="O13" s="49">
        <f t="shared" si="0"/>
        <v>0</v>
      </c>
      <c r="P13" s="109"/>
      <c r="Q13" s="109"/>
      <c r="R13" s="109"/>
      <c r="S13" s="121"/>
      <c r="T13" s="7"/>
      <c r="U13" s="7"/>
      <c r="V13" s="7"/>
      <c r="W13" s="7">
        <f t="shared" si="1"/>
        <v>0</v>
      </c>
      <c r="X13" s="17">
        <f t="shared" si="2"/>
        <v>0</v>
      </c>
      <c r="Y13" s="17"/>
    </row>
    <row r="14" spans="1:25">
      <c r="B14" s="8" t="s">
        <v>72</v>
      </c>
      <c r="C14" s="9">
        <v>41717</v>
      </c>
      <c r="D14" s="10" t="s">
        <v>73</v>
      </c>
      <c r="E14" s="11"/>
      <c r="F14" s="11"/>
      <c r="G14" s="11">
        <v>14375.04</v>
      </c>
      <c r="H14" s="11">
        <v>20000</v>
      </c>
      <c r="I14" s="66">
        <f>H14/G14</f>
        <v>1.3913004763812831</v>
      </c>
      <c r="J14" s="8" t="s">
        <v>50</v>
      </c>
      <c r="K14" s="12" t="s">
        <v>14</v>
      </c>
      <c r="L14" s="10" t="s">
        <v>51</v>
      </c>
      <c r="M14" s="13">
        <v>41748</v>
      </c>
      <c r="N14" s="13">
        <v>42004</v>
      </c>
      <c r="O14" s="49">
        <f t="shared" si="0"/>
        <v>0</v>
      </c>
      <c r="P14" s="109">
        <f>G14</f>
        <v>14375.04</v>
      </c>
      <c r="Q14" s="109"/>
      <c r="R14" s="109"/>
      <c r="S14" s="121"/>
      <c r="T14" s="7"/>
      <c r="U14" s="7"/>
      <c r="V14" s="7"/>
      <c r="W14" s="7">
        <f t="shared" si="1"/>
        <v>14375.04</v>
      </c>
      <c r="X14" s="17">
        <f t="shared" si="2"/>
        <v>0</v>
      </c>
      <c r="Y14" s="17"/>
    </row>
    <row r="15" spans="1:25">
      <c r="B15" s="35" t="s">
        <v>108</v>
      </c>
      <c r="C15" s="36">
        <v>41718</v>
      </c>
      <c r="D15" s="37" t="s">
        <v>109</v>
      </c>
      <c r="E15" s="38"/>
      <c r="F15" s="38"/>
      <c r="G15" s="38">
        <v>238842.86</v>
      </c>
      <c r="H15" s="38"/>
      <c r="I15" s="39"/>
      <c r="J15" s="35" t="s">
        <v>44</v>
      </c>
      <c r="K15" s="40" t="s">
        <v>14</v>
      </c>
      <c r="L15" s="37" t="s">
        <v>45</v>
      </c>
      <c r="M15" s="41">
        <v>41718</v>
      </c>
      <c r="N15" s="41">
        <v>41809</v>
      </c>
      <c r="O15" s="49">
        <v>-133709</v>
      </c>
      <c r="P15" s="109"/>
      <c r="Q15" s="109"/>
      <c r="R15" s="109">
        <f>G15-S15-T15+O15</f>
        <v>44626.859999999986</v>
      </c>
      <c r="S15" s="121">
        <v>45507</v>
      </c>
      <c r="T15" s="7">
        <v>15000</v>
      </c>
      <c r="U15" s="7"/>
      <c r="V15" s="7"/>
      <c r="W15" s="7">
        <f t="shared" si="1"/>
        <v>44626.859999999986</v>
      </c>
      <c r="X15" s="17">
        <f t="shared" si="2"/>
        <v>0</v>
      </c>
      <c r="Y15" s="17"/>
    </row>
    <row r="16" spans="1:25">
      <c r="B16" s="8" t="s">
        <v>110</v>
      </c>
      <c r="C16" s="9">
        <v>41719</v>
      </c>
      <c r="D16" s="10" t="s">
        <v>61</v>
      </c>
      <c r="E16" s="11"/>
      <c r="F16" s="11"/>
      <c r="G16" s="11">
        <v>40000</v>
      </c>
      <c r="H16" s="11"/>
      <c r="I16" s="11"/>
      <c r="J16" s="8" t="s">
        <v>63</v>
      </c>
      <c r="K16" s="12" t="s">
        <v>14</v>
      </c>
      <c r="L16" s="10" t="s">
        <v>45</v>
      </c>
      <c r="M16" s="13">
        <v>41729</v>
      </c>
      <c r="N16" s="13">
        <v>41752</v>
      </c>
      <c r="O16" s="49">
        <f t="shared" ref="O16:O23" si="3">+SUM(P16:T16)-G16</f>
        <v>0</v>
      </c>
      <c r="P16" s="109"/>
      <c r="Q16" s="109"/>
      <c r="R16" s="109">
        <v>40000</v>
      </c>
      <c r="S16" s="121"/>
      <c r="T16" s="7"/>
      <c r="U16" s="7"/>
      <c r="V16" s="7"/>
      <c r="W16" s="7">
        <f t="shared" si="1"/>
        <v>40000</v>
      </c>
      <c r="X16" s="17">
        <f t="shared" si="2"/>
        <v>0</v>
      </c>
      <c r="Y16" s="17"/>
    </row>
    <row r="17" spans="2:25" ht="30">
      <c r="B17" s="35" t="s">
        <v>111</v>
      </c>
      <c r="C17" s="36">
        <v>41731</v>
      </c>
      <c r="D17" s="37" t="s">
        <v>55</v>
      </c>
      <c r="E17" s="38"/>
      <c r="F17" s="38"/>
      <c r="G17" s="38">
        <v>177500</v>
      </c>
      <c r="H17" s="38"/>
      <c r="I17" s="39"/>
      <c r="J17" s="35" t="s">
        <v>16</v>
      </c>
      <c r="K17" s="40" t="s">
        <v>14</v>
      </c>
      <c r="L17" s="37" t="s">
        <v>51</v>
      </c>
      <c r="M17" s="41">
        <v>41731</v>
      </c>
      <c r="N17" s="96" t="s">
        <v>237</v>
      </c>
      <c r="O17" s="49">
        <f t="shared" si="3"/>
        <v>0</v>
      </c>
      <c r="P17" s="109"/>
      <c r="Q17" s="109">
        <v>177500</v>
      </c>
      <c r="R17" s="109"/>
      <c r="S17" s="121"/>
      <c r="T17" s="7"/>
      <c r="U17" s="7"/>
      <c r="V17" s="7"/>
      <c r="W17" s="7">
        <f t="shared" si="1"/>
        <v>177500</v>
      </c>
      <c r="X17" s="17">
        <f t="shared" si="2"/>
        <v>0</v>
      </c>
      <c r="Y17" s="17"/>
    </row>
    <row r="18" spans="2:25">
      <c r="B18" s="8" t="s">
        <v>112</v>
      </c>
      <c r="C18" s="9">
        <v>41732</v>
      </c>
      <c r="D18" s="10" t="s">
        <v>113</v>
      </c>
      <c r="E18" s="11"/>
      <c r="F18" s="11"/>
      <c r="G18" s="11">
        <v>50000</v>
      </c>
      <c r="H18" s="11"/>
      <c r="I18" s="11"/>
      <c r="J18" s="8" t="s">
        <v>114</v>
      </c>
      <c r="K18" s="12" t="s">
        <v>14</v>
      </c>
      <c r="L18" s="10" t="s">
        <v>51</v>
      </c>
      <c r="M18" s="13">
        <v>41732</v>
      </c>
      <c r="N18" s="13">
        <v>41779</v>
      </c>
      <c r="O18" s="49">
        <f t="shared" si="3"/>
        <v>0</v>
      </c>
      <c r="P18" s="109">
        <v>50000</v>
      </c>
      <c r="Q18" s="109"/>
      <c r="R18" s="109"/>
      <c r="S18" s="121"/>
      <c r="T18" s="7"/>
      <c r="U18" s="7"/>
      <c r="V18" s="7"/>
      <c r="W18" s="7">
        <f t="shared" si="1"/>
        <v>50000</v>
      </c>
      <c r="X18" s="17">
        <f t="shared" si="2"/>
        <v>0</v>
      </c>
      <c r="Y18" s="17"/>
    </row>
    <row r="19" spans="2:25">
      <c r="B19" s="35" t="s">
        <v>115</v>
      </c>
      <c r="C19" s="36">
        <v>41732</v>
      </c>
      <c r="D19" s="37" t="s">
        <v>113</v>
      </c>
      <c r="E19" s="38"/>
      <c r="F19" s="38"/>
      <c r="G19" s="38">
        <v>33750</v>
      </c>
      <c r="H19" s="38"/>
      <c r="I19" s="39"/>
      <c r="J19" s="35" t="s">
        <v>114</v>
      </c>
      <c r="K19" s="40" t="s">
        <v>14</v>
      </c>
      <c r="L19" s="37" t="s">
        <v>51</v>
      </c>
      <c r="M19" s="41">
        <v>41759</v>
      </c>
      <c r="N19" s="41">
        <v>41774</v>
      </c>
      <c r="O19" s="49">
        <f t="shared" si="3"/>
        <v>0</v>
      </c>
      <c r="P19" s="109"/>
      <c r="Q19" s="109"/>
      <c r="R19" s="109">
        <v>33750</v>
      </c>
      <c r="S19" s="121"/>
      <c r="T19" s="7"/>
      <c r="U19" s="7"/>
      <c r="V19" s="7"/>
      <c r="W19" s="7">
        <f t="shared" si="1"/>
        <v>33750</v>
      </c>
      <c r="X19" s="17">
        <f t="shared" si="2"/>
        <v>0</v>
      </c>
      <c r="Y19" s="17"/>
    </row>
    <row r="20" spans="2:25">
      <c r="B20" s="8" t="s">
        <v>116</v>
      </c>
      <c r="C20" s="9">
        <v>41752</v>
      </c>
      <c r="D20" s="10" t="s">
        <v>55</v>
      </c>
      <c r="E20" s="11"/>
      <c r="F20" s="11"/>
      <c r="G20" s="11">
        <v>177500</v>
      </c>
      <c r="H20" s="11"/>
      <c r="I20" s="11"/>
      <c r="J20" s="8" t="s">
        <v>16</v>
      </c>
      <c r="K20" s="12" t="s">
        <v>14</v>
      </c>
      <c r="L20" s="10" t="s">
        <v>51</v>
      </c>
      <c r="M20" s="13">
        <v>41801</v>
      </c>
      <c r="N20" s="13">
        <v>41842</v>
      </c>
      <c r="O20" s="49">
        <f t="shared" si="3"/>
        <v>0</v>
      </c>
      <c r="P20" s="109"/>
      <c r="Q20" s="109">
        <v>177500</v>
      </c>
      <c r="R20" s="109"/>
      <c r="S20" s="121"/>
      <c r="T20" s="7"/>
      <c r="U20" s="7"/>
      <c r="V20" s="7"/>
      <c r="W20" s="7">
        <f t="shared" si="1"/>
        <v>177500</v>
      </c>
      <c r="X20" s="17">
        <f t="shared" si="2"/>
        <v>0</v>
      </c>
      <c r="Y20" s="17"/>
    </row>
    <row r="21" spans="2:25">
      <c r="B21" s="35" t="s">
        <v>117</v>
      </c>
      <c r="C21" s="36">
        <v>41759</v>
      </c>
      <c r="D21" s="37" t="s">
        <v>118</v>
      </c>
      <c r="E21" s="38"/>
      <c r="F21" s="38"/>
      <c r="G21" s="38">
        <v>29000</v>
      </c>
      <c r="H21" s="38"/>
      <c r="I21" s="39"/>
      <c r="J21" s="35" t="s">
        <v>16</v>
      </c>
      <c r="K21" s="40" t="s">
        <v>14</v>
      </c>
      <c r="L21" s="37" t="s">
        <v>45</v>
      </c>
      <c r="M21" s="41">
        <v>41759</v>
      </c>
      <c r="N21" s="41">
        <v>41761</v>
      </c>
      <c r="O21" s="49">
        <f t="shared" si="3"/>
        <v>0</v>
      </c>
      <c r="P21" s="109"/>
      <c r="Q21" s="109"/>
      <c r="R21" s="109">
        <f>+G21*0.571428571428571</f>
        <v>16571.428571428558</v>
      </c>
      <c r="S21" s="121">
        <f>+G21*0.428571428571429</f>
        <v>12428.57142857144</v>
      </c>
      <c r="T21" s="7"/>
      <c r="U21" s="7"/>
      <c r="V21" s="7"/>
      <c r="W21" s="7">
        <f t="shared" si="1"/>
        <v>16571.428571428558</v>
      </c>
      <c r="X21" s="17">
        <f t="shared" si="2"/>
        <v>0</v>
      </c>
      <c r="Y21" s="17"/>
    </row>
    <row r="22" spans="2:25">
      <c r="B22" s="8" t="s">
        <v>120</v>
      </c>
      <c r="C22" s="9">
        <v>41764</v>
      </c>
      <c r="D22" s="10" t="s">
        <v>33</v>
      </c>
      <c r="E22" s="11"/>
      <c r="F22" s="11"/>
      <c r="G22" s="11">
        <v>27561</v>
      </c>
      <c r="H22" s="11"/>
      <c r="I22" s="11"/>
      <c r="J22" s="8" t="s">
        <v>44</v>
      </c>
      <c r="K22" s="12" t="s">
        <v>14</v>
      </c>
      <c r="L22" s="10" t="s">
        <v>45</v>
      </c>
      <c r="M22" s="13">
        <v>41795</v>
      </c>
      <c r="N22" s="13">
        <v>41828</v>
      </c>
      <c r="O22" s="49">
        <f t="shared" si="3"/>
        <v>0</v>
      </c>
      <c r="P22" s="109"/>
      <c r="Q22" s="109"/>
      <c r="R22" s="109">
        <v>27561</v>
      </c>
      <c r="S22" s="121"/>
      <c r="T22" s="7"/>
      <c r="U22" s="7"/>
      <c r="V22" s="7"/>
      <c r="W22" s="7">
        <f t="shared" si="1"/>
        <v>27561</v>
      </c>
      <c r="X22" s="17">
        <f t="shared" si="2"/>
        <v>0</v>
      </c>
      <c r="Y22" s="17"/>
    </row>
    <row r="23" spans="2:25">
      <c r="B23" s="35" t="s">
        <v>137</v>
      </c>
      <c r="C23" s="36">
        <v>41785</v>
      </c>
      <c r="D23" s="37" t="s">
        <v>66</v>
      </c>
      <c r="E23" s="38"/>
      <c r="F23" s="38"/>
      <c r="G23" s="38">
        <v>161349.47</v>
      </c>
      <c r="H23" s="38">
        <v>220000</v>
      </c>
      <c r="I23" s="39">
        <f>H23/G23</f>
        <v>1.3634999854663297</v>
      </c>
      <c r="J23" s="35" t="s">
        <v>50</v>
      </c>
      <c r="K23" s="40" t="s">
        <v>14</v>
      </c>
      <c r="L23" s="37" t="s">
        <v>51</v>
      </c>
      <c r="M23" s="41">
        <v>41785</v>
      </c>
      <c r="N23" s="41">
        <v>41816</v>
      </c>
      <c r="O23" s="49">
        <f t="shared" si="3"/>
        <v>0</v>
      </c>
      <c r="P23" s="109"/>
      <c r="Q23" s="109">
        <f>G23</f>
        <v>161349.47</v>
      </c>
      <c r="R23" s="109"/>
      <c r="S23" s="121"/>
      <c r="T23" s="7"/>
      <c r="U23" s="7"/>
      <c r="V23" s="7"/>
      <c r="W23" s="7">
        <f t="shared" si="1"/>
        <v>161349.47</v>
      </c>
      <c r="X23" s="17">
        <f t="shared" si="2"/>
        <v>0</v>
      </c>
    </row>
    <row r="24" spans="2:25">
      <c r="B24" s="8" t="s">
        <v>138</v>
      </c>
      <c r="C24" s="9">
        <v>41788</v>
      </c>
      <c r="D24" s="10" t="s">
        <v>139</v>
      </c>
      <c r="E24" s="11"/>
      <c r="F24" s="11"/>
      <c r="G24" s="11">
        <v>164000</v>
      </c>
      <c r="H24" s="11"/>
      <c r="I24" s="11"/>
      <c r="J24" s="8" t="s">
        <v>114</v>
      </c>
      <c r="K24" s="12" t="s">
        <v>14</v>
      </c>
      <c r="L24" s="10" t="s">
        <v>45</v>
      </c>
      <c r="M24" s="13">
        <v>41788</v>
      </c>
      <c r="N24" s="13">
        <v>41801</v>
      </c>
      <c r="P24" s="109">
        <v>50000</v>
      </c>
      <c r="Q24" s="109"/>
      <c r="R24" s="109">
        <v>114000</v>
      </c>
      <c r="S24" s="121"/>
      <c r="T24" s="7"/>
      <c r="U24" s="7"/>
      <c r="V24" s="7"/>
      <c r="W24" s="7">
        <f t="shared" si="1"/>
        <v>164000</v>
      </c>
      <c r="X24" s="17">
        <f t="shared" si="2"/>
        <v>0</v>
      </c>
      <c r="Y24" s="17"/>
    </row>
    <row r="25" spans="2:25">
      <c r="B25" s="35" t="s">
        <v>140</v>
      </c>
      <c r="C25" s="36">
        <v>41800</v>
      </c>
      <c r="D25" s="37" t="s">
        <v>113</v>
      </c>
      <c r="E25" s="38"/>
      <c r="F25" s="38"/>
      <c r="G25" s="38">
        <v>33750</v>
      </c>
      <c r="H25" s="38"/>
      <c r="I25" s="39"/>
      <c r="J25" s="35" t="s">
        <v>114</v>
      </c>
      <c r="K25" s="40" t="s">
        <v>14</v>
      </c>
      <c r="L25" s="37" t="s">
        <v>51</v>
      </c>
      <c r="M25" s="41">
        <v>41820</v>
      </c>
      <c r="N25" s="41">
        <v>41827</v>
      </c>
      <c r="O25" s="49"/>
      <c r="P25" s="109"/>
      <c r="Q25" s="109"/>
      <c r="R25" s="109">
        <v>33750</v>
      </c>
      <c r="S25" s="121"/>
      <c r="T25" s="7"/>
      <c r="U25" s="7"/>
      <c r="V25" s="7"/>
      <c r="W25" s="7">
        <f t="shared" si="1"/>
        <v>33750</v>
      </c>
      <c r="X25" s="17">
        <f t="shared" si="2"/>
        <v>0</v>
      </c>
    </row>
    <row r="26" spans="2:25">
      <c r="B26" s="8" t="s">
        <v>141</v>
      </c>
      <c r="C26" s="9">
        <v>41800</v>
      </c>
      <c r="D26" s="10" t="s">
        <v>113</v>
      </c>
      <c r="E26" s="11"/>
      <c r="F26" s="11"/>
      <c r="G26" s="11">
        <v>5000</v>
      </c>
      <c r="H26" s="11"/>
      <c r="I26" s="11"/>
      <c r="J26" s="8" t="s">
        <v>114</v>
      </c>
      <c r="K26" s="12" t="s">
        <v>14</v>
      </c>
      <c r="L26" s="10" t="s">
        <v>51</v>
      </c>
      <c r="M26" s="13">
        <v>41820</v>
      </c>
      <c r="N26" s="13">
        <v>41827</v>
      </c>
      <c r="P26" s="109">
        <v>5000</v>
      </c>
      <c r="Q26" s="109"/>
      <c r="R26" s="109"/>
      <c r="S26" s="121"/>
      <c r="T26" s="7"/>
      <c r="U26" s="7"/>
      <c r="V26" s="7"/>
      <c r="W26" s="7">
        <f t="shared" si="1"/>
        <v>5000</v>
      </c>
      <c r="X26" s="17">
        <f t="shared" si="2"/>
        <v>0</v>
      </c>
      <c r="Y26" s="17"/>
    </row>
    <row r="27" spans="2:25" ht="30">
      <c r="B27" s="35" t="s">
        <v>142</v>
      </c>
      <c r="C27" s="36">
        <v>41807</v>
      </c>
      <c r="D27" s="61" t="s">
        <v>143</v>
      </c>
      <c r="E27" s="38"/>
      <c r="F27" s="38"/>
      <c r="G27" s="38">
        <v>9487.32</v>
      </c>
      <c r="H27" s="38"/>
      <c r="I27" s="39"/>
      <c r="J27" s="35" t="s">
        <v>44</v>
      </c>
      <c r="K27" s="40" t="s">
        <v>14</v>
      </c>
      <c r="L27" s="37" t="s">
        <v>51</v>
      </c>
      <c r="M27" s="41">
        <v>41807</v>
      </c>
      <c r="N27" s="42"/>
      <c r="O27" s="49"/>
      <c r="P27" s="109">
        <v>9487</v>
      </c>
      <c r="Q27" s="109"/>
      <c r="R27" s="109"/>
      <c r="S27" s="121"/>
      <c r="T27" s="7"/>
      <c r="U27" s="7"/>
      <c r="V27" s="7"/>
      <c r="W27" s="7">
        <f t="shared" si="1"/>
        <v>9487</v>
      </c>
      <c r="X27" s="17">
        <f t="shared" si="2"/>
        <v>0.31999999999970896</v>
      </c>
      <c r="Y27" s="17"/>
    </row>
    <row r="28" spans="2:25">
      <c r="B28" s="8" t="s">
        <v>144</v>
      </c>
      <c r="C28" s="9">
        <v>41810</v>
      </c>
      <c r="D28" s="10" t="s">
        <v>145</v>
      </c>
      <c r="E28" s="11"/>
      <c r="F28" s="11"/>
      <c r="G28" s="11">
        <v>38000</v>
      </c>
      <c r="H28" s="11"/>
      <c r="I28" s="11"/>
      <c r="J28" s="8" t="s">
        <v>44</v>
      </c>
      <c r="K28" s="12" t="s">
        <v>14</v>
      </c>
      <c r="L28" s="10" t="s">
        <v>45</v>
      </c>
      <c r="M28" s="13">
        <v>41810</v>
      </c>
      <c r="N28" s="13">
        <v>41820</v>
      </c>
      <c r="P28" s="109"/>
      <c r="Q28" s="109"/>
      <c r="R28" s="109">
        <v>22167</v>
      </c>
      <c r="S28" s="121">
        <v>15833</v>
      </c>
      <c r="T28" s="7"/>
      <c r="U28" s="7"/>
      <c r="V28" s="7"/>
      <c r="W28" s="7">
        <f t="shared" si="1"/>
        <v>22167</v>
      </c>
      <c r="X28" s="17">
        <f t="shared" si="2"/>
        <v>0</v>
      </c>
      <c r="Y28" s="17"/>
    </row>
    <row r="29" spans="2:25">
      <c r="B29" s="35" t="s">
        <v>146</v>
      </c>
      <c r="C29" s="36">
        <v>41813</v>
      </c>
      <c r="D29" s="37" t="s">
        <v>61</v>
      </c>
      <c r="E29" s="38"/>
      <c r="F29" s="38"/>
      <c r="G29" s="38">
        <v>40000</v>
      </c>
      <c r="H29" s="38"/>
      <c r="I29" s="39"/>
      <c r="J29" s="35" t="s">
        <v>44</v>
      </c>
      <c r="K29" s="40" t="s">
        <v>14</v>
      </c>
      <c r="L29" s="37" t="s">
        <v>45</v>
      </c>
      <c r="M29" s="41">
        <v>41820</v>
      </c>
      <c r="N29" s="41">
        <v>41821</v>
      </c>
      <c r="O29" s="49"/>
      <c r="P29" s="109"/>
      <c r="Q29" s="109"/>
      <c r="R29" s="109">
        <v>40000</v>
      </c>
      <c r="S29" s="121"/>
      <c r="T29" s="7"/>
      <c r="U29" s="7"/>
      <c r="V29" s="7"/>
      <c r="W29" s="7">
        <f t="shared" si="1"/>
        <v>40000</v>
      </c>
      <c r="X29" s="17">
        <f t="shared" si="2"/>
        <v>0</v>
      </c>
      <c r="Y29" s="17"/>
    </row>
    <row r="30" spans="2:25">
      <c r="B30" s="8" t="s">
        <v>147</v>
      </c>
      <c r="C30" s="9">
        <v>41815</v>
      </c>
      <c r="D30" s="10" t="s">
        <v>66</v>
      </c>
      <c r="E30" s="11"/>
      <c r="F30" s="11"/>
      <c r="G30" s="11">
        <v>161550.89000000001</v>
      </c>
      <c r="H30" s="11">
        <v>220000</v>
      </c>
      <c r="I30" s="66">
        <f>H30/G30</f>
        <v>1.3617999876076199</v>
      </c>
      <c r="J30" s="8" t="s">
        <v>50</v>
      </c>
      <c r="K30" s="12" t="s">
        <v>14</v>
      </c>
      <c r="L30" s="10" t="s">
        <v>51</v>
      </c>
      <c r="M30" s="13">
        <v>41815</v>
      </c>
      <c r="N30" s="13">
        <v>41816</v>
      </c>
      <c r="P30" s="109"/>
      <c r="Q30" s="109">
        <f>G30</f>
        <v>161550.89000000001</v>
      </c>
      <c r="R30" s="109"/>
      <c r="S30" s="121"/>
      <c r="T30" s="7"/>
      <c r="U30" s="7"/>
      <c r="V30" s="7"/>
      <c r="W30" s="7">
        <f t="shared" si="1"/>
        <v>161550.89000000001</v>
      </c>
      <c r="X30" s="17">
        <f t="shared" si="2"/>
        <v>0</v>
      </c>
      <c r="Y30" s="17"/>
    </row>
    <row r="31" spans="2:25">
      <c r="B31" s="35" t="s">
        <v>149</v>
      </c>
      <c r="C31" s="36">
        <v>41822</v>
      </c>
      <c r="D31" s="37" t="s">
        <v>145</v>
      </c>
      <c r="E31" s="38"/>
      <c r="F31" s="38"/>
      <c r="G31" s="38">
        <v>50000</v>
      </c>
      <c r="H31" s="38"/>
      <c r="I31" s="39"/>
      <c r="J31" s="35" t="s">
        <v>44</v>
      </c>
      <c r="K31" s="40" t="s">
        <v>14</v>
      </c>
      <c r="L31" s="37" t="s">
        <v>45</v>
      </c>
      <c r="M31" s="41">
        <v>41822</v>
      </c>
      <c r="N31" s="41">
        <v>41828</v>
      </c>
      <c r="O31" s="49"/>
      <c r="P31" s="109"/>
      <c r="Q31" s="109"/>
      <c r="R31" s="109">
        <v>25000</v>
      </c>
      <c r="S31" s="121">
        <v>25000</v>
      </c>
      <c r="T31" s="7"/>
      <c r="U31" s="7"/>
      <c r="V31" s="7"/>
      <c r="W31" s="7">
        <f t="shared" si="1"/>
        <v>25000</v>
      </c>
      <c r="X31" s="17">
        <f t="shared" si="2"/>
        <v>0</v>
      </c>
      <c r="Y31" s="17"/>
    </row>
    <row r="32" spans="2:25">
      <c r="B32" s="8" t="s">
        <v>155</v>
      </c>
      <c r="C32" s="9">
        <v>41842</v>
      </c>
      <c r="D32" s="10" t="s">
        <v>156</v>
      </c>
      <c r="E32" s="11"/>
      <c r="F32" s="11"/>
      <c r="G32" s="11">
        <v>35600</v>
      </c>
      <c r="H32" s="11"/>
      <c r="I32" s="11"/>
      <c r="J32" s="8" t="s">
        <v>16</v>
      </c>
      <c r="K32" s="12" t="s">
        <v>14</v>
      </c>
      <c r="L32" s="10" t="s">
        <v>51</v>
      </c>
      <c r="M32" s="13">
        <v>41863</v>
      </c>
      <c r="N32" s="13">
        <v>41859</v>
      </c>
      <c r="P32" s="109"/>
      <c r="Q32" s="109"/>
      <c r="R32" s="109">
        <f>G32*5/12</f>
        <v>14833.333333333334</v>
      </c>
      <c r="S32" s="121">
        <f>G32*7/12</f>
        <v>20766.666666666668</v>
      </c>
      <c r="T32" s="7"/>
      <c r="U32" s="7"/>
      <c r="V32" s="7"/>
      <c r="W32" s="7">
        <f t="shared" si="1"/>
        <v>14833.333333333334</v>
      </c>
      <c r="X32" s="17">
        <f t="shared" si="2"/>
        <v>0</v>
      </c>
      <c r="Y32" s="17"/>
    </row>
    <row r="33" spans="1:25" ht="15.75">
      <c r="B33" s="103" t="s">
        <v>226</v>
      </c>
      <c r="C33" s="36">
        <v>41848</v>
      </c>
      <c r="D33" s="37" t="s">
        <v>55</v>
      </c>
      <c r="E33" s="38"/>
      <c r="F33" s="38"/>
      <c r="G33" s="38">
        <v>4237.72</v>
      </c>
      <c r="H33" s="38"/>
      <c r="I33" s="39"/>
      <c r="J33" s="35" t="s">
        <v>16</v>
      </c>
      <c r="K33" s="40" t="s">
        <v>14</v>
      </c>
      <c r="L33" s="37" t="s">
        <v>51</v>
      </c>
      <c r="M33" s="41">
        <v>41848</v>
      </c>
      <c r="N33" s="41">
        <v>42023</v>
      </c>
      <c r="O33" s="49"/>
      <c r="P33" s="109">
        <v>4238</v>
      </c>
      <c r="Q33" s="109"/>
      <c r="R33" s="109"/>
      <c r="S33" s="121"/>
      <c r="T33" s="7"/>
      <c r="U33" s="7"/>
      <c r="V33" s="7"/>
      <c r="W33" s="7">
        <f t="shared" si="1"/>
        <v>4238</v>
      </c>
      <c r="X33" s="17">
        <f t="shared" si="2"/>
        <v>-0.27999999999974534</v>
      </c>
      <c r="Y33" s="17"/>
    </row>
    <row r="34" spans="1:25">
      <c r="B34" s="8" t="s">
        <v>157</v>
      </c>
      <c r="C34" s="9">
        <f>+C14</f>
        <v>41717</v>
      </c>
      <c r="D34" s="10" t="s">
        <v>33</v>
      </c>
      <c r="E34" s="11"/>
      <c r="F34" s="11"/>
      <c r="G34" s="11">
        <v>27561</v>
      </c>
      <c r="H34" s="11"/>
      <c r="I34" s="11"/>
      <c r="J34" s="8" t="s">
        <v>44</v>
      </c>
      <c r="K34" s="12" t="s">
        <v>14</v>
      </c>
      <c r="L34" s="10" t="s">
        <v>45</v>
      </c>
      <c r="M34" s="13">
        <v>41883</v>
      </c>
      <c r="N34" s="13">
        <v>41912</v>
      </c>
      <c r="P34" s="109"/>
      <c r="Q34" s="109"/>
      <c r="R34" s="109">
        <v>27561</v>
      </c>
      <c r="S34" s="121"/>
      <c r="T34" s="7"/>
      <c r="U34" s="7"/>
      <c r="V34" s="7"/>
      <c r="W34" s="7">
        <f t="shared" ref="W34:W65" si="4">+SUM(P34:R34)</f>
        <v>27561</v>
      </c>
      <c r="X34" s="17">
        <f t="shared" si="2"/>
        <v>0</v>
      </c>
      <c r="Y34" s="17"/>
    </row>
    <row r="35" spans="1:25">
      <c r="B35" s="35" t="s">
        <v>158</v>
      </c>
      <c r="C35" s="36">
        <v>41852</v>
      </c>
      <c r="D35" s="37" t="s">
        <v>58</v>
      </c>
      <c r="E35" s="38"/>
      <c r="F35" s="38"/>
      <c r="G35" s="38">
        <v>33850</v>
      </c>
      <c r="H35" s="38"/>
      <c r="I35" s="39"/>
      <c r="J35" s="35" t="s">
        <v>57</v>
      </c>
      <c r="K35" s="40" t="s">
        <v>14</v>
      </c>
      <c r="L35" s="37" t="s">
        <v>51</v>
      </c>
      <c r="M35" s="41">
        <v>41883</v>
      </c>
      <c r="N35" s="41">
        <v>41873</v>
      </c>
      <c r="O35" s="49"/>
      <c r="P35" s="109"/>
      <c r="Q35" s="109"/>
      <c r="R35" s="109">
        <v>33850</v>
      </c>
      <c r="S35" s="121"/>
      <c r="T35" s="7"/>
      <c r="U35" s="7"/>
      <c r="V35" s="7"/>
      <c r="W35" s="7">
        <f t="shared" si="4"/>
        <v>33850</v>
      </c>
      <c r="X35" s="17">
        <f t="shared" si="2"/>
        <v>0</v>
      </c>
    </row>
    <row r="36" spans="1:25" ht="30">
      <c r="B36" s="8" t="s">
        <v>159</v>
      </c>
      <c r="C36" s="9">
        <v>41879</v>
      </c>
      <c r="D36" s="10" t="s">
        <v>66</v>
      </c>
      <c r="E36" s="11"/>
      <c r="F36" s="11"/>
      <c r="G36" s="68">
        <f>H36/I36</f>
        <v>174533.31309758688</v>
      </c>
      <c r="H36" s="11">
        <v>230000</v>
      </c>
      <c r="I36" s="69">
        <v>1.3178000000000001</v>
      </c>
      <c r="J36" s="8" t="s">
        <v>50</v>
      </c>
      <c r="K36" s="12" t="s">
        <v>14</v>
      </c>
      <c r="L36" s="10" t="s">
        <v>51</v>
      </c>
      <c r="M36" s="13">
        <v>41879</v>
      </c>
      <c r="N36" s="100" t="s">
        <v>185</v>
      </c>
      <c r="P36" s="109">
        <v>129617</v>
      </c>
      <c r="Q36" s="109"/>
      <c r="R36" s="109">
        <v>22458</v>
      </c>
      <c r="S36" s="121">
        <v>22458</v>
      </c>
      <c r="T36" s="7"/>
      <c r="U36" s="7"/>
      <c r="V36" s="7"/>
      <c r="W36" s="7">
        <f t="shared" si="4"/>
        <v>152075</v>
      </c>
      <c r="X36" s="17">
        <f t="shared" si="2"/>
        <v>0.31309758688439615</v>
      </c>
    </row>
    <row r="37" spans="1:25">
      <c r="B37" s="35" t="s">
        <v>160</v>
      </c>
      <c r="C37" s="36">
        <v>41883</v>
      </c>
      <c r="D37" s="37" t="s">
        <v>161</v>
      </c>
      <c r="E37" s="38"/>
      <c r="F37" s="38"/>
      <c r="G37" s="38">
        <f>H37/I37</f>
        <v>201781.77111094192</v>
      </c>
      <c r="H37" s="38">
        <v>265000</v>
      </c>
      <c r="I37" s="39">
        <v>1.3132999999999999</v>
      </c>
      <c r="J37" s="35" t="s">
        <v>50</v>
      </c>
      <c r="K37" s="40" t="s">
        <v>14</v>
      </c>
      <c r="L37" s="37" t="s">
        <v>51</v>
      </c>
      <c r="M37" s="41">
        <v>41883</v>
      </c>
      <c r="N37" s="41">
        <v>41890</v>
      </c>
      <c r="O37" s="49"/>
      <c r="P37" s="109"/>
      <c r="Q37" s="109">
        <f>+G37</f>
        <v>201781.77111094192</v>
      </c>
      <c r="R37" s="109"/>
      <c r="S37" s="121"/>
      <c r="T37" s="7"/>
      <c r="U37" s="7"/>
      <c r="V37" s="7"/>
      <c r="W37" s="7">
        <f t="shared" si="4"/>
        <v>201781.77111094192</v>
      </c>
      <c r="X37" s="17">
        <f t="shared" si="2"/>
        <v>0</v>
      </c>
      <c r="Y37" s="17"/>
    </row>
    <row r="38" spans="1:25">
      <c r="B38" s="8" t="s">
        <v>162</v>
      </c>
      <c r="C38" s="9">
        <v>41887</v>
      </c>
      <c r="D38" s="10" t="s">
        <v>73</v>
      </c>
      <c r="E38" s="11"/>
      <c r="F38" s="11"/>
      <c r="G38" s="11">
        <f>H38/I38</f>
        <v>119709.60766141489</v>
      </c>
      <c r="H38" s="11">
        <v>155000</v>
      </c>
      <c r="I38" s="69">
        <v>1.2948</v>
      </c>
      <c r="J38" s="8" t="s">
        <v>50</v>
      </c>
      <c r="K38" s="12" t="s">
        <v>14</v>
      </c>
      <c r="L38" s="10" t="s">
        <v>51</v>
      </c>
      <c r="M38" s="13">
        <v>41887</v>
      </c>
      <c r="N38" s="13">
        <v>41890</v>
      </c>
      <c r="P38" s="109"/>
      <c r="Q38" s="109"/>
      <c r="R38" s="109">
        <f>G38*6/12</f>
        <v>59854.803830707446</v>
      </c>
      <c r="S38" s="121">
        <f>G38*6/12</f>
        <v>59854.803830707446</v>
      </c>
      <c r="T38" s="7"/>
      <c r="U38" s="7"/>
      <c r="V38" s="7"/>
      <c r="W38" s="7">
        <f t="shared" si="4"/>
        <v>59854.803830707446</v>
      </c>
      <c r="X38" s="17">
        <f t="shared" si="2"/>
        <v>0</v>
      </c>
      <c r="Y38" s="17"/>
    </row>
    <row r="39" spans="1:25">
      <c r="A39" s="1" t="s">
        <v>13</v>
      </c>
      <c r="B39" s="35" t="s">
        <v>165</v>
      </c>
      <c r="C39" s="36">
        <v>41892</v>
      </c>
      <c r="D39" s="37" t="s">
        <v>113</v>
      </c>
      <c r="E39" s="38"/>
      <c r="F39" s="38"/>
      <c r="G39" s="38">
        <v>33750</v>
      </c>
      <c r="H39" s="77"/>
      <c r="I39" s="78"/>
      <c r="J39" s="35" t="s">
        <v>114</v>
      </c>
      <c r="K39" s="40" t="s">
        <v>14</v>
      </c>
      <c r="L39" s="37" t="s">
        <v>51</v>
      </c>
      <c r="M39" s="41">
        <v>41912</v>
      </c>
      <c r="N39" s="41">
        <v>41914</v>
      </c>
      <c r="O39" s="49"/>
      <c r="P39" s="109"/>
      <c r="Q39" s="109"/>
      <c r="R39" s="109">
        <f>G39</f>
        <v>33750</v>
      </c>
      <c r="S39" s="121"/>
      <c r="T39" s="7"/>
      <c r="U39" s="7"/>
      <c r="V39" s="7"/>
      <c r="W39" s="7">
        <f t="shared" si="4"/>
        <v>33750</v>
      </c>
      <c r="X39" s="17">
        <f t="shared" si="2"/>
        <v>0</v>
      </c>
    </row>
    <row r="40" spans="1:25">
      <c r="B40" s="8" t="s">
        <v>166</v>
      </c>
      <c r="C40" s="9">
        <v>41892</v>
      </c>
      <c r="D40" s="10" t="s">
        <v>61</v>
      </c>
      <c r="E40" s="11"/>
      <c r="F40" s="11"/>
      <c r="G40" s="11">
        <v>40000</v>
      </c>
      <c r="H40" s="11"/>
      <c r="I40" s="11"/>
      <c r="J40" s="8" t="s">
        <v>44</v>
      </c>
      <c r="K40" s="12" t="s">
        <v>14</v>
      </c>
      <c r="L40" s="10" t="s">
        <v>167</v>
      </c>
      <c r="M40" s="13">
        <v>41912</v>
      </c>
      <c r="N40" s="13">
        <v>41905</v>
      </c>
      <c r="P40" s="109"/>
      <c r="Q40" s="109"/>
      <c r="R40" s="109">
        <f>G40</f>
        <v>40000</v>
      </c>
      <c r="S40" s="121"/>
      <c r="T40" s="7"/>
      <c r="U40" s="7"/>
      <c r="V40" s="7"/>
      <c r="W40" s="7">
        <f t="shared" si="4"/>
        <v>40000</v>
      </c>
      <c r="X40" s="17">
        <f t="shared" si="2"/>
        <v>0</v>
      </c>
      <c r="Y40" s="17"/>
    </row>
    <row r="41" spans="1:25">
      <c r="B41" s="74" t="s">
        <v>168</v>
      </c>
      <c r="C41" s="75">
        <v>41892</v>
      </c>
      <c r="D41" s="76" t="s">
        <v>169</v>
      </c>
      <c r="E41" s="77"/>
      <c r="F41" s="77"/>
      <c r="G41" s="77">
        <v>-202500</v>
      </c>
      <c r="H41" s="77"/>
      <c r="I41" s="78"/>
      <c r="J41" s="74" t="s">
        <v>16</v>
      </c>
      <c r="K41" s="80" t="s">
        <v>14</v>
      </c>
      <c r="L41" s="76" t="s">
        <v>45</v>
      </c>
      <c r="M41" s="81">
        <v>41892</v>
      </c>
      <c r="N41" s="81">
        <v>41892</v>
      </c>
      <c r="O41" s="113"/>
      <c r="P41" s="113"/>
      <c r="Q41" s="109"/>
      <c r="R41" s="109"/>
      <c r="S41" s="121"/>
      <c r="T41" s="7"/>
      <c r="U41" s="7"/>
      <c r="V41" s="7"/>
      <c r="W41" s="7">
        <f t="shared" si="4"/>
        <v>0</v>
      </c>
      <c r="X41" s="17">
        <f t="shared" si="2"/>
        <v>-202500</v>
      </c>
      <c r="Y41" s="17"/>
    </row>
    <row r="42" spans="1:25">
      <c r="B42" s="35" t="s">
        <v>174</v>
      </c>
      <c r="C42" s="36">
        <v>41904</v>
      </c>
      <c r="D42" s="37" t="s">
        <v>55</v>
      </c>
      <c r="E42" s="38"/>
      <c r="F42" s="38"/>
      <c r="G42" s="38">
        <v>151000</v>
      </c>
      <c r="H42" s="77"/>
      <c r="I42" s="78"/>
      <c r="J42" s="35" t="s">
        <v>16</v>
      </c>
      <c r="K42" s="40" t="s">
        <v>14</v>
      </c>
      <c r="L42" s="37" t="s">
        <v>51</v>
      </c>
      <c r="M42" s="41">
        <v>41934</v>
      </c>
      <c r="N42" s="41">
        <v>41942</v>
      </c>
      <c r="O42" s="49"/>
      <c r="P42" s="109">
        <v>105000</v>
      </c>
      <c r="Q42" s="109"/>
      <c r="R42" s="109">
        <v>46000</v>
      </c>
      <c r="S42" s="121"/>
      <c r="T42" s="7"/>
      <c r="U42" s="7"/>
      <c r="V42" s="7"/>
      <c r="W42" s="7">
        <f t="shared" si="4"/>
        <v>151000</v>
      </c>
      <c r="X42" s="17">
        <f t="shared" si="2"/>
        <v>0</v>
      </c>
      <c r="Y42" s="17"/>
    </row>
    <row r="43" spans="1:25">
      <c r="B43" s="89" t="s">
        <v>175</v>
      </c>
      <c r="C43" s="90">
        <v>41907</v>
      </c>
      <c r="D43" s="88" t="s">
        <v>66</v>
      </c>
      <c r="E43" s="79"/>
      <c r="F43" s="79"/>
      <c r="G43" s="79">
        <v>-58999.37</v>
      </c>
      <c r="H43" s="79">
        <v>-75000</v>
      </c>
      <c r="I43" s="93">
        <v>1.2826</v>
      </c>
      <c r="J43" s="89" t="s">
        <v>50</v>
      </c>
      <c r="K43" s="91" t="s">
        <v>14</v>
      </c>
      <c r="L43" s="88" t="s">
        <v>51</v>
      </c>
      <c r="M43" s="92">
        <v>41907</v>
      </c>
      <c r="N43" s="92">
        <v>41907</v>
      </c>
      <c r="P43" s="113">
        <f>G43</f>
        <v>-58999.37</v>
      </c>
      <c r="Q43" s="109"/>
      <c r="R43" s="109"/>
      <c r="S43" s="121"/>
      <c r="T43" s="7"/>
      <c r="U43" s="7"/>
      <c r="V43" s="7"/>
      <c r="W43" s="7">
        <f t="shared" si="4"/>
        <v>-58999.37</v>
      </c>
      <c r="X43" s="17">
        <f t="shared" si="2"/>
        <v>0</v>
      </c>
      <c r="Y43" s="17"/>
    </row>
    <row r="44" spans="1:25" ht="30">
      <c r="B44" s="35" t="s">
        <v>176</v>
      </c>
      <c r="C44" s="36">
        <v>41911</v>
      </c>
      <c r="D44" s="37" t="s">
        <v>161</v>
      </c>
      <c r="E44" s="38"/>
      <c r="F44" s="38"/>
      <c r="G44" s="11">
        <v>208644.99</v>
      </c>
      <c r="H44" s="38">
        <v>265000</v>
      </c>
      <c r="I44" s="94">
        <v>1.2732000000000001</v>
      </c>
      <c r="J44" s="35" t="s">
        <v>50</v>
      </c>
      <c r="K44" s="40" t="s">
        <v>14</v>
      </c>
      <c r="L44" s="37" t="s">
        <v>51</v>
      </c>
      <c r="M44" s="41">
        <v>41911</v>
      </c>
      <c r="N44" s="96" t="s">
        <v>184</v>
      </c>
      <c r="O44" s="49"/>
      <c r="P44" s="109"/>
      <c r="Q44" s="109">
        <f>G44</f>
        <v>208644.99</v>
      </c>
      <c r="R44" s="109"/>
      <c r="S44" s="121"/>
      <c r="T44" s="7"/>
      <c r="U44" s="7"/>
      <c r="V44" s="7"/>
      <c r="W44" s="7">
        <f t="shared" si="4"/>
        <v>208644.99</v>
      </c>
      <c r="X44" s="17">
        <f t="shared" si="2"/>
        <v>0</v>
      </c>
      <c r="Y44" s="17"/>
    </row>
    <row r="45" spans="1:25">
      <c r="B45" s="8" t="s">
        <v>177</v>
      </c>
      <c r="C45" s="9">
        <v>41915</v>
      </c>
      <c r="D45" s="10" t="s">
        <v>178</v>
      </c>
      <c r="E45" s="11"/>
      <c r="F45" s="11"/>
      <c r="G45" s="11">
        <v>75000</v>
      </c>
      <c r="H45" s="11"/>
      <c r="I45" s="95"/>
      <c r="J45" s="8" t="s">
        <v>50</v>
      </c>
      <c r="K45" s="12" t="s">
        <v>14</v>
      </c>
      <c r="L45" s="10" t="s">
        <v>51</v>
      </c>
      <c r="M45" s="13">
        <v>41942</v>
      </c>
      <c r="N45" s="13">
        <v>41947</v>
      </c>
      <c r="P45" s="109"/>
      <c r="Q45" s="109"/>
      <c r="R45" s="109">
        <f>G45*2/12</f>
        <v>12500</v>
      </c>
      <c r="S45" s="121">
        <f>G45*10/12</f>
        <v>62500</v>
      </c>
      <c r="T45" s="7"/>
      <c r="U45" s="7"/>
      <c r="V45" s="7"/>
      <c r="W45" s="7">
        <f t="shared" si="4"/>
        <v>12500</v>
      </c>
      <c r="X45" s="17">
        <f t="shared" si="2"/>
        <v>0</v>
      </c>
    </row>
    <row r="46" spans="1:25">
      <c r="B46" s="35" t="s">
        <v>179</v>
      </c>
      <c r="C46" s="36">
        <v>41928</v>
      </c>
      <c r="D46" s="37" t="s">
        <v>161</v>
      </c>
      <c r="E46" s="38"/>
      <c r="F46" s="38"/>
      <c r="G46" s="38">
        <f>H46/I46</f>
        <v>188250.0588281434</v>
      </c>
      <c r="H46" s="38">
        <v>240000</v>
      </c>
      <c r="I46" s="39">
        <v>1.2748999999999999</v>
      </c>
      <c r="J46" s="35" t="s">
        <v>50</v>
      </c>
      <c r="K46" s="40" t="s">
        <v>14</v>
      </c>
      <c r="L46" s="37" t="s">
        <v>51</v>
      </c>
      <c r="M46" s="41">
        <v>41928</v>
      </c>
      <c r="N46" s="41">
        <v>41935</v>
      </c>
      <c r="O46" s="49"/>
      <c r="P46" s="109"/>
      <c r="Q46" s="109">
        <f>G46</f>
        <v>188250.0588281434</v>
      </c>
      <c r="R46" s="109"/>
      <c r="S46" s="121"/>
      <c r="T46" s="7"/>
      <c r="U46" s="7"/>
      <c r="V46" s="7"/>
      <c r="W46" s="7">
        <f t="shared" si="4"/>
        <v>188250.0588281434</v>
      </c>
      <c r="X46" s="17">
        <f t="shared" si="2"/>
        <v>0</v>
      </c>
      <c r="Y46" s="17"/>
    </row>
    <row r="47" spans="1:25">
      <c r="B47" s="8" t="s">
        <v>180</v>
      </c>
      <c r="C47" s="9">
        <v>41928</v>
      </c>
      <c r="D47" s="10" t="s">
        <v>161</v>
      </c>
      <c r="E47" s="11"/>
      <c r="F47" s="11"/>
      <c r="G47" s="11">
        <f>H47/I47</f>
        <v>207859.43995607499</v>
      </c>
      <c r="H47" s="11">
        <v>265000</v>
      </c>
      <c r="I47" s="69">
        <v>1.2748999999999999</v>
      </c>
      <c r="J47" s="8" t="s">
        <v>50</v>
      </c>
      <c r="K47" s="12" t="s">
        <v>14</v>
      </c>
      <c r="L47" s="10" t="s">
        <v>51</v>
      </c>
      <c r="M47" s="13">
        <v>41928</v>
      </c>
      <c r="N47" s="13">
        <v>41940</v>
      </c>
      <c r="P47" s="109"/>
      <c r="Q47" s="109">
        <f>G47</f>
        <v>207859.43995607499</v>
      </c>
      <c r="R47" s="114"/>
      <c r="S47" s="121"/>
      <c r="T47" s="7"/>
      <c r="U47" s="7"/>
      <c r="V47" s="7"/>
      <c r="W47" s="7">
        <f t="shared" si="4"/>
        <v>207859.43995607499</v>
      </c>
      <c r="X47" s="17">
        <f t="shared" si="2"/>
        <v>0</v>
      </c>
      <c r="Y47" s="17"/>
    </row>
    <row r="48" spans="1:25">
      <c r="B48" s="35" t="s">
        <v>181</v>
      </c>
      <c r="C48" s="36">
        <v>41932</v>
      </c>
      <c r="D48" s="37" t="s">
        <v>182</v>
      </c>
      <c r="E48" s="38"/>
      <c r="F48" s="38"/>
      <c r="G48" s="38">
        <v>119900</v>
      </c>
      <c r="H48" s="38"/>
      <c r="I48" s="39"/>
      <c r="J48" s="35" t="s">
        <v>16</v>
      </c>
      <c r="K48" s="40" t="s">
        <v>14</v>
      </c>
      <c r="L48" s="37" t="s">
        <v>45</v>
      </c>
      <c r="M48" s="41">
        <v>41963</v>
      </c>
      <c r="N48" s="41">
        <v>41975</v>
      </c>
      <c r="O48" s="49"/>
      <c r="P48" s="109"/>
      <c r="Q48" s="109"/>
      <c r="R48" s="109"/>
      <c r="S48" s="122">
        <v>119900</v>
      </c>
      <c r="T48" s="7"/>
      <c r="U48" s="7"/>
      <c r="V48" s="7"/>
      <c r="W48" s="7">
        <f t="shared" si="4"/>
        <v>0</v>
      </c>
      <c r="X48" s="17">
        <f t="shared" si="2"/>
        <v>0</v>
      </c>
      <c r="Y48" s="17"/>
    </row>
    <row r="49" spans="2:25">
      <c r="B49" s="89" t="s">
        <v>183</v>
      </c>
      <c r="C49" s="90">
        <v>41934</v>
      </c>
      <c r="D49" s="88" t="s">
        <v>161</v>
      </c>
      <c r="E49" s="79"/>
      <c r="F49" s="79"/>
      <c r="G49" s="79">
        <v>-39391.79</v>
      </c>
      <c r="H49" s="79">
        <v>-50000</v>
      </c>
      <c r="I49" s="93">
        <v>1.2762</v>
      </c>
      <c r="J49" s="89" t="s">
        <v>50</v>
      </c>
      <c r="K49" s="91" t="s">
        <v>14</v>
      </c>
      <c r="L49" s="88" t="s">
        <v>51</v>
      </c>
      <c r="M49" s="92">
        <v>41934</v>
      </c>
      <c r="N49" s="92">
        <v>41934</v>
      </c>
      <c r="P49" s="109"/>
      <c r="Q49" s="113">
        <f>G49</f>
        <v>-39391.79</v>
      </c>
      <c r="R49" s="114"/>
      <c r="S49" s="121"/>
      <c r="T49" s="7"/>
      <c r="U49" s="7"/>
      <c r="V49" s="7"/>
      <c r="W49" s="7">
        <f t="shared" si="4"/>
        <v>-39391.79</v>
      </c>
      <c r="X49" s="17">
        <f t="shared" si="2"/>
        <v>0</v>
      </c>
      <c r="Y49" s="17"/>
    </row>
    <row r="50" spans="2:25">
      <c r="B50" s="35" t="s">
        <v>186</v>
      </c>
      <c r="C50" s="36">
        <v>41954</v>
      </c>
      <c r="D50" s="37" t="s">
        <v>187</v>
      </c>
      <c r="E50" s="38"/>
      <c r="F50" s="38"/>
      <c r="G50" s="38">
        <v>64000</v>
      </c>
      <c r="H50" s="38"/>
      <c r="I50" s="39"/>
      <c r="J50" s="35" t="s">
        <v>16</v>
      </c>
      <c r="K50" s="40" t="s">
        <v>14</v>
      </c>
      <c r="L50" s="37" t="s">
        <v>51</v>
      </c>
      <c r="M50" s="41">
        <v>41984</v>
      </c>
      <c r="N50" s="41">
        <v>41995</v>
      </c>
      <c r="O50" s="49"/>
      <c r="P50" s="109"/>
      <c r="Q50" s="109"/>
      <c r="R50" s="109"/>
      <c r="S50" s="121">
        <v>64000</v>
      </c>
      <c r="T50" s="7"/>
      <c r="U50" s="7"/>
      <c r="V50" s="7"/>
      <c r="W50" s="7">
        <f t="shared" si="4"/>
        <v>0</v>
      </c>
      <c r="X50" s="17">
        <f t="shared" si="2"/>
        <v>0</v>
      </c>
    </row>
    <row r="51" spans="2:25">
      <c r="B51" s="8" t="s">
        <v>188</v>
      </c>
      <c r="C51" s="9">
        <v>41961</v>
      </c>
      <c r="D51" s="10" t="s">
        <v>189</v>
      </c>
      <c r="E51" s="11"/>
      <c r="F51" s="11"/>
      <c r="G51" s="11">
        <v>215000</v>
      </c>
      <c r="H51" s="11"/>
      <c r="I51" s="69"/>
      <c r="J51" s="8" t="s">
        <v>44</v>
      </c>
      <c r="K51" s="12" t="s">
        <v>14</v>
      </c>
      <c r="L51" s="10" t="s">
        <v>167</v>
      </c>
      <c r="M51" s="13">
        <v>41961</v>
      </c>
      <c r="N51" s="13">
        <v>41964</v>
      </c>
      <c r="P51" s="109"/>
      <c r="Q51" s="109">
        <f>G51</f>
        <v>215000</v>
      </c>
      <c r="R51" s="114"/>
      <c r="S51" s="121"/>
      <c r="T51" s="7"/>
      <c r="U51" s="7"/>
      <c r="V51" s="7"/>
      <c r="W51" s="7">
        <f t="shared" si="4"/>
        <v>215000</v>
      </c>
      <c r="X51" s="17">
        <f t="shared" si="2"/>
        <v>0</v>
      </c>
      <c r="Y51" s="17"/>
    </row>
    <row r="52" spans="2:25">
      <c r="B52" s="35" t="s">
        <v>190</v>
      </c>
      <c r="C52" s="36">
        <v>41964</v>
      </c>
      <c r="D52" s="37" t="s">
        <v>33</v>
      </c>
      <c r="E52" s="38"/>
      <c r="F52" s="38"/>
      <c r="G52" s="38">
        <v>27561</v>
      </c>
      <c r="H52" s="38"/>
      <c r="I52" s="39"/>
      <c r="J52" s="35" t="s">
        <v>44</v>
      </c>
      <c r="K52" s="40" t="s">
        <v>14</v>
      </c>
      <c r="L52" s="37" t="s">
        <v>45</v>
      </c>
      <c r="M52" s="41">
        <v>41994</v>
      </c>
      <c r="N52" s="41">
        <v>42041</v>
      </c>
      <c r="O52" s="49"/>
      <c r="P52" s="109"/>
      <c r="Q52" s="109"/>
      <c r="R52" s="109">
        <v>27561</v>
      </c>
      <c r="S52" s="121"/>
      <c r="T52" s="7"/>
      <c r="U52" s="7"/>
      <c r="V52" s="7"/>
      <c r="W52" s="7">
        <f t="shared" si="4"/>
        <v>27561</v>
      </c>
      <c r="X52" s="17">
        <f t="shared" si="2"/>
        <v>0</v>
      </c>
      <c r="Y52" s="17"/>
    </row>
    <row r="53" spans="2:25" ht="45">
      <c r="B53" s="8" t="s">
        <v>191</v>
      </c>
      <c r="C53" s="9">
        <v>41967</v>
      </c>
      <c r="D53" s="10" t="s">
        <v>161</v>
      </c>
      <c r="E53" s="11"/>
      <c r="F53" s="11"/>
      <c r="G53" s="11">
        <v>213537.47</v>
      </c>
      <c r="H53" s="11">
        <v>265000</v>
      </c>
      <c r="I53" s="69">
        <v>1.2422</v>
      </c>
      <c r="J53" s="8" t="s">
        <v>50</v>
      </c>
      <c r="K53" s="12" t="s">
        <v>14</v>
      </c>
      <c r="L53" s="10" t="s">
        <v>51</v>
      </c>
      <c r="M53" s="13">
        <v>41967</v>
      </c>
      <c r="N53" s="100" t="s">
        <v>233</v>
      </c>
      <c r="P53" s="109"/>
      <c r="Q53" s="109">
        <f>G53</f>
        <v>213537.47</v>
      </c>
      <c r="R53" s="114"/>
      <c r="S53" s="121"/>
      <c r="T53" s="7"/>
      <c r="U53" s="7"/>
      <c r="V53" s="7"/>
      <c r="W53" s="7">
        <f t="shared" si="4"/>
        <v>213537.47</v>
      </c>
      <c r="X53" s="17">
        <f t="shared" si="2"/>
        <v>0</v>
      </c>
      <c r="Y53" s="17"/>
    </row>
    <row r="54" spans="2:25" ht="30">
      <c r="B54" s="35" t="s">
        <v>192</v>
      </c>
      <c r="C54" s="36">
        <v>41967</v>
      </c>
      <c r="D54" s="37" t="s">
        <v>161</v>
      </c>
      <c r="E54" s="38"/>
      <c r="F54" s="38"/>
      <c r="G54" s="38">
        <v>213537.47</v>
      </c>
      <c r="H54" s="38">
        <v>265000</v>
      </c>
      <c r="I54" s="39">
        <v>1.2422</v>
      </c>
      <c r="J54" s="35" t="s">
        <v>50</v>
      </c>
      <c r="K54" s="40" t="s">
        <v>14</v>
      </c>
      <c r="L54" s="37" t="s">
        <v>51</v>
      </c>
      <c r="M54" s="41">
        <v>41967</v>
      </c>
      <c r="N54" s="96" t="s">
        <v>238</v>
      </c>
      <c r="O54" s="49"/>
      <c r="P54" s="109"/>
      <c r="Q54" s="109">
        <f>G54</f>
        <v>213537.47</v>
      </c>
      <c r="R54" s="109"/>
      <c r="S54" s="121"/>
      <c r="T54" s="7"/>
      <c r="U54" s="7"/>
      <c r="V54" s="7"/>
      <c r="W54" s="7">
        <f t="shared" si="4"/>
        <v>213537.47</v>
      </c>
      <c r="X54" s="17">
        <f t="shared" si="2"/>
        <v>0</v>
      </c>
      <c r="Y54" s="17"/>
    </row>
    <row r="55" spans="2:25">
      <c r="B55" s="8" t="s">
        <v>197</v>
      </c>
      <c r="C55" s="9">
        <v>41974</v>
      </c>
      <c r="D55" s="10" t="s">
        <v>198</v>
      </c>
      <c r="E55" s="11"/>
      <c r="F55" s="11"/>
      <c r="G55" s="11">
        <v>76500</v>
      </c>
      <c r="H55" s="11"/>
      <c r="I55" s="69"/>
      <c r="J55" s="8" t="s">
        <v>16</v>
      </c>
      <c r="K55" s="12" t="s">
        <v>14</v>
      </c>
      <c r="L55" s="10" t="s">
        <v>45</v>
      </c>
      <c r="M55" s="13">
        <v>42041</v>
      </c>
      <c r="N55" s="13">
        <v>42068</v>
      </c>
      <c r="O55" s="49">
        <f>-G55</f>
        <v>-76500</v>
      </c>
      <c r="P55" s="109"/>
      <c r="Q55" s="109"/>
      <c r="R55" s="114"/>
      <c r="S55" s="121"/>
      <c r="T55" s="7"/>
      <c r="U55" s="7"/>
      <c r="V55" s="7"/>
      <c r="W55" s="7">
        <f t="shared" si="4"/>
        <v>0</v>
      </c>
      <c r="X55" s="17">
        <f t="shared" si="2"/>
        <v>0</v>
      </c>
      <c r="Y55" s="17"/>
    </row>
    <row r="56" spans="2:25">
      <c r="B56" s="35" t="s">
        <v>199</v>
      </c>
      <c r="C56" s="36">
        <v>41974</v>
      </c>
      <c r="D56" s="37" t="s">
        <v>198</v>
      </c>
      <c r="E56" s="38"/>
      <c r="F56" s="38"/>
      <c r="G56" s="38">
        <v>35000</v>
      </c>
      <c r="H56" s="38"/>
      <c r="I56" s="39"/>
      <c r="J56" s="35" t="s">
        <v>16</v>
      </c>
      <c r="K56" s="40" t="s">
        <v>14</v>
      </c>
      <c r="L56" s="37" t="s">
        <v>45</v>
      </c>
      <c r="M56" s="41">
        <v>41974</v>
      </c>
      <c r="N56" s="41">
        <v>41984</v>
      </c>
      <c r="O56" s="49"/>
      <c r="P56" s="109">
        <f>G56</f>
        <v>35000</v>
      </c>
      <c r="Q56" s="109"/>
      <c r="R56" s="109"/>
      <c r="S56" s="121"/>
      <c r="T56" s="7"/>
      <c r="U56" s="7"/>
      <c r="V56" s="7"/>
      <c r="W56" s="7">
        <f t="shared" si="4"/>
        <v>35000</v>
      </c>
      <c r="X56" s="17">
        <f t="shared" si="2"/>
        <v>0</v>
      </c>
      <c r="Y56" s="17"/>
    </row>
    <row r="57" spans="2:25">
      <c r="B57" s="8" t="s">
        <v>200</v>
      </c>
      <c r="C57" s="9">
        <v>41974</v>
      </c>
      <c r="D57" s="10" t="s">
        <v>198</v>
      </c>
      <c r="E57" s="11"/>
      <c r="F57" s="11"/>
      <c r="G57" s="11">
        <v>16875</v>
      </c>
      <c r="H57" s="11"/>
      <c r="I57" s="69"/>
      <c r="J57" s="8" t="s">
        <v>16</v>
      </c>
      <c r="K57" s="12" t="s">
        <v>14</v>
      </c>
      <c r="L57" s="10" t="s">
        <v>45</v>
      </c>
      <c r="M57" s="13">
        <v>42041</v>
      </c>
      <c r="N57" s="13">
        <v>42067</v>
      </c>
      <c r="P57" s="109"/>
      <c r="Q57" s="109"/>
      <c r="R57" s="114"/>
      <c r="S57" s="121">
        <v>16875</v>
      </c>
      <c r="T57" s="7"/>
      <c r="U57" s="7"/>
      <c r="V57" s="7"/>
      <c r="W57" s="7">
        <f t="shared" si="4"/>
        <v>0</v>
      </c>
      <c r="X57" s="17">
        <f t="shared" si="2"/>
        <v>0</v>
      </c>
      <c r="Y57" s="17"/>
    </row>
    <row r="58" spans="2:25">
      <c r="B58" s="35" t="s">
        <v>201</v>
      </c>
      <c r="C58" s="36">
        <v>41974</v>
      </c>
      <c r="D58" s="37" t="s">
        <v>58</v>
      </c>
      <c r="E58" s="38"/>
      <c r="F58" s="38"/>
      <c r="G58" s="38">
        <v>78000</v>
      </c>
      <c r="H58" s="38"/>
      <c r="I58" s="39"/>
      <c r="J58" s="35" t="s">
        <v>57</v>
      </c>
      <c r="K58" s="40" t="s">
        <v>14</v>
      </c>
      <c r="L58" s="37" t="s">
        <v>45</v>
      </c>
      <c r="M58" s="41">
        <v>42004</v>
      </c>
      <c r="N58" s="41">
        <v>42038</v>
      </c>
      <c r="O58" s="49"/>
      <c r="P58" s="109">
        <v>78000</v>
      </c>
      <c r="Q58" s="109"/>
      <c r="R58" s="109"/>
      <c r="S58" s="121"/>
      <c r="T58" s="7"/>
      <c r="U58" s="7"/>
      <c r="V58" s="7"/>
      <c r="W58" s="7">
        <f t="shared" si="4"/>
        <v>78000</v>
      </c>
      <c r="X58" s="17">
        <f t="shared" si="2"/>
        <v>0</v>
      </c>
      <c r="Y58" s="17"/>
    </row>
    <row r="59" spans="2:25">
      <c r="B59" s="8" t="s">
        <v>202</v>
      </c>
      <c r="C59" s="9">
        <v>41975</v>
      </c>
      <c r="D59" s="10" t="s">
        <v>61</v>
      </c>
      <c r="E59" s="11"/>
      <c r="F59" s="11"/>
      <c r="G59" s="11">
        <v>40000</v>
      </c>
      <c r="H59" s="11"/>
      <c r="I59" s="69"/>
      <c r="J59" s="8" t="s">
        <v>44</v>
      </c>
      <c r="K59" s="12" t="s">
        <v>14</v>
      </c>
      <c r="L59" s="10" t="s">
        <v>45</v>
      </c>
      <c r="M59" s="13">
        <v>42004</v>
      </c>
      <c r="N59" s="13">
        <v>42025</v>
      </c>
      <c r="P59" s="109"/>
      <c r="Q59" s="109"/>
      <c r="R59" s="109">
        <v>40000</v>
      </c>
      <c r="S59" s="121"/>
      <c r="T59" s="7"/>
      <c r="U59" s="7"/>
      <c r="V59" s="7"/>
      <c r="W59" s="7">
        <f t="shared" si="4"/>
        <v>40000</v>
      </c>
      <c r="X59" s="17">
        <f t="shared" si="2"/>
        <v>0</v>
      </c>
      <c r="Y59" s="17"/>
    </row>
    <row r="60" spans="2:25">
      <c r="B60" s="35" t="s">
        <v>203</v>
      </c>
      <c r="C60" s="36">
        <v>41983</v>
      </c>
      <c r="D60" s="37" t="s">
        <v>113</v>
      </c>
      <c r="E60" s="38"/>
      <c r="F60" s="38"/>
      <c r="G60" s="38">
        <v>33750</v>
      </c>
      <c r="H60" s="38"/>
      <c r="I60" s="39"/>
      <c r="J60" s="35" t="s">
        <v>114</v>
      </c>
      <c r="K60" s="40" t="s">
        <v>14</v>
      </c>
      <c r="L60" s="37" t="s">
        <v>51</v>
      </c>
      <c r="M60" s="41">
        <v>42004</v>
      </c>
      <c r="N60" s="41">
        <v>41996</v>
      </c>
      <c r="O60" s="49"/>
      <c r="P60" s="109"/>
      <c r="Q60" s="109"/>
      <c r="R60" s="109">
        <v>33750</v>
      </c>
      <c r="S60" s="121"/>
      <c r="T60" s="7"/>
      <c r="U60" s="7"/>
      <c r="V60" s="7"/>
      <c r="W60" s="7">
        <f t="shared" si="4"/>
        <v>33750</v>
      </c>
      <c r="X60" s="17">
        <f t="shared" si="2"/>
        <v>0</v>
      </c>
      <c r="Y60" s="17"/>
    </row>
    <row r="61" spans="2:25">
      <c r="B61" s="8" t="s">
        <v>204</v>
      </c>
      <c r="C61" s="9">
        <v>41983</v>
      </c>
      <c r="D61" s="10" t="s">
        <v>205</v>
      </c>
      <c r="E61" s="11"/>
      <c r="F61" s="11"/>
      <c r="G61" s="11">
        <v>210000</v>
      </c>
      <c r="H61" s="11"/>
      <c r="I61" s="69"/>
      <c r="J61" s="8" t="s">
        <v>57</v>
      </c>
      <c r="K61" s="12" t="s">
        <v>14</v>
      </c>
      <c r="L61" s="10" t="s">
        <v>45</v>
      </c>
      <c r="M61" s="13">
        <v>42013</v>
      </c>
      <c r="N61" s="41">
        <v>42002</v>
      </c>
      <c r="P61" s="109"/>
      <c r="Q61" s="109"/>
      <c r="R61" s="109">
        <f>G61/3</f>
        <v>70000</v>
      </c>
      <c r="S61" s="121">
        <f>G61/3</f>
        <v>70000</v>
      </c>
      <c r="T61" s="7">
        <f>G61/3</f>
        <v>70000</v>
      </c>
      <c r="U61" s="7"/>
      <c r="V61" s="7"/>
      <c r="W61" s="7">
        <f t="shared" si="4"/>
        <v>70000</v>
      </c>
      <c r="X61" s="17">
        <f t="shared" si="2"/>
        <v>0</v>
      </c>
      <c r="Y61" s="17"/>
    </row>
    <row r="62" spans="2:25">
      <c r="B62" s="35" t="s">
        <v>206</v>
      </c>
      <c r="C62" s="36">
        <v>41983</v>
      </c>
      <c r="D62" s="37" t="s">
        <v>56</v>
      </c>
      <c r="E62" s="38"/>
      <c r="F62" s="38"/>
      <c r="G62" s="38">
        <v>17000</v>
      </c>
      <c r="H62" s="38"/>
      <c r="I62" s="39"/>
      <c r="J62" s="35" t="s">
        <v>57</v>
      </c>
      <c r="K62" s="40" t="s">
        <v>14</v>
      </c>
      <c r="L62" s="37" t="s">
        <v>51</v>
      </c>
      <c r="M62" s="41">
        <v>42014</v>
      </c>
      <c r="N62" s="41">
        <v>42034</v>
      </c>
      <c r="O62" s="49"/>
      <c r="P62" s="109"/>
      <c r="Q62" s="109"/>
      <c r="R62" s="109">
        <f>G62/2</f>
        <v>8500</v>
      </c>
      <c r="S62" s="121">
        <f>G62-R62</f>
        <v>8500</v>
      </c>
      <c r="T62" s="7"/>
      <c r="U62" s="7"/>
      <c r="V62" s="7"/>
      <c r="W62" s="7">
        <f t="shared" si="4"/>
        <v>8500</v>
      </c>
      <c r="X62" s="17">
        <f t="shared" si="2"/>
        <v>0</v>
      </c>
      <c r="Y62" s="17"/>
    </row>
    <row r="63" spans="2:25">
      <c r="B63" s="8" t="s">
        <v>207</v>
      </c>
      <c r="C63" s="9">
        <v>41984</v>
      </c>
      <c r="D63" s="10" t="s">
        <v>66</v>
      </c>
      <c r="E63" s="11"/>
      <c r="F63" s="11"/>
      <c r="G63" s="11">
        <f>H63/I63</f>
        <v>132764.72481493402</v>
      </c>
      <c r="H63" s="11">
        <v>165000</v>
      </c>
      <c r="I63" s="69">
        <v>1.2427999999999999</v>
      </c>
      <c r="J63" s="8" t="s">
        <v>50</v>
      </c>
      <c r="K63" s="12" t="s">
        <v>14</v>
      </c>
      <c r="L63" s="10" t="s">
        <v>51</v>
      </c>
      <c r="M63" s="13">
        <v>41984</v>
      </c>
      <c r="N63" s="13">
        <v>41985</v>
      </c>
      <c r="P63" s="109"/>
      <c r="Q63" s="109">
        <f>G63</f>
        <v>132764.72481493402</v>
      </c>
      <c r="R63" s="114"/>
      <c r="S63" s="121"/>
      <c r="T63" s="7"/>
      <c r="U63" s="7"/>
      <c r="V63" s="7"/>
      <c r="W63" s="7">
        <f t="shared" si="4"/>
        <v>132764.72481493402</v>
      </c>
      <c r="X63" s="17"/>
    </row>
    <row r="64" spans="2:25">
      <c r="B64" s="35" t="s">
        <v>208</v>
      </c>
      <c r="C64" s="36">
        <v>41985</v>
      </c>
      <c r="D64" s="37" t="s">
        <v>209</v>
      </c>
      <c r="E64" s="38"/>
      <c r="F64" s="38"/>
      <c r="G64" s="38">
        <v>2289156.63</v>
      </c>
      <c r="H64" s="38">
        <v>2850000</v>
      </c>
      <c r="I64" s="39">
        <v>1.2427999999999999</v>
      </c>
      <c r="J64" s="35" t="s">
        <v>50</v>
      </c>
      <c r="K64" s="40" t="s">
        <v>14</v>
      </c>
      <c r="L64" s="37" t="s">
        <v>51</v>
      </c>
      <c r="M64" s="41">
        <v>41994</v>
      </c>
      <c r="N64" s="41">
        <v>42108</v>
      </c>
      <c r="O64" s="49"/>
      <c r="P64" s="109"/>
      <c r="Q64" s="109">
        <f>G64-SUM(S64:V64)</f>
        <v>1546727.4527027025</v>
      </c>
      <c r="R64" s="109"/>
      <c r="S64" s="121"/>
      <c r="T64" s="7">
        <v>247476.39243243245</v>
      </c>
      <c r="U64" s="7">
        <v>247476.39243243245</v>
      </c>
      <c r="V64" s="7">
        <v>247476.39243243245</v>
      </c>
      <c r="W64" s="7">
        <f t="shared" si="4"/>
        <v>1546727.4527027025</v>
      </c>
      <c r="X64" s="17">
        <f>+G64-SUM(P64:V64)</f>
        <v>0</v>
      </c>
      <c r="Y64" s="17"/>
    </row>
    <row r="65" spans="2:25">
      <c r="B65" s="8" t="s">
        <v>213</v>
      </c>
      <c r="C65" s="9">
        <v>41988</v>
      </c>
      <c r="D65" s="10" t="s">
        <v>214</v>
      </c>
      <c r="E65" s="11"/>
      <c r="F65" s="11"/>
      <c r="G65" s="11">
        <v>180000</v>
      </c>
      <c r="H65" s="11"/>
      <c r="I65" s="69"/>
      <c r="J65" s="8" t="s">
        <v>57</v>
      </c>
      <c r="K65" s="12" t="s">
        <v>14</v>
      </c>
      <c r="L65" s="10" t="s">
        <v>17</v>
      </c>
      <c r="M65" s="13">
        <v>41988</v>
      </c>
      <c r="N65" s="13">
        <v>42116</v>
      </c>
      <c r="P65" s="109"/>
      <c r="Q65" s="109"/>
      <c r="R65" s="114"/>
      <c r="S65" s="121">
        <v>180000</v>
      </c>
      <c r="T65" s="7"/>
      <c r="U65" s="7"/>
      <c r="V65" s="7"/>
      <c r="W65" s="7">
        <f t="shared" si="4"/>
        <v>0</v>
      </c>
      <c r="X65" s="17">
        <f>+G65-SUM(P65:T65)+O65</f>
        <v>0</v>
      </c>
      <c r="Y65" s="17"/>
    </row>
    <row r="66" spans="2:25" ht="45">
      <c r="B66" s="35" t="s">
        <v>217</v>
      </c>
      <c r="C66" s="36">
        <v>41990</v>
      </c>
      <c r="D66" s="37" t="s">
        <v>218</v>
      </c>
      <c r="E66" s="38"/>
      <c r="F66" s="38"/>
      <c r="G66" s="38">
        <f>H66/I66</f>
        <v>281169.66580976866</v>
      </c>
      <c r="H66" s="38">
        <v>350000</v>
      </c>
      <c r="I66" s="39">
        <v>1.2447999999999999</v>
      </c>
      <c r="J66" s="35" t="s">
        <v>57</v>
      </c>
      <c r="K66" s="40" t="s">
        <v>14</v>
      </c>
      <c r="L66" s="37" t="s">
        <v>51</v>
      </c>
      <c r="M66" s="41">
        <v>42004</v>
      </c>
      <c r="N66" s="117" t="s">
        <v>239</v>
      </c>
      <c r="O66" s="49"/>
      <c r="P66" s="109"/>
      <c r="Q66" s="109"/>
      <c r="R66" s="109"/>
      <c r="S66" s="123">
        <f>G66</f>
        <v>281169.66580976866</v>
      </c>
      <c r="T66" s="7"/>
      <c r="U66" s="7"/>
      <c r="V66" s="7"/>
      <c r="W66" s="7">
        <f t="shared" ref="W66:W74" si="5">+SUM(P66:R66)</f>
        <v>0</v>
      </c>
      <c r="X66" s="17">
        <f>+G66-SUM(P66:V66)</f>
        <v>0</v>
      </c>
      <c r="Y66" s="17"/>
    </row>
    <row r="67" spans="2:25">
      <c r="B67" s="8" t="s">
        <v>223</v>
      </c>
      <c r="C67" s="9">
        <v>41992</v>
      </c>
      <c r="D67" s="10" t="s">
        <v>61</v>
      </c>
      <c r="E67" s="11"/>
      <c r="F67" s="11"/>
      <c r="G67" s="11">
        <v>140000</v>
      </c>
      <c r="H67" s="11"/>
      <c r="I67" s="69"/>
      <c r="J67" s="8" t="s">
        <v>44</v>
      </c>
      <c r="K67" s="12" t="s">
        <v>14</v>
      </c>
      <c r="L67" s="10" t="s">
        <v>45</v>
      </c>
      <c r="M67" s="13">
        <v>42004</v>
      </c>
      <c r="N67" s="13">
        <v>42018</v>
      </c>
      <c r="P67" s="109"/>
      <c r="Q67" s="109"/>
      <c r="R67" s="114"/>
      <c r="S67" s="121">
        <f>G67</f>
        <v>140000</v>
      </c>
      <c r="T67" s="7"/>
      <c r="U67" s="7"/>
      <c r="V67" s="7"/>
      <c r="W67" s="7">
        <f t="shared" si="5"/>
        <v>0</v>
      </c>
      <c r="X67" s="17">
        <f t="shared" ref="X67:X74" si="6">+G67-SUM(P67:V67)</f>
        <v>0</v>
      </c>
      <c r="Y67" s="17"/>
    </row>
    <row r="68" spans="2:25">
      <c r="B68" s="35" t="s">
        <v>225</v>
      </c>
      <c r="C68" s="36">
        <v>41996</v>
      </c>
      <c r="D68" s="37" t="s">
        <v>224</v>
      </c>
      <c r="E68" s="38"/>
      <c r="F68" s="38"/>
      <c r="G68" s="38">
        <v>91000</v>
      </c>
      <c r="H68" s="38"/>
      <c r="I68" s="39"/>
      <c r="J68" s="35" t="s">
        <v>16</v>
      </c>
      <c r="K68" s="40" t="s">
        <v>14</v>
      </c>
      <c r="L68" s="37" t="s">
        <v>17</v>
      </c>
      <c r="M68" s="41">
        <v>41996</v>
      </c>
      <c r="N68" s="41">
        <v>42004</v>
      </c>
      <c r="O68" s="49"/>
      <c r="P68" s="109"/>
      <c r="Q68" s="109"/>
      <c r="R68" s="109"/>
      <c r="S68" s="121">
        <f>G68</f>
        <v>91000</v>
      </c>
      <c r="T68" s="7"/>
      <c r="U68" s="7"/>
      <c r="V68" s="7"/>
      <c r="W68" s="7">
        <f t="shared" si="5"/>
        <v>0</v>
      </c>
      <c r="X68" s="17">
        <f t="shared" si="6"/>
        <v>0</v>
      </c>
      <c r="Y68" s="17"/>
    </row>
    <row r="69" spans="2:25">
      <c r="B69" s="8" t="s">
        <v>227</v>
      </c>
      <c r="C69" s="9">
        <v>41996</v>
      </c>
      <c r="D69" s="10" t="s">
        <v>66</v>
      </c>
      <c r="E69" s="11"/>
      <c r="F69" s="11"/>
      <c r="G69" s="11">
        <f>H69/I69</f>
        <v>180135.92074019488</v>
      </c>
      <c r="H69" s="11">
        <v>220000</v>
      </c>
      <c r="I69" s="69">
        <v>1.2213000000000001</v>
      </c>
      <c r="J69" s="8" t="s">
        <v>50</v>
      </c>
      <c r="K69" s="12" t="s">
        <v>14</v>
      </c>
      <c r="L69" s="10" t="s">
        <v>51</v>
      </c>
      <c r="M69" s="13">
        <v>42035</v>
      </c>
      <c r="N69" s="13">
        <v>42030</v>
      </c>
      <c r="P69" s="109"/>
      <c r="Q69" s="109">
        <f>G69</f>
        <v>180135.92074019488</v>
      </c>
      <c r="R69" s="114"/>
      <c r="S69" s="121"/>
      <c r="T69" s="7"/>
      <c r="U69" s="7"/>
      <c r="V69" s="7"/>
      <c r="W69" s="7">
        <f t="shared" si="5"/>
        <v>180135.92074019488</v>
      </c>
      <c r="X69" s="17">
        <f t="shared" si="6"/>
        <v>0</v>
      </c>
      <c r="Y69" s="17"/>
    </row>
    <row r="70" spans="2:25">
      <c r="B70" s="35" t="s">
        <v>228</v>
      </c>
      <c r="C70" s="36">
        <v>41996</v>
      </c>
      <c r="D70" s="37" t="s">
        <v>66</v>
      </c>
      <c r="E70" s="38"/>
      <c r="F70" s="38"/>
      <c r="G70" s="38">
        <f>H70/I70</f>
        <v>135101.94055514614</v>
      </c>
      <c r="H70" s="38">
        <v>165000</v>
      </c>
      <c r="I70" s="39">
        <v>1.2213000000000001</v>
      </c>
      <c r="J70" s="35" t="s">
        <v>50</v>
      </c>
      <c r="K70" s="40" t="s">
        <v>14</v>
      </c>
      <c r="L70" s="37" t="s">
        <v>51</v>
      </c>
      <c r="M70" s="41">
        <v>42185</v>
      </c>
      <c r="N70" s="67"/>
      <c r="O70" s="49"/>
      <c r="P70" s="109"/>
      <c r="Q70" s="109">
        <f>G70</f>
        <v>135101.94055514614</v>
      </c>
      <c r="R70" s="109"/>
      <c r="S70" s="121"/>
      <c r="T70" s="7"/>
      <c r="U70" s="7"/>
      <c r="V70" s="7"/>
      <c r="W70" s="7">
        <f t="shared" si="5"/>
        <v>135101.94055514614</v>
      </c>
      <c r="X70" s="17">
        <f t="shared" si="6"/>
        <v>0</v>
      </c>
    </row>
    <row r="71" spans="2:25">
      <c r="B71" s="8" t="s">
        <v>229</v>
      </c>
      <c r="C71" s="9">
        <v>41996</v>
      </c>
      <c r="D71" s="10" t="s">
        <v>198</v>
      </c>
      <c r="E71" s="11"/>
      <c r="F71" s="11"/>
      <c r="G71" s="11">
        <v>35000</v>
      </c>
      <c r="H71" s="11"/>
      <c r="I71" s="69"/>
      <c r="J71" s="8" t="s">
        <v>16</v>
      </c>
      <c r="K71" s="12" t="s">
        <v>14</v>
      </c>
      <c r="L71" s="10" t="s">
        <v>45</v>
      </c>
      <c r="M71" s="13">
        <v>42086</v>
      </c>
      <c r="N71" s="13">
        <v>42103</v>
      </c>
      <c r="P71" s="109">
        <v>35000</v>
      </c>
      <c r="Q71" s="109"/>
      <c r="R71" s="114"/>
      <c r="S71" s="121"/>
      <c r="T71" s="7"/>
      <c r="U71" s="7"/>
      <c r="V71" s="7"/>
      <c r="W71" s="7">
        <f t="shared" si="5"/>
        <v>35000</v>
      </c>
      <c r="X71" s="17">
        <f t="shared" si="6"/>
        <v>0</v>
      </c>
      <c r="Y71" s="17"/>
    </row>
    <row r="72" spans="2:25">
      <c r="B72" s="35" t="s">
        <v>230</v>
      </c>
      <c r="C72" s="36">
        <v>41996</v>
      </c>
      <c r="D72" s="37" t="s">
        <v>189</v>
      </c>
      <c r="E72" s="38"/>
      <c r="F72" s="38"/>
      <c r="G72" s="38">
        <v>215000</v>
      </c>
      <c r="H72" s="38"/>
      <c r="I72" s="39"/>
      <c r="J72" s="35" t="s">
        <v>44</v>
      </c>
      <c r="K72" s="40" t="s">
        <v>14</v>
      </c>
      <c r="L72" s="37" t="s">
        <v>167</v>
      </c>
      <c r="M72" s="41">
        <v>42022</v>
      </c>
      <c r="N72" s="41">
        <v>42024</v>
      </c>
      <c r="O72" s="49"/>
      <c r="P72" s="109"/>
      <c r="Q72" s="109">
        <v>215000</v>
      </c>
      <c r="R72" s="109"/>
      <c r="S72" s="121"/>
      <c r="T72" s="7"/>
      <c r="U72" s="7"/>
      <c r="V72" s="7"/>
      <c r="W72" s="7">
        <f t="shared" si="5"/>
        <v>215000</v>
      </c>
      <c r="X72" s="17">
        <f t="shared" si="6"/>
        <v>0</v>
      </c>
      <c r="Y72" s="17"/>
    </row>
    <row r="73" spans="2:25">
      <c r="B73" s="8" t="s">
        <v>231</v>
      </c>
      <c r="C73" s="9">
        <v>41997</v>
      </c>
      <c r="D73" s="10" t="s">
        <v>232</v>
      </c>
      <c r="E73" s="11"/>
      <c r="F73" s="11"/>
      <c r="G73" s="11">
        <v>486500</v>
      </c>
      <c r="H73" s="11"/>
      <c r="I73" s="69"/>
      <c r="J73" s="8" t="s">
        <v>114</v>
      </c>
      <c r="K73" s="12" t="s">
        <v>14</v>
      </c>
      <c r="L73" s="10" t="s">
        <v>17</v>
      </c>
      <c r="M73" s="13">
        <v>42023</v>
      </c>
      <c r="N73" s="13">
        <v>42025</v>
      </c>
      <c r="P73" s="109"/>
      <c r="Q73" s="109">
        <f>G73-SUM(S73:V73)</f>
        <v>346500</v>
      </c>
      <c r="R73" s="114"/>
      <c r="S73" s="121"/>
      <c r="T73" s="7">
        <v>70000</v>
      </c>
      <c r="U73" s="7">
        <v>70000</v>
      </c>
      <c r="V73" s="7"/>
      <c r="W73" s="7">
        <f t="shared" si="5"/>
        <v>346500</v>
      </c>
      <c r="X73" s="17">
        <f t="shared" si="6"/>
        <v>0</v>
      </c>
      <c r="Y73" s="17"/>
    </row>
    <row r="74" spans="2:25">
      <c r="B74" s="35" t="s">
        <v>234</v>
      </c>
      <c r="C74" s="36">
        <v>42003</v>
      </c>
      <c r="D74" s="37" t="s">
        <v>73</v>
      </c>
      <c r="E74" s="38"/>
      <c r="F74" s="38"/>
      <c r="G74" s="38">
        <f>S74</f>
        <v>94572.37</v>
      </c>
      <c r="H74" s="38">
        <v>115000</v>
      </c>
      <c r="I74" s="39">
        <v>1.2197</v>
      </c>
      <c r="J74" s="35" t="s">
        <v>44</v>
      </c>
      <c r="K74" s="40" t="s">
        <v>14</v>
      </c>
      <c r="L74" s="37" t="s">
        <v>51</v>
      </c>
      <c r="M74" s="41">
        <v>42034</v>
      </c>
      <c r="N74" s="41">
        <v>42004</v>
      </c>
      <c r="O74" s="49"/>
      <c r="P74" s="109"/>
      <c r="Q74" s="109"/>
      <c r="R74" s="113"/>
      <c r="S74" s="121">
        <v>94572.37</v>
      </c>
      <c r="T74" s="7"/>
      <c r="U74" s="7"/>
      <c r="V74" s="7"/>
      <c r="W74" s="7">
        <f t="shared" si="5"/>
        <v>0</v>
      </c>
      <c r="X74" s="17">
        <f t="shared" si="6"/>
        <v>0</v>
      </c>
      <c r="Y74" s="17"/>
    </row>
    <row r="75" spans="2:25" ht="15.6" customHeight="1">
      <c r="E75" s="14">
        <f>SUM(E2:E61)</f>
        <v>1871.11</v>
      </c>
      <c r="F75" s="14">
        <f>SUM(F2:F61)</f>
        <v>0</v>
      </c>
      <c r="G75" s="14">
        <f>SUM(G2:G74)</f>
        <v>9204336.5125742052</v>
      </c>
      <c r="H75" s="14"/>
      <c r="I75" s="14"/>
      <c r="O75" s="14">
        <f>-SUM(O2:O74)</f>
        <v>483166</v>
      </c>
      <c r="P75" s="115">
        <f t="shared" ref="P75:V75" si="7">SUM(P2:P74)</f>
        <v>538717.67000000004</v>
      </c>
      <c r="Q75" s="115">
        <f t="shared" si="7"/>
        <v>4643349.8087081378</v>
      </c>
      <c r="R75" s="115">
        <f t="shared" si="7"/>
        <v>1431641.7590688025</v>
      </c>
      <c r="S75" s="14">
        <f t="shared" si="7"/>
        <v>1342531.7444023811</v>
      </c>
      <c r="T75" s="14">
        <f t="shared" si="7"/>
        <v>402476.39243243245</v>
      </c>
      <c r="U75" s="14">
        <f t="shared" si="7"/>
        <v>317476.39243243245</v>
      </c>
      <c r="V75" s="14">
        <f t="shared" si="7"/>
        <v>247476.39243243245</v>
      </c>
      <c r="W75" s="14">
        <f>SUM(W2:W74)</f>
        <v>6613709.2377769407</v>
      </c>
    </row>
    <row r="76" spans="2:25" ht="15.6" customHeight="1">
      <c r="E76" s="14"/>
      <c r="F76" s="14"/>
      <c r="G76" s="14"/>
      <c r="H76" s="14"/>
      <c r="I76" s="104"/>
      <c r="J76" s="105"/>
      <c r="P76" s="109"/>
      <c r="Q76" s="109"/>
      <c r="R76" s="109"/>
      <c r="S76" s="7"/>
      <c r="T76" s="7"/>
      <c r="U76" s="7"/>
      <c r="V76" s="7"/>
      <c r="W76" s="7">
        <f>+SUM(P76:R76)</f>
        <v>0</v>
      </c>
    </row>
    <row r="77" spans="2:25" ht="15.6" customHeight="1">
      <c r="E77" s="16" t="s">
        <v>18</v>
      </c>
      <c r="F77" s="16">
        <f>SUM(E75:G75)</f>
        <v>9206207.6225742046</v>
      </c>
      <c r="G77" s="106"/>
      <c r="H77" s="107"/>
      <c r="I77" s="104"/>
      <c r="J77" s="105"/>
      <c r="P77" s="109"/>
      <c r="Q77" s="109"/>
      <c r="R77" s="109"/>
      <c r="S77" s="109"/>
      <c r="T77" s="109"/>
      <c r="U77" s="109"/>
      <c r="W77" s="7">
        <f>+SUM(P77:R77)</f>
        <v>0</v>
      </c>
    </row>
    <row r="78" spans="2:25" ht="15.6" customHeight="1">
      <c r="G78" s="105"/>
      <c r="H78" s="105"/>
      <c r="I78" s="105"/>
      <c r="P78" s="109"/>
      <c r="Q78" s="109"/>
      <c r="R78" s="109"/>
      <c r="S78" s="109"/>
      <c r="T78" s="109"/>
      <c r="U78" s="109"/>
      <c r="W78" s="7">
        <f>+SUM(P78:R78)</f>
        <v>0</v>
      </c>
    </row>
    <row r="79" spans="2:25" ht="15.6" customHeight="1">
      <c r="G79" s="105"/>
      <c r="H79" s="7"/>
      <c r="I79" s="7"/>
      <c r="P79" s="109"/>
      <c r="Q79" s="109"/>
      <c r="R79" s="109"/>
      <c r="W79" s="7">
        <f>+SUM(P79:R79)</f>
        <v>0</v>
      </c>
    </row>
    <row r="80" spans="2:25" ht="15.6" customHeight="1">
      <c r="D80" s="19" t="s">
        <v>39</v>
      </c>
      <c r="E80" s="19" t="s">
        <v>4</v>
      </c>
      <c r="F80" s="19" t="s">
        <v>5</v>
      </c>
      <c r="G80" s="19" t="s">
        <v>21</v>
      </c>
      <c r="H80" s="19" t="s">
        <v>19</v>
      </c>
      <c r="I80" s="7"/>
      <c r="P80" s="109"/>
      <c r="Q80" s="109"/>
      <c r="R80" s="109"/>
      <c r="W80" s="7">
        <f>+SUM(P80:R80)</f>
        <v>0</v>
      </c>
    </row>
    <row r="81" spans="4:23" ht="15.6" customHeight="1">
      <c r="D81" s="20" t="s">
        <v>22</v>
      </c>
      <c r="E81" s="21">
        <f>+SUMIF($C$1:$C$256,"&lt;=31/01/2014",E$1:E$256)</f>
        <v>0</v>
      </c>
      <c r="F81" s="21">
        <f ca="1">+SUMIF($C$1:$C$256,"&lt;=31/01/2014",F$1:F$2)</f>
        <v>0</v>
      </c>
      <c r="G81" s="21">
        <f ca="1">+SUMIF($C$1:$C$256,"&lt;=31/01/2014",G$1:G$253)</f>
        <v>258247</v>
      </c>
      <c r="H81" s="21">
        <f ca="1">+SUMIF($C$1:$C$256,"&lt;=31/01/2014",W$1:W$253)</f>
        <v>258247</v>
      </c>
      <c r="I81" s="105"/>
      <c r="P81" s="109"/>
      <c r="Q81" s="109"/>
      <c r="R81" s="109"/>
      <c r="W81" s="7"/>
    </row>
    <row r="82" spans="4:23" ht="15.6" customHeight="1">
      <c r="D82" s="20" t="s">
        <v>23</v>
      </c>
      <c r="E82" s="21">
        <f>+SUMIF($C$1:$C$256,"&lt;=29/02/2012",E$1:E$256)-E81</f>
        <v>0</v>
      </c>
      <c r="F82" s="21">
        <f ca="1">+SUMIF($C$1:$C$256,"&lt;=29/02/2012",F$1:F$2)-F81</f>
        <v>0</v>
      </c>
      <c r="G82" s="21">
        <f ca="1">+SUMIF($C$1:$C$256,"&lt;=28/02/2014",G$1:G$253)-G81</f>
        <v>467474</v>
      </c>
      <c r="H82" s="21">
        <f ca="1">+SUMIF($C$1:$C$256,"&lt;=28/02/2014",W$1:W$253)-H81</f>
        <v>182350.33333333331</v>
      </c>
      <c r="I82" s="105"/>
      <c r="P82" s="109"/>
      <c r="Q82" s="109"/>
      <c r="R82" s="109"/>
      <c r="W82" s="7"/>
    </row>
    <row r="83" spans="4:23" ht="15.6" customHeight="1">
      <c r="D83" s="20" t="s">
        <v>24</v>
      </c>
      <c r="E83" s="21">
        <f>+SUMIF($C$1:$C$256,"&lt;=31/03/2012",E$1:E$256)-SUM(E81:E82)</f>
        <v>0</v>
      </c>
      <c r="F83" s="21">
        <f ca="1">+SUMIF($C$1:$C$256,"&lt;=31/03/2012",F$1:F$2)-SUM(F81:F82)</f>
        <v>0</v>
      </c>
      <c r="G83" s="21">
        <f ca="1">+SUMIF($C$1:$C$256,"&lt;=31/03/2014",G$1:G$253)-SUM(G81:G82)</f>
        <v>525778.89999999991</v>
      </c>
      <c r="H83" s="21">
        <f ca="1">+SUMIF($C$1:$C$256,"&lt;=31/03/2014",W$1:W$253)-SUM(H81:H82)</f>
        <v>331562.89999999997</v>
      </c>
      <c r="I83" s="105"/>
      <c r="J83" s="26"/>
      <c r="P83" s="109"/>
      <c r="Q83" s="109"/>
      <c r="R83" s="109"/>
      <c r="W83" s="7"/>
    </row>
    <row r="84" spans="4:23" ht="15.6" customHeight="1">
      <c r="D84" s="20" t="s">
        <v>25</v>
      </c>
      <c r="E84" s="21">
        <f>+SUMIF($C$1:$C$256,"&lt;=30/04/2012",E$1:E$256)-SUM(E81:E83)</f>
        <v>0</v>
      </c>
      <c r="F84" s="21">
        <f ca="1">+SUMIF($C$1:$C$256,"&lt;=30/04/2012",F$1:F$256)-SUM(F81:F83)</f>
        <v>0</v>
      </c>
      <c r="G84" s="21">
        <f ca="1">+SUMIF($C$1:$C$256,"&lt;=30/04/2014",G$1:G$253)-SUM(G81:G83)</f>
        <v>467750</v>
      </c>
      <c r="H84" s="21">
        <f ca="1">+SUMIF($C$1:$C$256,"&lt;=30/04/2014",W$1:W$253)-SUM(H81:H83)</f>
        <v>455321.42857142875</v>
      </c>
      <c r="I84" s="105"/>
      <c r="J84" s="26"/>
      <c r="P84" s="109"/>
      <c r="Q84" s="109"/>
      <c r="R84" s="109"/>
      <c r="W84" s="7"/>
    </row>
    <row r="85" spans="4:23" ht="15.6" customHeight="1">
      <c r="D85" s="20" t="s">
        <v>26</v>
      </c>
      <c r="E85" s="21">
        <f>+SUMIF($C$1:$C$256,"&lt;=31/05/2012",E$1:E$256)-SUM(E81:E84)</f>
        <v>0</v>
      </c>
      <c r="F85" s="21">
        <f ca="1">+SUMIF($C$1:$C$256,"&lt;=31/05/2012",F$1:F$2)-SUM(F81:F84)</f>
        <v>0</v>
      </c>
      <c r="G85" s="21">
        <f ca="1">+SUMIF($C$1:$C$256,"&lt;=31/05/2014",G$1:G$253)-SUM(G81:G84)</f>
        <v>352910.47</v>
      </c>
      <c r="H85" s="21">
        <f ca="1">+SUMIF($C$1:$C$256,"&lt;=31/05/2014",W$1:W$253)-SUM(H81:H84)</f>
        <v>352910.47</v>
      </c>
      <c r="I85" s="105"/>
      <c r="J85" s="26"/>
      <c r="W85" s="97"/>
    </row>
    <row r="86" spans="4:23" ht="15.6" customHeight="1">
      <c r="D86" s="20" t="s">
        <v>27</v>
      </c>
      <c r="E86" s="21">
        <f>+SUMIF($C$1:$C$256,"&lt;=30/06/2012",E$1:E$256)-SUM(E81:E85)</f>
        <v>0</v>
      </c>
      <c r="F86" s="21">
        <f ca="1">+SUMIF($C$1:$C$256,"&lt;=30/06/2012",F$1:F$256)-SUM(F81:F85)</f>
        <v>0</v>
      </c>
      <c r="G86" s="21">
        <f ca="1">+SUMIF($C$1:$C$256,"&lt;=30/06/2014",G$1:G$253)-SUM(G81:G85)</f>
        <v>287788.2100000002</v>
      </c>
      <c r="H86" s="21">
        <f ca="1">+SUMIF($C$1:$C$256,"&lt;=30/06/2014",W$1:W$253)-SUM(H81:H85)</f>
        <v>271954.8899999999</v>
      </c>
      <c r="I86" s="105"/>
      <c r="J86" s="26"/>
      <c r="W86" s="97"/>
    </row>
    <row r="87" spans="4:23" ht="15.6" customHeight="1">
      <c r="D87" s="20" t="s">
        <v>28</v>
      </c>
      <c r="E87" s="21">
        <f>+SUMIF($C$1:$C$256,"&lt;=31/07/2012",E$1:E$256)-SUM(E81:E86)</f>
        <v>0</v>
      </c>
      <c r="F87" s="21">
        <f ca="1">+SUMIF($C$1:$C$256,"&lt;=31/07/2012",F$1:F$2)-SUM(F81:F86)</f>
        <v>0</v>
      </c>
      <c r="G87" s="21">
        <f ca="1">+SUMIF($C$1:$C$256,"&lt;=31/07/2014",G$1:G$253)-SUM(G81:G86)</f>
        <v>89837.720000000205</v>
      </c>
      <c r="H87" s="21">
        <f ca="1">+SUMIF($C$1:$C$256,"&lt;=31/07/2014",W$1:W$253)-SUM(H81:H86)</f>
        <v>44071.333333333256</v>
      </c>
      <c r="I87" s="105"/>
      <c r="J87" s="26"/>
      <c r="W87" s="97"/>
    </row>
    <row r="88" spans="4:23">
      <c r="D88" s="20" t="s">
        <v>29</v>
      </c>
      <c r="E88" s="21">
        <f>+SUMIF($C$1:$C$256,"&lt;=31/08/2012",E$1:E$256)-SUM(E81:E87)</f>
        <v>0</v>
      </c>
      <c r="F88" s="21">
        <f ca="1">+SUMIF($C$1:$C$256,"&lt;=31/08/2012",F$1:F$2)-SUM(F81:F87)</f>
        <v>0</v>
      </c>
      <c r="G88" s="21">
        <f ca="1">+SUMIF($C$1:$C$256,"&lt;=31/08/2014",G$1:G$253)-SUM(G81:G87)</f>
        <v>208383.31309758686</v>
      </c>
      <c r="H88" s="21">
        <f ca="1">+SUMIF($C$1:$C$256,"&lt;=31/08/2014",W$1:W$253)-SUM(H81:H87)</f>
        <v>185925</v>
      </c>
      <c r="I88" s="105"/>
      <c r="J88" s="26"/>
      <c r="W88" s="97"/>
    </row>
    <row r="89" spans="4:23">
      <c r="D89" s="20" t="s">
        <v>30</v>
      </c>
      <c r="E89" s="21">
        <f>+SUMIF($C$1:$C$256,"&lt;=30/09/2012",E$1:E$256)-SUM(E81:E88)</f>
        <v>0</v>
      </c>
      <c r="F89" s="21">
        <f ca="1">+SUMIF($C$1:$C$256,"&lt;=30/09/2012",F$1:F$2)-SUM(F81:F88)</f>
        <v>0</v>
      </c>
      <c r="G89" s="21">
        <f ca="1">+SUMIF($C$1:$C$256,"&lt;=30/09/2014",G$1:G$253)-SUM(G81:G88)</f>
        <v>493386.99877235712</v>
      </c>
      <c r="H89" s="21">
        <f ca="1">+SUMIF($C$1:$C$256,"&lt;=30/09/2014",W$1:W$253)-SUM(H81:H88)</f>
        <v>636032.19494164898</v>
      </c>
      <c r="I89" s="105"/>
      <c r="J89" s="26"/>
      <c r="T89" s="7"/>
      <c r="U89" s="7"/>
      <c r="V89" s="7"/>
      <c r="W89" s="97"/>
    </row>
    <row r="90" spans="4:23">
      <c r="D90" s="20" t="s">
        <v>31</v>
      </c>
      <c r="E90" s="21">
        <f>+SUMIF($C$1:$C$256,"&lt;=31/10/2012",E$1:E$256)-SUM(E81:E89)</f>
        <v>0</v>
      </c>
      <c r="F90" s="21">
        <f ca="1">+SUMIF($C$1:$C$256,"&lt;=31/10/2012",F$1:F$2)-SUM(F81:F89)</f>
        <v>0</v>
      </c>
      <c r="G90" s="21">
        <f ca="1">+SUMIF($C$1:$C$256,"&lt;=31/10/2014",G$1:G$253)-SUM(G81:G89)</f>
        <v>551617.70878421841</v>
      </c>
      <c r="H90" s="21">
        <f ca="1">+SUMIF($C$1:$C$256,"&lt;=31/10/2014",W$1:W$253)-SUM(H81:H89)</f>
        <v>369217.70878421841</v>
      </c>
      <c r="I90" s="105"/>
      <c r="J90" s="26"/>
      <c r="T90" s="7"/>
      <c r="U90" s="7"/>
      <c r="V90" s="7"/>
      <c r="W90" s="97"/>
    </row>
    <row r="91" spans="4:23">
      <c r="D91" s="20" t="s">
        <v>32</v>
      </c>
      <c r="E91" s="21">
        <f>+SUMIF($C$1:$C$256,"&lt;=30/11/2012",E$1:E$256)-SUM(E81:E90)</f>
        <v>0</v>
      </c>
      <c r="F91" s="21">
        <f ca="1">+SUMIF($C$1:$C$256,"&lt;=30/11/2012",F$1:F$2)-SUM(F81:F90)</f>
        <v>0</v>
      </c>
      <c r="G91" s="21">
        <f ca="1">+SUMIF($C$1:$C$256,"&lt;=30/11/2014",G$1:G$253)-SUM(G81:G90)</f>
        <v>733635.94</v>
      </c>
      <c r="H91" s="21">
        <f ca="1">+SUMIF($C$1:$C$256,"&lt;=30/11/2014",W$1:W$253)-SUM(H81:H90)</f>
        <v>669635.94000000041</v>
      </c>
      <c r="I91" s="105"/>
      <c r="J91" s="26"/>
      <c r="W91" s="7"/>
    </row>
    <row r="92" spans="4:23">
      <c r="D92" s="20" t="s">
        <v>34</v>
      </c>
      <c r="E92" s="21">
        <f>+SUMIF($C$1:$C$256,"&lt;=31/12/2012",E$1:E$256)-SUM(E81:E91)</f>
        <v>0</v>
      </c>
      <c r="F92" s="21">
        <f ca="1">+SUMIF($C$1:$C$256,"&lt;=31/12/2012",F$1:F$2)-SUM(F81:F91)</f>
        <v>0</v>
      </c>
      <c r="G92" s="21">
        <f ca="1">+SUMIF($C$1:$C$256,"&lt;=31/12/2014",G$1:G$253)-SUM(G81:G91)</f>
        <v>4767526.2519200426</v>
      </c>
      <c r="H92" s="21">
        <f ca="1">+SUMIF($C$1:$C$256,"&lt;=31/12/2014",W$1:W$253)-SUM(H81:H91)</f>
        <v>2856480.0388129777</v>
      </c>
      <c r="I92" s="105"/>
      <c r="J92" s="26"/>
    </row>
    <row r="93" spans="4:23">
      <c r="D93" s="44"/>
      <c r="E93" s="45"/>
      <c r="F93" s="45"/>
      <c r="G93" s="45"/>
      <c r="H93" s="45"/>
      <c r="I93" s="7"/>
      <c r="J93" s="26"/>
      <c r="W93" s="17"/>
    </row>
    <row r="94" spans="4:23">
      <c r="D94" s="44"/>
      <c r="E94" s="45"/>
      <c r="F94" s="45"/>
      <c r="G94" s="46">
        <f ca="1">+SUM(G81:G93)</f>
        <v>9204336.5125742052</v>
      </c>
      <c r="H94" s="46">
        <f ca="1">+SUM(H81:H93)</f>
        <v>6613709.2377769407</v>
      </c>
      <c r="I94" s="7"/>
      <c r="J94" s="18"/>
    </row>
    <row r="96" spans="4:23">
      <c r="G96" s="105"/>
      <c r="H96" s="105"/>
      <c r="I96" s="105"/>
      <c r="J96" s="18"/>
    </row>
    <row r="98" spans="4:9">
      <c r="D98" s="22" t="s">
        <v>74</v>
      </c>
      <c r="E98" s="23"/>
      <c r="F98" s="24"/>
      <c r="G98" s="25"/>
      <c r="H98" s="105"/>
      <c r="I98" s="105"/>
    </row>
    <row r="99" spans="4:9">
      <c r="D99" s="32" t="s">
        <v>235</v>
      </c>
      <c r="E99" s="116" t="s">
        <v>236</v>
      </c>
      <c r="F99" s="26"/>
      <c r="G99" s="110">
        <v>2403.4</v>
      </c>
      <c r="H99" s="111"/>
      <c r="I99" s="105"/>
    </row>
    <row r="100" spans="4:9">
      <c r="D100" s="32" t="s">
        <v>75</v>
      </c>
      <c r="E100" s="26" t="s">
        <v>76</v>
      </c>
      <c r="F100" s="26"/>
      <c r="G100" s="110">
        <v>77000</v>
      </c>
      <c r="H100" s="111"/>
      <c r="I100" s="105"/>
    </row>
    <row r="101" spans="4:9">
      <c r="D101" s="32" t="s">
        <v>77</v>
      </c>
      <c r="E101" s="26" t="s">
        <v>78</v>
      </c>
      <c r="F101" s="26"/>
      <c r="G101" s="110">
        <v>80000</v>
      </c>
      <c r="H101" s="111"/>
      <c r="I101" s="105"/>
    </row>
    <row r="102" spans="4:9">
      <c r="D102" s="32" t="s">
        <v>79</v>
      </c>
      <c r="E102" s="26" t="s">
        <v>35</v>
      </c>
      <c r="F102" s="26"/>
      <c r="G102" s="110">
        <v>150000</v>
      </c>
      <c r="H102" s="111"/>
      <c r="I102" s="105"/>
    </row>
    <row r="103" spans="4:9">
      <c r="D103" s="32" t="s">
        <v>80</v>
      </c>
      <c r="E103" s="26" t="s">
        <v>36</v>
      </c>
      <c r="F103" s="26"/>
      <c r="G103" s="110">
        <v>76000</v>
      </c>
      <c r="H103" s="111"/>
      <c r="I103" s="105"/>
    </row>
    <row r="104" spans="4:9">
      <c r="D104" s="32" t="s">
        <v>81</v>
      </c>
      <c r="E104" s="26" t="s">
        <v>37</v>
      </c>
      <c r="F104" s="26"/>
      <c r="G104" s="110">
        <v>17333</v>
      </c>
      <c r="H104" s="111"/>
      <c r="I104" s="105"/>
    </row>
    <row r="105" spans="4:9">
      <c r="D105" s="32" t="s">
        <v>82</v>
      </c>
      <c r="E105" s="26" t="s">
        <v>83</v>
      </c>
      <c r="F105" s="26"/>
      <c r="G105" s="110">
        <v>74800</v>
      </c>
      <c r="H105" s="111"/>
      <c r="I105" s="105"/>
    </row>
    <row r="106" spans="4:9">
      <c r="D106" s="32" t="s">
        <v>84</v>
      </c>
      <c r="E106" s="26" t="s">
        <v>85</v>
      </c>
      <c r="F106" s="26"/>
      <c r="G106" s="110">
        <v>47252</v>
      </c>
      <c r="H106" s="111"/>
      <c r="I106" s="105"/>
    </row>
    <row r="107" spans="4:9">
      <c r="D107" s="32" t="s">
        <v>86</v>
      </c>
      <c r="E107" s="26" t="s">
        <v>87</v>
      </c>
      <c r="F107" s="26"/>
      <c r="G107" s="110">
        <v>41000</v>
      </c>
      <c r="H107" s="111"/>
      <c r="I107" s="105"/>
    </row>
    <row r="108" spans="4:9">
      <c r="D108" s="32" t="s">
        <v>88</v>
      </c>
      <c r="E108" s="26" t="s">
        <v>89</v>
      </c>
      <c r="F108" s="26"/>
      <c r="G108" s="110">
        <v>23733</v>
      </c>
      <c r="H108" s="111"/>
      <c r="I108" s="105"/>
    </row>
    <row r="109" spans="4:9">
      <c r="D109" s="32" t="s">
        <v>93</v>
      </c>
      <c r="E109" s="26" t="s">
        <v>94</v>
      </c>
      <c r="F109" s="26"/>
      <c r="G109" s="110">
        <v>38334</v>
      </c>
      <c r="H109" s="111"/>
      <c r="I109" s="105"/>
    </row>
    <row r="110" spans="4:9">
      <c r="D110" s="32" t="s">
        <v>95</v>
      </c>
      <c r="E110" s="26" t="s">
        <v>97</v>
      </c>
      <c r="F110" s="26"/>
      <c r="G110" s="110">
        <v>15833</v>
      </c>
      <c r="H110" s="111"/>
      <c r="I110" s="105"/>
    </row>
    <row r="111" spans="4:9">
      <c r="D111" s="32" t="s">
        <v>96</v>
      </c>
      <c r="E111" s="26" t="s">
        <v>97</v>
      </c>
      <c r="F111" s="26"/>
      <c r="G111" s="110">
        <v>29286</v>
      </c>
      <c r="H111" s="111"/>
      <c r="I111" s="105"/>
    </row>
    <row r="112" spans="4:9">
      <c r="D112" s="32" t="s">
        <v>98</v>
      </c>
      <c r="E112" s="26" t="s">
        <v>99</v>
      </c>
      <c r="F112" s="26"/>
      <c r="G112" s="110">
        <v>55932</v>
      </c>
      <c r="H112" s="112"/>
      <c r="I112" s="105"/>
    </row>
    <row r="113" spans="4:9">
      <c r="D113" s="32" t="s">
        <v>100</v>
      </c>
      <c r="E113" s="26" t="s">
        <v>101</v>
      </c>
      <c r="F113" s="26"/>
      <c r="G113" s="110">
        <v>30000</v>
      </c>
      <c r="H113" s="112"/>
    </row>
    <row r="114" spans="4:9">
      <c r="D114" s="32" t="s">
        <v>102</v>
      </c>
      <c r="E114" s="26" t="s">
        <v>104</v>
      </c>
      <c r="F114" s="26"/>
      <c r="G114" s="110">
        <v>13500</v>
      </c>
      <c r="H114" s="111"/>
      <c r="I114" s="105"/>
    </row>
    <row r="115" spans="4:9">
      <c r="D115" s="32" t="s">
        <v>103</v>
      </c>
      <c r="E115" s="26" t="s">
        <v>104</v>
      </c>
      <c r="F115" s="26"/>
      <c r="G115" s="110">
        <v>9000</v>
      </c>
      <c r="H115" s="111"/>
      <c r="I115" s="105"/>
    </row>
    <row r="116" spans="4:9">
      <c r="D116" s="32" t="s">
        <v>105</v>
      </c>
      <c r="E116" s="26" t="s">
        <v>15</v>
      </c>
      <c r="F116" s="26"/>
      <c r="G116" s="110">
        <v>59000</v>
      </c>
      <c r="H116" s="111"/>
      <c r="I116" s="105"/>
    </row>
    <row r="117" spans="4:9">
      <c r="D117" s="32" t="s">
        <v>106</v>
      </c>
      <c r="E117" s="26" t="s">
        <v>107</v>
      </c>
      <c r="F117" s="26"/>
      <c r="G117" s="110">
        <v>64000</v>
      </c>
      <c r="H117" s="112"/>
    </row>
    <row r="118" spans="4:9">
      <c r="D118" s="32"/>
      <c r="E118" s="26"/>
      <c r="F118" s="26"/>
      <c r="G118" s="110"/>
      <c r="H118" s="112"/>
    </row>
    <row r="119" spans="4:9">
      <c r="D119" s="32"/>
      <c r="E119" s="26"/>
      <c r="F119" s="26"/>
      <c r="G119" s="28"/>
    </row>
    <row r="120" spans="4:9">
      <c r="D120" s="27" t="s">
        <v>90</v>
      </c>
      <c r="E120" s="26" t="s">
        <v>91</v>
      </c>
      <c r="F120" s="26">
        <v>92000</v>
      </c>
      <c r="G120" s="28"/>
    </row>
    <row r="121" spans="4:9">
      <c r="D121" s="29" t="s">
        <v>92</v>
      </c>
      <c r="E121" s="30" t="s">
        <v>20</v>
      </c>
      <c r="F121" s="30">
        <v>202500</v>
      </c>
      <c r="G121" s="31"/>
      <c r="H121" s="26">
        <f>+SUM(G98:G121)</f>
        <v>904406.4</v>
      </c>
      <c r="I121" s="108">
        <f>+H121/G122</f>
        <v>0.75435947293299965</v>
      </c>
    </row>
    <row r="122" spans="4:9">
      <c r="F122" s="1"/>
      <c r="G122" s="17">
        <f>+SUM(F99:G121)</f>
        <v>1198906.3999999999</v>
      </c>
      <c r="I122" s="17"/>
    </row>
    <row r="124" spans="4:9" ht="17.25">
      <c r="F124" s="33" t="s">
        <v>38</v>
      </c>
      <c r="H124" s="34">
        <f>+H121+P75+Q75+R75</f>
        <v>7518115.6377769411</v>
      </c>
    </row>
    <row r="125" spans="4:9">
      <c r="H125" s="1">
        <v>7342307</v>
      </c>
      <c r="I125" s="17"/>
    </row>
    <row r="126" spans="4:9">
      <c r="E126" s="1"/>
      <c r="H126" s="1">
        <v>80334</v>
      </c>
    </row>
    <row r="128" spans="4:9">
      <c r="E128" s="1"/>
      <c r="F128" s="1"/>
    </row>
    <row r="129" spans="5:6">
      <c r="E129" s="1"/>
      <c r="F129" s="1"/>
    </row>
  </sheetData>
  <autoFilter ref="A1:XFD92"/>
  <sortState ref="B2:W74">
    <sortCondition ref="B2:B74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J40"/>
  <sheetViews>
    <sheetView workbookViewId="0">
      <selection activeCell="C17" sqref="C17"/>
    </sheetView>
  </sheetViews>
  <sheetFormatPr defaultColWidth="8.85546875" defaultRowHeight="15"/>
  <cols>
    <col min="1" max="1" width="8.85546875" style="50"/>
    <col min="2" max="2" width="58.7109375" style="50" bestFit="1" customWidth="1"/>
    <col min="3" max="4" width="18.5703125" style="50" customWidth="1"/>
    <col min="5" max="5" width="18.28515625" style="50" bestFit="1" customWidth="1"/>
    <col min="6" max="6" width="12" style="50" bestFit="1" customWidth="1"/>
    <col min="7" max="7" width="10.85546875" style="50" bestFit="1" customWidth="1"/>
    <col min="8" max="8" width="17.7109375" style="50" bestFit="1" customWidth="1"/>
    <col min="9" max="10" width="12.7109375" style="50" bestFit="1" customWidth="1"/>
    <col min="11" max="16384" width="8.85546875" style="50"/>
  </cols>
  <sheetData>
    <row r="2" spans="1:9">
      <c r="B2" s="57"/>
      <c r="C2" s="62" t="s">
        <v>133</v>
      </c>
      <c r="D2" s="59" t="s">
        <v>134</v>
      </c>
      <c r="E2" s="59" t="s">
        <v>132</v>
      </c>
      <c r="F2" s="59" t="s">
        <v>151</v>
      </c>
      <c r="G2" s="63"/>
    </row>
    <row r="3" spans="1:9">
      <c r="B3" s="64" t="s">
        <v>135</v>
      </c>
      <c r="C3" s="58">
        <f>+SUM(D3:F3)</f>
        <v>9406836.1594766192</v>
      </c>
      <c r="D3" s="60">
        <f>+'Elenco Fatture'!Q75</f>
        <v>4643349.8087081378</v>
      </c>
      <c r="E3" s="60">
        <f>+'Elenco Fatture'!P75+'Elenco Fatture'!R75+'Elenco Fatture'!S75+'Elenco Fatture'!T75+'Elenco Fatture'!U75+'Elenco Fatture'!V75</f>
        <v>4280320.3507684814</v>
      </c>
      <c r="F3" s="51">
        <f>+'Elenco Fatture'!O75</f>
        <v>483166</v>
      </c>
      <c r="G3" s="60"/>
      <c r="H3" s="54"/>
      <c r="I3" s="51"/>
    </row>
    <row r="4" spans="1:9">
      <c r="A4" s="50" t="s">
        <v>163</v>
      </c>
      <c r="B4" s="64" t="s">
        <v>150</v>
      </c>
      <c r="C4" s="58">
        <f>+SUM(D4:F4)</f>
        <v>-2309960.9216996785</v>
      </c>
      <c r="D4" s="60">
        <v>0</v>
      </c>
      <c r="E4" s="60">
        <f>-'Elenco Fatture'!S75-'Elenco Fatture'!T75-'Elenco Fatture'!U75-'Elenco Fatture'!V75</f>
        <v>-2309960.9216996785</v>
      </c>
      <c r="F4" s="60">
        <v>0</v>
      </c>
      <c r="G4" s="51"/>
      <c r="I4" s="51"/>
    </row>
    <row r="5" spans="1:9">
      <c r="A5" s="50" t="s">
        <v>163</v>
      </c>
      <c r="B5" s="64" t="s">
        <v>152</v>
      </c>
      <c r="C5" s="58">
        <f>+SUM(D5:F5)</f>
        <v>904406.4</v>
      </c>
      <c r="D5" s="60">
        <v>0</v>
      </c>
      <c r="E5" s="60">
        <f>+SUM('Elenco Fatture'!G99:G117)</f>
        <v>904406.4</v>
      </c>
      <c r="F5" s="51">
        <v>0</v>
      </c>
      <c r="G5" s="51"/>
      <c r="I5" s="51"/>
    </row>
    <row r="6" spans="1:9">
      <c r="A6" s="50" t="s">
        <v>163</v>
      </c>
      <c r="B6" s="64" t="s">
        <v>153</v>
      </c>
      <c r="C6" s="58">
        <f>+SUM(D6:F6)</f>
        <v>-483166</v>
      </c>
      <c r="D6" s="51">
        <v>0</v>
      </c>
      <c r="E6" s="51">
        <v>0</v>
      </c>
      <c r="F6" s="60">
        <f>-+'Elenco Fatture'!O75</f>
        <v>-483166</v>
      </c>
      <c r="G6" s="51"/>
      <c r="I6" s="51"/>
    </row>
    <row r="7" spans="1:9">
      <c r="B7" s="57" t="s">
        <v>136</v>
      </c>
      <c r="C7" s="65">
        <f>+SUM(C3:C6)</f>
        <v>7518115.6377769411</v>
      </c>
      <c r="D7" s="60"/>
      <c r="E7" s="60"/>
      <c r="F7" s="60"/>
      <c r="G7" s="51"/>
      <c r="I7" s="51"/>
    </row>
    <row r="8" spans="1:9">
      <c r="D8" s="51"/>
      <c r="E8" s="51"/>
      <c r="F8" s="51"/>
      <c r="G8" s="51"/>
      <c r="I8" s="51"/>
    </row>
    <row r="9" spans="1:9">
      <c r="B9" s="50" t="s">
        <v>193</v>
      </c>
      <c r="C9" s="58">
        <f>+SUM(D9:F9)</f>
        <v>0</v>
      </c>
      <c r="D9" s="51"/>
      <c r="E9" s="60"/>
      <c r="F9" s="70"/>
      <c r="I9" s="51"/>
    </row>
    <row r="10" spans="1:9">
      <c r="B10" s="50" t="s">
        <v>164</v>
      </c>
      <c r="C10" s="58">
        <f>+SUM(D10:F10)</f>
        <v>0</v>
      </c>
      <c r="E10" s="60"/>
      <c r="F10" s="70"/>
      <c r="I10" s="51"/>
    </row>
    <row r="11" spans="1:9">
      <c r="B11" s="57" t="s">
        <v>136</v>
      </c>
      <c r="C11" s="65">
        <f>SUM(C7:C10)</f>
        <v>7518115.6377769411</v>
      </c>
      <c r="F11" s="70"/>
      <c r="I11" s="51"/>
    </row>
    <row r="12" spans="1:9">
      <c r="B12" s="57"/>
      <c r="C12" s="65"/>
      <c r="F12" s="70"/>
      <c r="I12" s="51"/>
    </row>
    <row r="13" spans="1:9">
      <c r="B13" s="64" t="s">
        <v>194</v>
      </c>
      <c r="C13" s="58">
        <f t="shared" ref="C13:C14" si="0">+SUM(D13:F13)</f>
        <v>0</v>
      </c>
      <c r="D13" s="51"/>
      <c r="E13" s="60"/>
      <c r="F13" s="70"/>
      <c r="I13" s="51"/>
    </row>
    <row r="14" spans="1:9">
      <c r="B14" s="50" t="s">
        <v>215</v>
      </c>
      <c r="C14" s="58">
        <f t="shared" si="0"/>
        <v>0</v>
      </c>
      <c r="D14" s="51"/>
      <c r="F14" s="70"/>
      <c r="I14" s="51"/>
    </row>
    <row r="15" spans="1:9">
      <c r="B15" s="57" t="s">
        <v>136</v>
      </c>
      <c r="C15" s="65">
        <f>+C11+C13+C14</f>
        <v>7518115.6377769411</v>
      </c>
      <c r="F15" s="70"/>
      <c r="I15" s="51"/>
    </row>
    <row r="16" spans="1:9">
      <c r="C16" s="102" t="s">
        <v>212</v>
      </c>
      <c r="F16" s="70"/>
      <c r="I16" s="51"/>
    </row>
    <row r="17" spans="2:10">
      <c r="B17" s="70" t="s">
        <v>154</v>
      </c>
      <c r="C17" s="71">
        <v>8282506</v>
      </c>
      <c r="D17" s="71"/>
      <c r="E17" s="71"/>
      <c r="F17" s="70"/>
      <c r="I17" s="51"/>
    </row>
    <row r="18" spans="2:10">
      <c r="B18" s="70"/>
      <c r="C18" s="71">
        <f>C15-C17</f>
        <v>-764390.36222305894</v>
      </c>
      <c r="D18" s="72"/>
      <c r="E18" s="70"/>
      <c r="F18" s="70"/>
      <c r="I18" s="51"/>
    </row>
    <row r="19" spans="2:10">
      <c r="B19" s="70"/>
      <c r="C19" s="71"/>
      <c r="D19" s="72"/>
      <c r="E19" s="72"/>
      <c r="F19" s="72"/>
      <c r="G19" s="54"/>
    </row>
    <row r="20" spans="2:10">
      <c r="B20" s="70"/>
      <c r="C20" s="71"/>
      <c r="D20" s="72"/>
      <c r="E20" s="72"/>
      <c r="F20" s="70"/>
    </row>
    <row r="21" spans="2:10">
      <c r="B21" s="70"/>
      <c r="C21" s="73"/>
      <c r="D21" s="72"/>
      <c r="E21" s="72"/>
    </row>
    <row r="22" spans="2:10">
      <c r="B22" s="70"/>
      <c r="C22" s="71"/>
      <c r="D22" s="71"/>
      <c r="E22" s="71"/>
    </row>
    <row r="23" spans="2:10">
      <c r="C23" s="51"/>
      <c r="E23" s="54"/>
    </row>
    <row r="24" spans="2:10">
      <c r="C24" s="56"/>
    </row>
    <row r="25" spans="2:10">
      <c r="B25" s="57" t="s">
        <v>222</v>
      </c>
    </row>
    <row r="26" spans="2:10" ht="15.75">
      <c r="B26" s="82" t="s">
        <v>220</v>
      </c>
      <c r="C26" s="87">
        <f>+D3</f>
        <v>4643349.8087081378</v>
      </c>
      <c r="E26" s="71">
        <f>+C26-D26</f>
        <v>4643349.8087081378</v>
      </c>
    </row>
    <row r="27" spans="2:10" ht="15.75">
      <c r="B27" s="82" t="s">
        <v>196</v>
      </c>
      <c r="C27" s="87">
        <f>+E3+E4</f>
        <v>1970359.4290688029</v>
      </c>
      <c r="E27" s="71">
        <f t="shared" ref="E27:E31" si="1">+C27-D27</f>
        <v>1970359.4290688029</v>
      </c>
    </row>
    <row r="28" spans="2:10" hidden="1">
      <c r="I28" s="51"/>
      <c r="J28" s="51"/>
    </row>
    <row r="29" spans="2:10" ht="15.75">
      <c r="B29" s="82" t="s">
        <v>170</v>
      </c>
      <c r="C29" s="87">
        <f>+C5</f>
        <v>904406.4</v>
      </c>
      <c r="E29" s="71"/>
    </row>
    <row r="30" spans="2:10" ht="15.75" hidden="1">
      <c r="B30" s="82" t="s">
        <v>171</v>
      </c>
      <c r="C30" s="99"/>
      <c r="E30" s="71">
        <f t="shared" si="1"/>
        <v>0</v>
      </c>
    </row>
    <row r="31" spans="2:10" ht="15.75">
      <c r="B31" s="83" t="s">
        <v>133</v>
      </c>
      <c r="C31" s="98">
        <f>+SUM(C26:C30)</f>
        <v>7518115.6377769411</v>
      </c>
      <c r="E31" s="71">
        <f t="shared" si="1"/>
        <v>7518115.6377769411</v>
      </c>
    </row>
    <row r="32" spans="2:10" ht="15.75">
      <c r="B32" s="82" t="s">
        <v>221</v>
      </c>
      <c r="C32" s="87">
        <f>+C9</f>
        <v>0</v>
      </c>
      <c r="E32" s="71">
        <f>+C32-D28</f>
        <v>0</v>
      </c>
    </row>
    <row r="33" spans="2:4" ht="15.75" hidden="1">
      <c r="B33" s="82" t="s">
        <v>216</v>
      </c>
      <c r="C33" s="87">
        <f>+C13</f>
        <v>0</v>
      </c>
    </row>
    <row r="34" spans="2:4" ht="15.75">
      <c r="B34" s="82" t="s">
        <v>219</v>
      </c>
      <c r="C34" s="87">
        <f>+C14</f>
        <v>0</v>
      </c>
    </row>
    <row r="35" spans="2:4" ht="15.75">
      <c r="B35" s="83" t="s">
        <v>133</v>
      </c>
      <c r="C35" s="98">
        <f>+C31+C32+C33+C34</f>
        <v>7518115.6377769411</v>
      </c>
      <c r="D35" s="86">
        <f>SUM(D33:D34)</f>
        <v>0</v>
      </c>
    </row>
    <row r="36" spans="2:4">
      <c r="B36" s="101" t="s">
        <v>195</v>
      </c>
    </row>
    <row r="38" spans="2:4">
      <c r="B38" s="84" t="s">
        <v>172</v>
      </c>
    </row>
    <row r="39" spans="2:4">
      <c r="B39" s="84" t="s">
        <v>173</v>
      </c>
    </row>
    <row r="40" spans="2:4">
      <c r="B40" s="8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K9"/>
  <sheetViews>
    <sheetView workbookViewId="0">
      <selection activeCell="F14" sqref="F14"/>
    </sheetView>
  </sheetViews>
  <sheetFormatPr defaultColWidth="8.85546875" defaultRowHeight="15"/>
  <cols>
    <col min="1" max="3" width="8.85546875" style="50"/>
    <col min="4" max="5" width="11.28515625" style="50" bestFit="1" customWidth="1"/>
    <col min="6" max="6" width="14.7109375" style="50" bestFit="1" customWidth="1"/>
    <col min="7" max="10" width="10.28515625" style="50" bestFit="1" customWidth="1"/>
    <col min="11" max="16384" width="8.85546875" style="50"/>
  </cols>
  <sheetData>
    <row r="1" spans="3:11">
      <c r="E1" s="50" t="s">
        <v>130</v>
      </c>
      <c r="F1" s="52">
        <v>-3.2000000000000002E-3</v>
      </c>
      <c r="G1" s="50">
        <v>8</v>
      </c>
      <c r="H1" s="50">
        <v>12</v>
      </c>
      <c r="I1" s="50">
        <v>12</v>
      </c>
      <c r="J1" s="50">
        <v>4</v>
      </c>
      <c r="K1" s="50">
        <f>+SUM(G1:J1)</f>
        <v>36</v>
      </c>
    </row>
    <row r="2" spans="3:11">
      <c r="F2" s="50" t="s">
        <v>131</v>
      </c>
      <c r="H2" s="50">
        <v>2014</v>
      </c>
      <c r="I2" s="50">
        <v>2015</v>
      </c>
      <c r="J2" s="50">
        <v>2016</v>
      </c>
    </row>
    <row r="3" spans="3:11">
      <c r="C3" s="50" t="s">
        <v>125</v>
      </c>
      <c r="D3" s="51">
        <v>20000</v>
      </c>
      <c r="E3" s="53">
        <f>+D3*(1+$F$1)</f>
        <v>19936</v>
      </c>
      <c r="F3" s="55">
        <v>1</v>
      </c>
      <c r="G3" s="53">
        <f>+E3</f>
        <v>19936</v>
      </c>
      <c r="H3" s="53"/>
      <c r="I3" s="53"/>
      <c r="J3" s="53"/>
    </row>
    <row r="4" spans="3:11">
      <c r="C4" s="50" t="s">
        <v>126</v>
      </c>
      <c r="D4" s="51">
        <v>20000</v>
      </c>
      <c r="E4" s="53">
        <f t="shared" ref="E4:E8" si="0">+D4*(1+$F$1)</f>
        <v>19936</v>
      </c>
      <c r="F4" s="55">
        <v>1</v>
      </c>
      <c r="G4" s="53">
        <f>+E4</f>
        <v>19936</v>
      </c>
      <c r="H4" s="53"/>
      <c r="I4" s="53"/>
      <c r="J4" s="53"/>
    </row>
    <row r="5" spans="3:11">
      <c r="C5" s="50" t="s">
        <v>127</v>
      </c>
      <c r="D5" s="51">
        <v>34000</v>
      </c>
      <c r="E5" s="53">
        <f t="shared" si="0"/>
        <v>33891.199999999997</v>
      </c>
      <c r="F5" s="55">
        <v>1</v>
      </c>
      <c r="G5" s="53">
        <f>+E5</f>
        <v>33891.199999999997</v>
      </c>
      <c r="H5" s="53"/>
      <c r="I5" s="53"/>
      <c r="J5" s="53"/>
    </row>
    <row r="6" spans="3:11">
      <c r="C6" s="50" t="s">
        <v>128</v>
      </c>
      <c r="D6" s="51">
        <v>30000</v>
      </c>
      <c r="E6" s="53">
        <f t="shared" si="0"/>
        <v>29904</v>
      </c>
      <c r="F6" s="55">
        <v>1</v>
      </c>
      <c r="G6" s="53">
        <f>+E6</f>
        <v>29904</v>
      </c>
      <c r="H6" s="53"/>
      <c r="I6" s="53"/>
      <c r="J6" s="53"/>
    </row>
    <row r="7" spans="3:11">
      <c r="C7" s="50" t="s">
        <v>129</v>
      </c>
      <c r="D7" s="51">
        <v>120000</v>
      </c>
      <c r="E7" s="53">
        <f t="shared" si="0"/>
        <v>119616</v>
      </c>
      <c r="G7" s="53">
        <f>+$E$7*G1/$K$1</f>
        <v>26581.333333333332</v>
      </c>
      <c r="H7" s="53">
        <f t="shared" ref="H7:J7" si="1">+$E$7*H1/$K$1</f>
        <v>39872</v>
      </c>
      <c r="I7" s="53">
        <f t="shared" si="1"/>
        <v>39872</v>
      </c>
      <c r="J7" s="53">
        <f t="shared" si="1"/>
        <v>13290.666666666666</v>
      </c>
    </row>
    <row r="8" spans="3:11">
      <c r="C8" s="50" t="s">
        <v>129</v>
      </c>
      <c r="D8" s="51">
        <v>15600</v>
      </c>
      <c r="E8" s="53">
        <f t="shared" si="0"/>
        <v>15550.08</v>
      </c>
      <c r="G8" s="53">
        <f>+$E$8*G1/$K$1</f>
        <v>3455.5733333333333</v>
      </c>
      <c r="H8" s="53">
        <f t="shared" ref="H8:J8" si="2">+$E$8*H1/$K$1</f>
        <v>5183.3599999999997</v>
      </c>
      <c r="I8" s="53">
        <f t="shared" si="2"/>
        <v>5183.3599999999997</v>
      </c>
      <c r="J8" s="53">
        <f t="shared" si="2"/>
        <v>1727.7866666666666</v>
      </c>
    </row>
    <row r="9" spans="3:11">
      <c r="D9" s="56">
        <f>+SUM(D3:D8)</f>
        <v>239600</v>
      </c>
      <c r="E9" s="56">
        <f>+SUM(E3:E8)</f>
        <v>238833.28</v>
      </c>
      <c r="G9" s="53">
        <f>+SUM(G3:G8)</f>
        <v>133704.10666666666</v>
      </c>
      <c r="H9" s="53">
        <f t="shared" ref="H9:J9" si="3">+SUM(H3:H8)</f>
        <v>45055.360000000001</v>
      </c>
      <c r="I9" s="53">
        <f t="shared" si="3"/>
        <v>45055.360000000001</v>
      </c>
      <c r="J9" s="53">
        <f t="shared" si="3"/>
        <v>15018.453333333333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Elenco Fatture</vt:lpstr>
      <vt:lpstr>Prospetto ricavi</vt:lpstr>
      <vt:lpstr>ita CC check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 Gallucci</dc:creator>
  <cp:lastModifiedBy>Simonetta</cp:lastModifiedBy>
  <cp:lastPrinted>2014-11-10T08:47:03Z</cp:lastPrinted>
  <dcterms:created xsi:type="dcterms:W3CDTF">2014-01-20T16:02:15Z</dcterms:created>
  <dcterms:modified xsi:type="dcterms:W3CDTF">2015-06-19T13:03:45Z</dcterms:modified>
</cp:coreProperties>
</file>